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Clientes\PRJ1301096-Estudo QAr RGV\02-Inventário\Memorial de Cálculo\2 Memorial_IEMA_R1\Biancogres\"/>
    </mc:Choice>
  </mc:AlternateContent>
  <bookViews>
    <workbookView xWindow="0" yWindow="75" windowWidth="9435" windowHeight="7935" tabRatio="859" firstSheet="2" activeTab="10"/>
  </bookViews>
  <sheets>
    <sheet name="Potência Térmica" sheetId="12" r:id="rId1"/>
    <sheet name="FE-Fábrica Ceramica" sheetId="21" r:id="rId2"/>
    <sheet name="FE-Combustão" sheetId="10" r:id="rId3"/>
    <sheet name="FE-Máq e Equip" sheetId="17" r:id="rId4"/>
    <sheet name="FE-Brit e Pen" sheetId="19" r:id="rId5"/>
    <sheet name="Monitoramento Manual" sheetId="20" r:id="rId6"/>
    <sheet name="Emissão Brit e Pen" sheetId="7" r:id="rId7"/>
    <sheet name="Emissão Chaminés" sheetId="9" r:id="rId8"/>
    <sheet name="Emissão Máq e Equip" sheetId="14" r:id="rId9"/>
    <sheet name="Emissão Transferências" sheetId="18" r:id="rId10"/>
    <sheet name="Resumo" sheetId="22" r:id="rId11"/>
  </sheets>
  <externalReferences>
    <externalReference r:id="rId12"/>
  </externalReferences>
  <definedNames>
    <definedName name="Ind_Silte">[1]FatorEmis_Vias!$I$12:$I$21</definedName>
    <definedName name="Info_Caminhões">[1]Dados!$A$7:$A$17</definedName>
    <definedName name="Tabela_Caminhões">[1]Dados!$A$7:$C$17</definedName>
    <definedName name="Tabela_Fator_Veic">[1]FatorEmis_Vias!$A$4:$G$16</definedName>
    <definedName name="Tabela_Silte">[1]FatorEmis_Vias!$I$12:$O$21</definedName>
    <definedName name="Tipo_Veic">[1]FatorEmis_Vias!$A$4:$A$16</definedName>
  </definedNames>
  <calcPr calcId="152511"/>
</workbook>
</file>

<file path=xl/calcChain.xml><?xml version="1.0" encoding="utf-8"?>
<calcChain xmlns="http://schemas.openxmlformats.org/spreadsheetml/2006/main">
  <c r="T6" i="14" l="1"/>
  <c r="AH26" i="9"/>
  <c r="AH25" i="9"/>
  <c r="AH24" i="9"/>
  <c r="AH23" i="9"/>
  <c r="AH22" i="9"/>
  <c r="AH21" i="9"/>
  <c r="AI24" i="9"/>
  <c r="T5" i="14" l="1"/>
  <c r="T4" i="14"/>
  <c r="T3" i="14"/>
  <c r="S6" i="14"/>
  <c r="S4" i="14"/>
  <c r="S3" i="14"/>
  <c r="R6" i="14"/>
  <c r="R4" i="14"/>
  <c r="R3" i="14"/>
  <c r="Q6" i="14"/>
  <c r="Q5" i="14"/>
  <c r="Q4" i="14"/>
  <c r="Q3" i="14"/>
  <c r="N6" i="14"/>
  <c r="N5" i="14"/>
  <c r="N4" i="14"/>
  <c r="N3" i="14"/>
  <c r="AN26" i="9"/>
  <c r="AN25" i="9"/>
  <c r="AN24" i="9"/>
  <c r="AN23" i="9"/>
  <c r="AN22" i="9"/>
  <c r="AN21" i="9"/>
  <c r="AN20" i="9"/>
  <c r="AN19" i="9"/>
  <c r="AN18" i="9"/>
  <c r="AN17" i="9"/>
  <c r="AN11" i="9"/>
  <c r="AN10" i="9"/>
  <c r="AM26" i="9"/>
  <c r="AM25" i="9"/>
  <c r="AM24" i="9"/>
  <c r="AM23" i="9"/>
  <c r="AM22" i="9"/>
  <c r="AM21" i="9"/>
  <c r="AM19" i="9"/>
  <c r="AM18" i="9"/>
  <c r="AM17" i="9"/>
  <c r="AM11" i="9"/>
  <c r="AM10" i="9"/>
  <c r="AL26" i="9"/>
  <c r="AL25" i="9"/>
  <c r="AL24" i="9"/>
  <c r="AL23" i="9"/>
  <c r="AL22" i="9"/>
  <c r="AL21" i="9"/>
  <c r="AL20" i="9"/>
  <c r="AL19" i="9"/>
  <c r="AL18" i="9"/>
  <c r="AL17" i="9"/>
  <c r="AL11" i="9"/>
  <c r="AL10" i="9"/>
  <c r="AK26" i="9"/>
  <c r="AK25" i="9"/>
  <c r="AK24" i="9"/>
  <c r="AK23" i="9"/>
  <c r="AK22" i="9"/>
  <c r="AK21" i="9"/>
  <c r="AH20" i="9"/>
  <c r="AH19" i="9"/>
  <c r="AH18" i="9"/>
  <c r="AH17" i="9"/>
  <c r="AH16" i="9"/>
  <c r="AH15" i="9"/>
  <c r="AH14" i="9"/>
  <c r="AH13" i="9"/>
  <c r="AH12" i="9"/>
  <c r="F6" i="22" l="1"/>
  <c r="E6" i="22"/>
  <c r="C6" i="22" l="1"/>
  <c r="D6" i="22"/>
  <c r="G6" i="22"/>
  <c r="B6" i="22"/>
  <c r="AH31" i="9" l="1"/>
  <c r="I12" i="9" l="1"/>
  <c r="AJ12" i="9" l="1"/>
  <c r="AI12" i="9"/>
  <c r="H6" i="14"/>
  <c r="J7" i="18" l="1"/>
  <c r="I7" i="18"/>
  <c r="I8" i="7" l="1"/>
  <c r="I7" i="7"/>
  <c r="I6" i="7"/>
  <c r="B6" i="9" l="1"/>
  <c r="AJ17" i="9" l="1"/>
  <c r="AI17" i="9"/>
  <c r="AE11" i="9"/>
  <c r="AE10" i="9"/>
  <c r="B28" i="21"/>
  <c r="B30" i="21" s="1"/>
  <c r="C20" i="21" s="1"/>
  <c r="Q18" i="9" s="1"/>
  <c r="Q20" i="9" l="1"/>
  <c r="Q19" i="9"/>
  <c r="Q17" i="9"/>
  <c r="I20" i="21"/>
  <c r="G20" i="21"/>
  <c r="R20" i="9" s="1"/>
  <c r="AM20" i="9" s="1"/>
  <c r="E20" i="21"/>
  <c r="C15" i="21"/>
  <c r="C14" i="21"/>
  <c r="C12" i="21"/>
  <c r="C11" i="21"/>
  <c r="C10" i="21"/>
  <c r="C9" i="21"/>
  <c r="C7" i="21"/>
  <c r="C6" i="21"/>
  <c r="C5" i="21"/>
  <c r="R18" i="9" l="1"/>
  <c r="S18" i="9"/>
  <c r="R19" i="9"/>
  <c r="S19" i="9"/>
  <c r="S20" i="9"/>
  <c r="S17" i="9"/>
  <c r="R17" i="9"/>
  <c r="B3" i="9" l="1"/>
  <c r="B5" i="9" s="1"/>
  <c r="AK20" i="9" l="1"/>
  <c r="AK19" i="9"/>
  <c r="AK18" i="9"/>
  <c r="AK17" i="9"/>
  <c r="AK11" i="9"/>
  <c r="AK10" i="9"/>
  <c r="I6" i="14" l="1"/>
  <c r="I13" i="9"/>
  <c r="I14" i="9"/>
  <c r="I15" i="9"/>
  <c r="I16" i="9"/>
  <c r="I21" i="9"/>
  <c r="I22" i="9"/>
  <c r="I23" i="9"/>
  <c r="I24" i="9"/>
  <c r="I25" i="9"/>
  <c r="I26" i="9"/>
  <c r="H20" i="9"/>
  <c r="H19" i="9"/>
  <c r="H18" i="9"/>
  <c r="H17" i="9"/>
  <c r="H11" i="9"/>
  <c r="H10" i="9"/>
  <c r="M73" i="20"/>
  <c r="M72" i="20"/>
  <c r="M69" i="20"/>
  <c r="M68" i="20"/>
  <c r="M67" i="20"/>
  <c r="M66" i="20"/>
  <c r="M65" i="20"/>
  <c r="M64" i="20"/>
  <c r="M58" i="20"/>
  <c r="M57" i="20"/>
  <c r="M54" i="20"/>
  <c r="M53" i="20"/>
  <c r="M52" i="20"/>
  <c r="M51" i="20"/>
  <c r="M50" i="20"/>
  <c r="M49" i="20"/>
  <c r="M43" i="20"/>
  <c r="M42" i="20"/>
  <c r="M39" i="20"/>
  <c r="M38" i="20"/>
  <c r="M37" i="20"/>
  <c r="M36" i="20"/>
  <c r="M35" i="20"/>
  <c r="M34" i="20"/>
  <c r="M28" i="20"/>
  <c r="M27" i="20"/>
  <c r="M24" i="20"/>
  <c r="M23" i="20"/>
  <c r="M22" i="20"/>
  <c r="M21" i="20"/>
  <c r="M20" i="20"/>
  <c r="M19" i="20"/>
  <c r="M13" i="20"/>
  <c r="M12" i="20"/>
  <c r="M9" i="20"/>
  <c r="M8" i="20"/>
  <c r="M7" i="20"/>
  <c r="M6" i="20"/>
  <c r="M5" i="20"/>
  <c r="M4" i="20"/>
  <c r="F73" i="20"/>
  <c r="F72" i="20"/>
  <c r="G20" i="9" s="1"/>
  <c r="F69" i="20"/>
  <c r="F68" i="20"/>
  <c r="F67" i="20"/>
  <c r="F66" i="20"/>
  <c r="F65" i="20"/>
  <c r="F64" i="20"/>
  <c r="F58" i="20"/>
  <c r="F57" i="20"/>
  <c r="G18" i="9" s="1"/>
  <c r="F54" i="20"/>
  <c r="F53" i="20"/>
  <c r="F52" i="20"/>
  <c r="F51" i="20"/>
  <c r="F50" i="20"/>
  <c r="F49" i="20"/>
  <c r="F37" i="20"/>
  <c r="F43" i="20"/>
  <c r="F42" i="20"/>
  <c r="G17" i="9" s="1"/>
  <c r="F39" i="20"/>
  <c r="F38" i="20"/>
  <c r="F36" i="20"/>
  <c r="F35" i="20"/>
  <c r="F34" i="20"/>
  <c r="AI19" i="9" l="1"/>
  <c r="AJ19" i="9"/>
  <c r="AI20" i="9"/>
  <c r="AJ20" i="9"/>
  <c r="AI18" i="9"/>
  <c r="AJ18" i="9"/>
  <c r="I20" i="9"/>
  <c r="I17" i="9"/>
  <c r="I18" i="9"/>
  <c r="G19" i="9"/>
  <c r="I19" i="9" s="1"/>
  <c r="F21" i="20"/>
  <c r="F28" i="20"/>
  <c r="F27" i="20"/>
  <c r="G11" i="9" s="1"/>
  <c r="I11" i="9" s="1"/>
  <c r="F24" i="20"/>
  <c r="F23" i="20"/>
  <c r="F22" i="20"/>
  <c r="F20" i="20"/>
  <c r="AH11" i="9" s="1"/>
  <c r="F19" i="20"/>
  <c r="F8" i="20"/>
  <c r="F13" i="20"/>
  <c r="F12" i="20"/>
  <c r="G10" i="9" s="1"/>
  <c r="I10" i="9" s="1"/>
  <c r="F9" i="20"/>
  <c r="F7" i="20"/>
  <c r="F6" i="20"/>
  <c r="F5" i="20"/>
  <c r="AH10" i="9" s="1"/>
  <c r="F4" i="20"/>
  <c r="AI10" i="9" l="1"/>
  <c r="AJ10" i="9"/>
  <c r="AI11" i="9"/>
  <c r="AJ11" i="9"/>
  <c r="C29" i="10"/>
  <c r="D29" i="10" s="1"/>
  <c r="E29" i="10" l="1"/>
  <c r="J6" i="14" l="1"/>
  <c r="K6" i="14"/>
  <c r="L6" i="14"/>
  <c r="M6" i="14"/>
  <c r="J5" i="14"/>
  <c r="R5" i="14" s="1"/>
  <c r="K5" i="14"/>
  <c r="L5" i="14"/>
  <c r="S5" i="14" s="1"/>
  <c r="M5" i="14"/>
  <c r="I5" i="14"/>
  <c r="J4" i="14"/>
  <c r="K4" i="14"/>
  <c r="L4" i="14"/>
  <c r="M4" i="14"/>
  <c r="I4" i="14"/>
  <c r="J3" i="14"/>
  <c r="K3" i="14"/>
  <c r="L3" i="14"/>
  <c r="M3" i="14"/>
  <c r="I3" i="14"/>
  <c r="O3" i="14" s="1"/>
  <c r="P3" i="14" s="1"/>
  <c r="H8" i="7" l="1"/>
  <c r="G8" i="7"/>
  <c r="G7" i="7"/>
  <c r="G6" i="7"/>
  <c r="H7" i="7"/>
  <c r="H6" i="7"/>
  <c r="F7" i="18" l="1"/>
  <c r="H7" i="18" l="1"/>
  <c r="B2" i="18"/>
  <c r="D7" i="18" s="1"/>
  <c r="B3" i="7"/>
  <c r="D6" i="7" s="1"/>
  <c r="L6" i="7" l="1"/>
  <c r="K6" i="7"/>
  <c r="J6" i="7"/>
  <c r="L7" i="18"/>
  <c r="L8" i="18" s="1"/>
  <c r="C7" i="22" s="1"/>
  <c r="K7" i="18"/>
  <c r="K8" i="18" s="1"/>
  <c r="B7" i="22" s="1"/>
  <c r="M7" i="18"/>
  <c r="M8" i="18" s="1"/>
  <c r="D7" i="22" s="1"/>
  <c r="E4" i="9" l="1"/>
  <c r="I4" i="9"/>
  <c r="D7" i="7" l="1"/>
  <c r="D5" i="10"/>
  <c r="K7" i="7" l="1"/>
  <c r="L7" i="7"/>
  <c r="W24" i="9"/>
  <c r="W21" i="9"/>
  <c r="W17" i="9"/>
  <c r="W22" i="9"/>
  <c r="W10" i="9"/>
  <c r="W25" i="9"/>
  <c r="W18" i="9"/>
  <c r="W23" i="9"/>
  <c r="W20" i="9"/>
  <c r="W11" i="9"/>
  <c r="W26" i="9"/>
  <c r="W19" i="9"/>
  <c r="J7" i="7"/>
  <c r="D8" i="7"/>
  <c r="L8" i="7" s="1"/>
  <c r="J8" i="7" l="1"/>
  <c r="L9" i="7" s="1"/>
  <c r="D4" i="22" s="1"/>
  <c r="K8" i="7"/>
  <c r="K9" i="7" s="1"/>
  <c r="C4" i="22" s="1"/>
  <c r="J9" i="7" l="1"/>
  <c r="B4" i="22" s="1"/>
  <c r="N7" i="14"/>
  <c r="K11" i="9" l="1"/>
  <c r="K10" i="9"/>
  <c r="C28" i="12"/>
  <c r="B29" i="12"/>
  <c r="C29" i="12" s="1"/>
  <c r="D29" i="12" s="1"/>
  <c r="B28" i="12"/>
  <c r="S7" i="14" l="1"/>
  <c r="Q7" i="14"/>
  <c r="R7" i="14"/>
  <c r="T7" i="14"/>
  <c r="H6" i="22" s="1"/>
  <c r="O5" i="14"/>
  <c r="O6" i="14" l="1"/>
  <c r="P6" i="14" l="1"/>
  <c r="O4" i="14"/>
  <c r="O7" i="14" s="1"/>
  <c r="P4" i="14" l="1"/>
  <c r="P5" i="14"/>
  <c r="P7" i="14" l="1"/>
  <c r="J23" i="9" l="1"/>
  <c r="J21" i="9"/>
  <c r="AJ16" i="9" l="1"/>
  <c r="AI16" i="9"/>
  <c r="J11" i="9"/>
  <c r="J10" i="9"/>
  <c r="AI15" i="9" l="1"/>
  <c r="AJ15" i="9"/>
  <c r="AI14" i="9"/>
  <c r="AJ14" i="9"/>
  <c r="C28" i="10"/>
  <c r="D28" i="10" s="1"/>
  <c r="C27" i="10"/>
  <c r="D27" i="10" s="1"/>
  <c r="C26" i="10"/>
  <c r="D26" i="10" s="1"/>
  <c r="C19" i="10"/>
  <c r="D19" i="10" s="1"/>
  <c r="C18" i="10"/>
  <c r="D18" i="10" s="1"/>
  <c r="E18" i="10" s="1"/>
  <c r="C12" i="10"/>
  <c r="C11" i="10"/>
  <c r="C10" i="10"/>
  <c r="D6" i="10"/>
  <c r="AI13" i="9" l="1"/>
  <c r="AJ13" i="9"/>
  <c r="T26" i="9"/>
  <c r="T22" i="9"/>
  <c r="T21" i="9"/>
  <c r="T17" i="9"/>
  <c r="T20" i="9"/>
  <c r="T24" i="9"/>
  <c r="T10" i="9"/>
  <c r="T23" i="9"/>
  <c r="T18" i="9"/>
  <c r="T25" i="9"/>
  <c r="T11" i="9"/>
  <c r="T19" i="9"/>
  <c r="Y23" i="9"/>
  <c r="Y18" i="9"/>
  <c r="Y25" i="9"/>
  <c r="Y20" i="9"/>
  <c r="Y11" i="9"/>
  <c r="Y24" i="9"/>
  <c r="Y19" i="9"/>
  <c r="Y26" i="9"/>
  <c r="Y22" i="9"/>
  <c r="Y21" i="9"/>
  <c r="Y17" i="9"/>
  <c r="Y10" i="9"/>
  <c r="X25" i="9"/>
  <c r="X20" i="9"/>
  <c r="X10" i="9"/>
  <c r="X18" i="9"/>
  <c r="X22" i="9"/>
  <c r="X17" i="9"/>
  <c r="X11" i="9"/>
  <c r="X24" i="9"/>
  <c r="X19" i="9"/>
  <c r="X23" i="9"/>
  <c r="X26" i="9"/>
  <c r="X21" i="9"/>
  <c r="Z26" i="9"/>
  <c r="Z22" i="9"/>
  <c r="Z19" i="9"/>
  <c r="Z10" i="9"/>
  <c r="Z24" i="9"/>
  <c r="Z21" i="9"/>
  <c r="Z23" i="9"/>
  <c r="Z20" i="9"/>
  <c r="Z25" i="9"/>
  <c r="Z18" i="9"/>
  <c r="Z17" i="9"/>
  <c r="Z11" i="9"/>
  <c r="E19" i="10"/>
  <c r="E26" i="10"/>
  <c r="C5" i="12"/>
  <c r="D5" i="12" s="1"/>
  <c r="C4" i="12"/>
  <c r="D4" i="12" s="1"/>
  <c r="C23" i="12"/>
  <c r="D23" i="12" s="1"/>
  <c r="C21" i="12"/>
  <c r="D21" i="12" s="1"/>
  <c r="C13" i="12"/>
  <c r="D13" i="12" s="1"/>
  <c r="D28" i="12"/>
  <c r="C24" i="12"/>
  <c r="D24" i="12" s="1"/>
  <c r="C18" i="12"/>
  <c r="D18" i="12" s="1"/>
  <c r="C16" i="12"/>
  <c r="D16" i="12" s="1"/>
  <c r="E27" i="10"/>
  <c r="E28" i="10"/>
  <c r="AI21" i="9" l="1"/>
  <c r="AJ21" i="9"/>
  <c r="AJ25" i="9"/>
  <c r="AI25" i="9"/>
  <c r="AI22" i="9"/>
  <c r="AJ22" i="9"/>
  <c r="AI26" i="9"/>
  <c r="AJ26" i="9"/>
  <c r="AD10" i="9"/>
  <c r="AD11" i="9"/>
  <c r="AF11" i="9"/>
  <c r="AF10" i="9"/>
  <c r="AA10" i="9"/>
  <c r="AA11" i="9"/>
  <c r="AG10" i="9"/>
  <c r="AG11" i="9"/>
  <c r="AK27" i="9"/>
  <c r="AL27" i="9"/>
  <c r="E5" i="22" l="1"/>
  <c r="E9" i="22" s="1"/>
  <c r="F5" i="22"/>
  <c r="F9" i="22" s="1"/>
  <c r="AJ24" i="9"/>
  <c r="AI23" i="9"/>
  <c r="AJ23" i="9"/>
  <c r="AH27" i="9"/>
  <c r="AM27" i="9"/>
  <c r="AN27" i="9"/>
  <c r="AI27" i="9"/>
  <c r="H5" i="22" l="1"/>
  <c r="H9" i="22" s="1"/>
  <c r="G5" i="22"/>
  <c r="G9" i="22" s="1"/>
  <c r="B5" i="22"/>
  <c r="B9" i="22" s="1"/>
  <c r="C5" i="22"/>
  <c r="C9" i="22" s="1"/>
  <c r="AJ27" i="9"/>
  <c r="D5" i="22" l="1"/>
  <c r="D9" i="22" s="1"/>
</calcChain>
</file>

<file path=xl/comments1.xml><?xml version="1.0" encoding="utf-8"?>
<comments xmlns="http://schemas.openxmlformats.org/spreadsheetml/2006/main">
  <authors>
    <author>Julius</author>
  </authors>
  <commentList>
    <comment ref="B28" authorId="0" shapeId="0">
      <text>
        <r>
          <rPr>
            <sz val="9"/>
            <color indexed="81"/>
            <rFont val="Tahoma"/>
            <family val="2"/>
          </rPr>
          <t>Aplicado o fator:
(273,15+25)/273,15
para transformar o consumo de gás natural de Nm³/h para m³/h. Considerou-se temperatura do gás a 25 ºC (ambiente)</t>
        </r>
      </text>
    </comment>
  </commentList>
</comments>
</file>

<file path=xl/comments2.xml><?xml version="1.0" encoding="utf-8"?>
<comments xmlns="http://schemas.openxmlformats.org/spreadsheetml/2006/main">
  <authors>
    <author>Andrielly Moutinho Knupp</author>
  </authors>
  <commentList>
    <comment ref="A27" authorId="0" shapeId="0">
      <text>
        <r>
          <rPr>
            <sz val="9"/>
            <color indexed="81"/>
            <rFont val="Segoe UI"/>
            <family val="2"/>
          </rPr>
          <t>http://sites.petrobras.com.br/minisite/premiotecnologia/pdf/TecnologiaGas_GasNatural_Motores.pdf</t>
        </r>
      </text>
    </comment>
    <comment ref="A29" authorId="0" shapeId="0">
      <text>
        <r>
          <rPr>
            <sz val="9"/>
            <color indexed="81"/>
            <rFont val="Segoe UI"/>
            <family val="2"/>
          </rPr>
          <t>Teor Máximo de Enxofre no Gás Natural: Resolução ANP 16/2008
http://www.scgas.com.br/uploads/editores/20100720165420.pdf</t>
        </r>
      </text>
    </comment>
  </commentList>
</comments>
</file>

<file path=xl/comments3.xml><?xml version="1.0" encoding="utf-8"?>
<comments xmlns="http://schemas.openxmlformats.org/spreadsheetml/2006/main">
  <authors>
    <author>Julius</author>
    <author>Andrielly Moutinho Knupp</author>
  </authors>
  <commentList>
    <comment ref="D4" authorId="0" shapeId="0">
      <text>
        <r>
          <rPr>
            <sz val="9"/>
            <color indexed="81"/>
            <rFont val="Tahoma"/>
            <family val="2"/>
          </rPr>
          <t xml:space="preserve">15 ºC e 1 atm
</t>
        </r>
        <r>
          <rPr>
            <sz val="9"/>
            <color indexed="81"/>
            <rFont val="Tahoma"/>
            <family val="2"/>
          </rPr>
          <t xml:space="preserve">
fator de conversão de lb/106 sfc para kg/106 m³ = 16
</t>
        </r>
      </text>
    </comment>
    <comment ref="B5" authorId="1" shapeId="0">
      <text>
        <r>
          <rPr>
            <sz val="9"/>
            <color indexed="81"/>
            <rFont val="Segoe UI"/>
            <family val="2"/>
          </rPr>
          <t>Expresso como NO2</t>
        </r>
      </text>
    </comment>
    <comment ref="C9" authorId="1" shapeId="0">
      <text>
        <r>
          <rPr>
            <sz val="9"/>
            <color indexed="81"/>
            <rFont val="Segoe UI"/>
            <family val="2"/>
          </rPr>
          <t>15 ºC e 1 atm</t>
        </r>
        <r>
          <rPr>
            <b/>
            <sz val="9"/>
            <color indexed="81"/>
            <rFont val="Segoe UI"/>
            <family val="2"/>
          </rPr>
          <t xml:space="preserve">
</t>
        </r>
        <r>
          <rPr>
            <sz val="9"/>
            <color indexed="81"/>
            <rFont val="Segoe UI"/>
            <family val="2"/>
          </rPr>
          <t>fator de conversão de lb/106 sfc para kg/106 m³ = 16</t>
        </r>
        <r>
          <rPr>
            <b/>
            <sz val="9"/>
            <color indexed="81"/>
            <rFont val="Segoe UI"/>
            <family val="2"/>
          </rPr>
          <t xml:space="preserve">
</t>
        </r>
      </text>
    </comment>
    <comment ref="D17" authorId="1" shapeId="0">
      <text>
        <r>
          <rPr>
            <sz val="9"/>
            <color indexed="81"/>
            <rFont val="Segoe UI"/>
            <family val="2"/>
          </rPr>
          <t xml:space="preserve">fator de conversão de lb/MMBtu para lb/106 sfc = 1020
</t>
        </r>
      </text>
    </comment>
    <comment ref="E17" authorId="0" shapeId="0">
      <text>
        <r>
          <rPr>
            <sz val="9"/>
            <color indexed="81"/>
            <rFont val="Tahoma"/>
            <family val="2"/>
          </rPr>
          <t xml:space="preserve">15 ºC e 1 atm
</t>
        </r>
        <r>
          <rPr>
            <sz val="9"/>
            <color indexed="81"/>
            <rFont val="Tahoma"/>
            <family val="2"/>
          </rPr>
          <t xml:space="preserve">
fator de conversão de lb/106 sfc para kg/106 m³ = 16
</t>
        </r>
      </text>
    </comment>
    <comment ref="A23" authorId="1" shapeId="0">
      <text>
        <r>
          <rPr>
            <sz val="9"/>
            <color indexed="81"/>
            <rFont val="Segoe UI"/>
            <family val="2"/>
          </rPr>
          <t>GHG - Greenhouse gases</t>
        </r>
      </text>
    </comment>
    <comment ref="E24" authorId="0" shapeId="0">
      <text>
        <r>
          <rPr>
            <sz val="9"/>
            <color indexed="81"/>
            <rFont val="Tahoma"/>
            <family val="2"/>
          </rPr>
          <t>15 ºC e 1 atm</t>
        </r>
      </text>
    </comment>
  </commentList>
</comments>
</file>

<file path=xl/comments4.xml><?xml version="1.0" encoding="utf-8"?>
<comments xmlns="http://schemas.openxmlformats.org/spreadsheetml/2006/main">
  <authors>
    <author>Andrielly Moutinho Knupp</author>
    <author>Tatiane Jardim Morais</author>
    <author>Alinie Rossi dos Santos</author>
  </authors>
  <commentList>
    <comment ref="B3" authorId="0" shapeId="0">
      <text>
        <r>
          <rPr>
            <sz val="9"/>
            <color indexed="81"/>
            <rFont val="Segoe UI"/>
            <family val="2"/>
          </rPr>
          <t>Foi considerado que cerca de 90% de toda matéria-prima existente nos pátios da Biancogrês, localiza-se no pátio externo (Fonte: Biancogres).</t>
        </r>
      </text>
    </comment>
    <comment ref="D4" authorId="1" shapeId="0">
      <text>
        <r>
          <rPr>
            <sz val="8"/>
            <color indexed="81"/>
            <rFont val="Tahoma"/>
            <family val="2"/>
          </rPr>
          <t>Segundo o fluxograma do processo de britagem da Biancogres, o processamento de matéria prima é da seguinte forma:
- britador de mandíbula processa 43%.
- britador cônico processa 57%. 
100% da matéria prima passa pela peneira.</t>
        </r>
      </text>
    </comment>
    <comment ref="F4" authorId="2" shapeId="0">
      <text>
        <r>
          <rPr>
            <sz val="9"/>
            <color indexed="81"/>
            <rFont val="Segoe UI"/>
            <family val="2"/>
          </rPr>
          <t xml:space="preserve">WRAP (2006) - Implement wet suppression </t>
        </r>
      </text>
    </comment>
    <comment ref="H5" authorId="1" shapeId="0">
      <text>
        <r>
          <rPr>
            <sz val="9"/>
            <color indexed="81"/>
            <rFont val="Segoe UI"/>
            <family val="2"/>
          </rPr>
          <t xml:space="preserve"> Fonte: USEPA, (2004). Section 11.19.2 . Table 11.19.2-1 = No data available, but emission factors for PM-10 for tertiary crushers can be used as an upper limit for
primary or secondary crushing.
</t>
        </r>
      </text>
    </comment>
    <comment ref="I6" authorId="1" shapeId="0">
      <text>
        <r>
          <rPr>
            <sz val="9"/>
            <color indexed="81"/>
            <rFont val="Segoe UI"/>
            <family val="2"/>
          </rPr>
          <t>Considerada a mesma relação PM2.5/PM10 para o fator de "Tertiary Crushing (controlled)"</t>
        </r>
      </text>
    </comment>
    <comment ref="I7" authorId="1" shapeId="0">
      <text>
        <r>
          <rPr>
            <sz val="9"/>
            <color indexed="81"/>
            <rFont val="Segoe UI"/>
            <family val="2"/>
          </rPr>
          <t xml:space="preserve">Considerada a mesma relação PM2.5/PM10 para o fator de "Tertiary Crushing (controlled)"
</t>
        </r>
      </text>
    </comment>
    <comment ref="I8" authorId="1" shapeId="0">
      <text>
        <r>
          <rPr>
            <sz val="9"/>
            <color indexed="81"/>
            <rFont val="Segoe UI"/>
            <family val="2"/>
          </rPr>
          <t xml:space="preserve">Considerada a mesma relação PM2.5/PM10 para o fator de "Screening (controlled)"
</t>
        </r>
      </text>
    </comment>
  </commentList>
</comments>
</file>

<file path=xl/comments5.xml><?xml version="1.0" encoding="utf-8"?>
<comments xmlns="http://schemas.openxmlformats.org/spreadsheetml/2006/main">
  <authors>
    <author>Andrielly Moutinho Knupp</author>
    <author>Tatiane Jardim Morais</author>
  </authors>
  <commentList>
    <comment ref="D1" authorId="0" shapeId="0">
      <text>
        <r>
          <rPr>
            <sz val="9"/>
            <color indexed="81"/>
            <rFont val="Segoe UI"/>
            <family val="2"/>
          </rPr>
          <t>Resolução ANP 16/2008</t>
        </r>
      </text>
    </comment>
    <comment ref="H1" authorId="0" shapeId="0">
      <text>
        <r>
          <rPr>
            <sz val="9"/>
            <color indexed="81"/>
            <rFont val="Segoe UI"/>
            <family val="2"/>
          </rPr>
          <t>Resolução ANP 16/2008</t>
        </r>
      </text>
    </comment>
    <comment ref="A2" authorId="0" shapeId="0">
      <text>
        <r>
          <rPr>
            <sz val="9"/>
            <color indexed="81"/>
            <rFont val="Segoe UI"/>
            <family val="2"/>
          </rPr>
          <t>http://sites.petrobras.com.br/minisite/premiotecnologia/pdf/TecnologiaGas_GasNatural_Motores.pdf</t>
        </r>
      </text>
    </comment>
    <comment ref="A4" authorId="0" shapeId="0">
      <text>
        <r>
          <rPr>
            <sz val="9"/>
            <color indexed="81"/>
            <rFont val="Segoe UI"/>
            <family val="2"/>
          </rPr>
          <t>Teor Máximo de Enxofre no Gás Natural: Resolução ANP 16/2008
http://nxt.anp.gov.br/NXT/gateway.dll/leg/resolucoes_anp/2008/junho/ranp%2016%20-%202008.xml?f=templates$fn=document-frame.htm$3.0$q=$x=$nc=4315</t>
        </r>
      </text>
    </comment>
    <comment ref="L8" authorId="1" shapeId="0">
      <text>
        <r>
          <rPr>
            <sz val="9"/>
            <color indexed="81"/>
            <rFont val="Segoe UI"/>
            <family val="2"/>
          </rPr>
          <t xml:space="preserve">Concentração retirada da pag 121 item 3.3.6.1 do documento de referência da Comissão Européia: Ceramic Manufacturing Industry (2007).
</t>
        </r>
      </text>
    </comment>
    <comment ref="AI9" authorId="1" shapeId="0">
      <text>
        <r>
          <rPr>
            <sz val="9"/>
            <color indexed="81"/>
            <rFont val="Segoe UI"/>
            <family val="2"/>
          </rPr>
          <t xml:space="preserve">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
</t>
        </r>
      </text>
    </comment>
    <comment ref="AJ9" authorId="1" shapeId="0">
      <text>
        <r>
          <rPr>
            <sz val="9"/>
            <color indexed="81"/>
            <rFont val="Segoe UI"/>
            <family val="2"/>
          </rPr>
          <t xml:space="preserve">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
</t>
        </r>
      </text>
    </comment>
  </commentList>
</comments>
</file>

<file path=xl/comments6.xml><?xml version="1.0" encoding="utf-8"?>
<comments xmlns="http://schemas.openxmlformats.org/spreadsheetml/2006/main">
  <authors>
    <author>Tatiane Jardim Morais</author>
  </authors>
  <commentList>
    <comment ref="H6" authorId="0" shapeId="0">
      <text>
        <r>
          <rPr>
            <sz val="9"/>
            <color indexed="81"/>
            <rFont val="Segoe UI"/>
            <family val="2"/>
          </rPr>
          <t>Funciona 2 dias na semana em torno de 5 horas no dia.</t>
        </r>
      </text>
    </comment>
  </commentList>
</comments>
</file>

<file path=xl/comments7.xml><?xml version="1.0" encoding="utf-8"?>
<comments xmlns="http://schemas.openxmlformats.org/spreadsheetml/2006/main">
  <authors>
    <author>Tatiane Jardim Morais</author>
    <author>Andrielly Moutinho Knupp</author>
  </authors>
  <commentList>
    <comment ref="A1" authorId="0" shapeId="0">
      <text>
        <r>
          <rPr>
            <sz val="9"/>
            <color indexed="81"/>
            <rFont val="Segoe UI"/>
            <family val="2"/>
          </rPr>
          <t xml:space="preserve">A empresa trabalha de segunda a sexta de 07:00 ás 17:00 com 1 hora de almoço
No ano foram 252 dias trabalhados (2015).
</t>
        </r>
      </text>
    </comment>
    <comment ref="B2" authorId="1" shapeId="0">
      <text>
        <r>
          <rPr>
            <sz val="9"/>
            <color indexed="81"/>
            <rFont val="Segoe UI"/>
            <family val="2"/>
          </rPr>
          <t>Foi considerado que cerca de 90% de toda matéria-prima existente nos pátios da Biancogrês, localiza-se no pátio externo (Fonte: Biancogres).</t>
        </r>
      </text>
    </comment>
    <comment ref="B3" authorId="0" shapeId="0">
      <text>
        <r>
          <rPr>
            <sz val="9"/>
            <color indexed="81"/>
            <rFont val="Segoe UI"/>
            <family val="2"/>
          </rPr>
          <t>Média da Velocidade do vento para o ano de 2015 - Aeroporto de Vitória</t>
        </r>
      </text>
    </comment>
    <comment ref="D7" authorId="0" shapeId="0">
      <text>
        <r>
          <rPr>
            <sz val="9"/>
            <color indexed="81"/>
            <rFont val="Segoe UI"/>
            <family val="2"/>
          </rPr>
          <t>Considerado o empilhamento e desempilhamento</t>
        </r>
      </text>
    </comment>
    <comment ref="E7" authorId="0" shapeId="0">
      <text>
        <r>
          <rPr>
            <sz val="9"/>
            <color indexed="81"/>
            <rFont val="Segoe UI"/>
            <family val="2"/>
          </rPr>
          <t>WRAP (2006) - Fugitive Dust Handbook</t>
        </r>
      </text>
    </comment>
    <comment ref="F7" authorId="0" shapeId="0">
      <text>
        <r>
          <rPr>
            <sz val="9"/>
            <color indexed="81"/>
            <rFont val="Segoe UI"/>
            <family val="2"/>
          </rPr>
          <t xml:space="preserve">Umidade da argila cerca de 15-20% (Fonte: Biancogrês)
</t>
        </r>
      </text>
    </comment>
    <comment ref="A16" authorId="1" shapeId="0">
      <text>
        <r>
          <rPr>
            <b/>
            <sz val="9"/>
            <color indexed="81"/>
            <rFont val="Segoe UI"/>
            <family val="2"/>
          </rPr>
          <t>Rating A</t>
        </r>
        <r>
          <rPr>
            <sz val="9"/>
            <color indexed="81"/>
            <rFont val="Segoe UI"/>
            <family val="2"/>
          </rPr>
          <t xml:space="preserve">
</t>
        </r>
      </text>
    </comment>
  </commentList>
</comments>
</file>

<file path=xl/sharedStrings.xml><?xml version="1.0" encoding="utf-8"?>
<sst xmlns="http://schemas.openxmlformats.org/spreadsheetml/2006/main" count="742" uniqueCount="242">
  <si>
    <t>Processo</t>
  </si>
  <si>
    <t>ATM090</t>
  </si>
  <si>
    <t xml:space="preserve">Lavador de gases </t>
  </si>
  <si>
    <t>ATM140</t>
  </si>
  <si>
    <t>Captação de pó 01</t>
  </si>
  <si>
    <t>Filtro Manga</t>
  </si>
  <si>
    <t>Captação de pó 02</t>
  </si>
  <si>
    <t>Captação de pó 03</t>
  </si>
  <si>
    <t>Captação de pó 04</t>
  </si>
  <si>
    <t>Captação de pó 05</t>
  </si>
  <si>
    <t>Captação de pó 06</t>
  </si>
  <si>
    <t>Captação de pó 07</t>
  </si>
  <si>
    <t>Forno 01</t>
  </si>
  <si>
    <t>Exaustão do fumos</t>
  </si>
  <si>
    <t>Forno 02</t>
  </si>
  <si>
    <t>Forno 03</t>
  </si>
  <si>
    <t>Exaustão do Fumos 01</t>
  </si>
  <si>
    <t>Exaustão do Fumos 02</t>
  </si>
  <si>
    <t>Secador 1</t>
  </si>
  <si>
    <t>Secador 2</t>
  </si>
  <si>
    <t>Secador 3</t>
  </si>
  <si>
    <t>CO</t>
  </si>
  <si>
    <t>NOx</t>
  </si>
  <si>
    <t>COV</t>
  </si>
  <si>
    <t>Fonte Emissora</t>
  </si>
  <si>
    <t>Pollutant</t>
  </si>
  <si>
    <t>VOC</t>
  </si>
  <si>
    <t>PM (filterable)</t>
  </si>
  <si>
    <t xml:space="preserve"> [m³/h]</t>
  </si>
  <si>
    <r>
      <t>(lb/10</t>
    </r>
    <r>
      <rPr>
        <vertAlign val="superscript"/>
        <sz val="8"/>
        <color theme="1"/>
        <rFont val="Arial"/>
        <family val="2"/>
      </rPr>
      <t>6</t>
    </r>
    <r>
      <rPr>
        <sz val="8"/>
        <color theme="1"/>
        <rFont val="Arial"/>
        <family val="2"/>
      </rPr>
      <t xml:space="preserve"> scf)</t>
    </r>
  </si>
  <si>
    <t>PM (Total)</t>
  </si>
  <si>
    <t>Consumo de GN</t>
  </si>
  <si>
    <t>(lb/MMBtu)</t>
  </si>
  <si>
    <t>0,94*S</t>
  </si>
  <si>
    <t>958,8*S</t>
  </si>
  <si>
    <t>Taxa de emissão [kg/h]</t>
  </si>
  <si>
    <t>Fonte</t>
  </si>
  <si>
    <t>Britador de Mandíbula</t>
  </si>
  <si>
    <t>Britador Cônico</t>
  </si>
  <si>
    <t>Peneira Vibratória</t>
  </si>
  <si>
    <t>--</t>
  </si>
  <si>
    <t>Densidade absoluta do ar [kg/m³]</t>
  </si>
  <si>
    <t>Densidade do GN [kg/m³]</t>
  </si>
  <si>
    <t>Máximo</t>
  </si>
  <si>
    <t>Mínimo</t>
  </si>
  <si>
    <t>Média</t>
  </si>
  <si>
    <t>Potência Térmica</t>
  </si>
  <si>
    <t xml:space="preserve"> [MW]</t>
  </si>
  <si>
    <t xml:space="preserve"> [MMBtu/h]</t>
  </si>
  <si>
    <r>
      <t>kg/10</t>
    </r>
    <r>
      <rPr>
        <vertAlign val="superscript"/>
        <sz val="8"/>
        <color theme="1"/>
        <rFont val="Arial"/>
        <family val="2"/>
      </rPr>
      <t>6</t>
    </r>
    <r>
      <rPr>
        <sz val="8"/>
        <color theme="1"/>
        <rFont val="Arial"/>
        <family val="2"/>
      </rPr>
      <t>m³</t>
    </r>
  </si>
  <si>
    <t>Fator de emissão [kg/t]</t>
  </si>
  <si>
    <t>Q [t/h]</t>
  </si>
  <si>
    <t>Uncontrolled</t>
  </si>
  <si>
    <t>15340,8*S</t>
  </si>
  <si>
    <t>Teor máximo de enxofre no GN [mg/m³]</t>
  </si>
  <si>
    <t>PCS [kJ/m³] (ANP,2008)</t>
  </si>
  <si>
    <t>PCS [kWh/m³] (ANP,2008)</t>
  </si>
  <si>
    <t>Densidade relativa Gás Natural [%]</t>
  </si>
  <si>
    <t>Captação de pó 08</t>
  </si>
  <si>
    <t>Classificação dos fatores de emissão</t>
  </si>
  <si>
    <t>Horas/dia</t>
  </si>
  <si>
    <t>Excavators</t>
  </si>
  <si>
    <t>Tractors/Loaders/Backhoes</t>
  </si>
  <si>
    <t>Quantidade Equipamentos</t>
  </si>
  <si>
    <t>Equipment</t>
  </si>
  <si>
    <t>MaxHP</t>
  </si>
  <si>
    <t>ROG</t>
  </si>
  <si>
    <t>NOX</t>
  </si>
  <si>
    <t>SOX</t>
  </si>
  <si>
    <t>PM</t>
  </si>
  <si>
    <t>CO2</t>
  </si>
  <si>
    <t>CH4</t>
  </si>
  <si>
    <t>Excavators Composite</t>
  </si>
  <si>
    <t>Sweepers/Scrubbers</t>
  </si>
  <si>
    <t>Sweepers/Scrubbers Composite</t>
  </si>
  <si>
    <t>Tractors/Loaders/Backhoes Composite</t>
  </si>
  <si>
    <t>Exaustão do Fumos 03</t>
  </si>
  <si>
    <t>Exaustão do Fumos 04</t>
  </si>
  <si>
    <t>Taxa de Emissão [kg/h]</t>
  </si>
  <si>
    <t>Cogeração 1</t>
  </si>
  <si>
    <t>Cogeração 2</t>
  </si>
  <si>
    <t>Pá carregadeira L90f volvo</t>
  </si>
  <si>
    <t>Pá carregadeira Caterpillar 938H</t>
  </si>
  <si>
    <t>Emission Factor Rating</t>
  </si>
  <si>
    <t>A</t>
  </si>
  <si>
    <t>B</t>
  </si>
  <si>
    <t>D</t>
  </si>
  <si>
    <t>C</t>
  </si>
  <si>
    <r>
      <t>(lb/10</t>
    </r>
    <r>
      <rPr>
        <vertAlign val="superscript"/>
        <sz val="8"/>
        <rFont val="Arial"/>
        <family val="2"/>
      </rPr>
      <t xml:space="preserve">6 </t>
    </r>
    <r>
      <rPr>
        <sz val="8"/>
        <rFont val="Arial"/>
        <family val="2"/>
      </rPr>
      <t>scf)</t>
    </r>
  </si>
  <si>
    <r>
      <t>kg/10</t>
    </r>
    <r>
      <rPr>
        <vertAlign val="superscript"/>
        <sz val="8"/>
        <rFont val="Arial"/>
        <family val="2"/>
      </rPr>
      <t>6</t>
    </r>
    <r>
      <rPr>
        <sz val="8"/>
        <rFont val="Arial"/>
        <family val="2"/>
      </rPr>
      <t>m³</t>
    </r>
  </si>
  <si>
    <t>E</t>
  </si>
  <si>
    <t>ND</t>
  </si>
  <si>
    <t>PM (condensible)</t>
  </si>
  <si>
    <t>Teor de Enxofre (%)</t>
  </si>
  <si>
    <t>Fator de Emissão [kg/h]</t>
  </si>
  <si>
    <r>
      <t>NO</t>
    </r>
    <r>
      <rPr>
        <b/>
        <vertAlign val="subscript"/>
        <sz val="8"/>
        <color theme="0"/>
        <rFont val="Arial"/>
        <family val="2"/>
      </rPr>
      <t>X</t>
    </r>
  </si>
  <si>
    <r>
      <t>SO</t>
    </r>
    <r>
      <rPr>
        <b/>
        <vertAlign val="subscript"/>
        <sz val="8"/>
        <color theme="0"/>
        <rFont val="Arial"/>
        <family val="2"/>
      </rPr>
      <t>2</t>
    </r>
  </si>
  <si>
    <t>Ano de Referência: 2007</t>
  </si>
  <si>
    <t xml:space="preserve">Funcionamento (horas): </t>
  </si>
  <si>
    <t>Quantidade Movimentada (t/ano)</t>
  </si>
  <si>
    <t>Velocidade do Vento (m/s)</t>
  </si>
  <si>
    <t>Quantidade Movimentada (t/h)</t>
  </si>
  <si>
    <t>Eficiência de Controle (%)</t>
  </si>
  <si>
    <t>Umidade do Material (%)</t>
  </si>
  <si>
    <t>Fator de Emissão [kg/t]</t>
  </si>
  <si>
    <r>
      <t>PM</t>
    </r>
    <r>
      <rPr>
        <b/>
        <vertAlign val="subscript"/>
        <sz val="8"/>
        <color theme="0"/>
        <rFont val="Arial"/>
        <family val="2"/>
      </rPr>
      <t>10</t>
    </r>
  </si>
  <si>
    <r>
      <t>PM</t>
    </r>
    <r>
      <rPr>
        <b/>
        <vertAlign val="subscript"/>
        <sz val="8"/>
        <color theme="0"/>
        <rFont val="Arial"/>
        <family val="2"/>
      </rPr>
      <t>2,5</t>
    </r>
  </si>
  <si>
    <t>TR - Carreg/Descarreg. Pilhas</t>
  </si>
  <si>
    <t>Aggregate Handling And Storage Piles (Various limestone products)</t>
  </si>
  <si>
    <t>Aerodynamic Particle Size Multiplier (k) For Equation 1</t>
  </si>
  <si>
    <r>
      <t xml:space="preserve">&lt; 30 </t>
    </r>
    <r>
      <rPr>
        <sz val="8"/>
        <color theme="1"/>
        <rFont val="Calibri"/>
        <family val="2"/>
      </rPr>
      <t>µ</t>
    </r>
    <r>
      <rPr>
        <sz val="8"/>
        <color theme="1"/>
        <rFont val="Arial"/>
        <family val="2"/>
      </rPr>
      <t>m</t>
    </r>
  </si>
  <si>
    <r>
      <t xml:space="preserve">&lt; 10 </t>
    </r>
    <r>
      <rPr>
        <sz val="8"/>
        <color theme="1"/>
        <rFont val="Calibri"/>
        <family val="2"/>
      </rPr>
      <t>µ</t>
    </r>
    <r>
      <rPr>
        <sz val="8"/>
        <color theme="1"/>
        <rFont val="Arial"/>
        <family val="2"/>
      </rPr>
      <t>m</t>
    </r>
  </si>
  <si>
    <r>
      <t xml:space="preserve">&lt; 2.5 </t>
    </r>
    <r>
      <rPr>
        <sz val="8"/>
        <color theme="1"/>
        <rFont val="Calibri"/>
        <family val="2"/>
      </rPr>
      <t>µ</t>
    </r>
    <r>
      <rPr>
        <sz val="8"/>
        <color theme="1"/>
        <rFont val="Arial"/>
        <family val="2"/>
      </rPr>
      <t>m</t>
    </r>
  </si>
  <si>
    <t>Equação Geral:</t>
  </si>
  <si>
    <t>Onde:
E - emissão
k - particle size multiplier (dimensionless)
U - mean wind speed, meters per second (m/s) (miles per hour [mph]) 
M - material moisture content (%)</t>
  </si>
  <si>
    <r>
      <t>PM</t>
    </r>
    <r>
      <rPr>
        <b/>
        <vertAlign val="subscript"/>
        <sz val="8"/>
        <color theme="0"/>
        <rFont val="Arial"/>
        <family val="2"/>
      </rPr>
      <t xml:space="preserve">2,5 </t>
    </r>
  </si>
  <si>
    <t>Controle</t>
  </si>
  <si>
    <t>Umectação</t>
  </si>
  <si>
    <t>AP42 - 11.19.2  Crushed Stone Processing and Pulverized Mineral Processing</t>
  </si>
  <si>
    <t xml:space="preserve"> Table 11.19.2-1 Emission Factors for Crushed Stone Processing Operations (kg/Mg)</t>
  </si>
  <si>
    <t>Source</t>
  </si>
  <si>
    <r>
      <t>PM</t>
    </r>
    <r>
      <rPr>
        <vertAlign val="subscript"/>
        <sz val="8"/>
        <color theme="1"/>
        <rFont val="Arial"/>
        <family val="2"/>
      </rPr>
      <t>10</t>
    </r>
  </si>
  <si>
    <r>
      <t>PM</t>
    </r>
    <r>
      <rPr>
        <vertAlign val="subscript"/>
        <sz val="8"/>
        <color theme="1"/>
        <rFont val="Arial"/>
        <family val="2"/>
      </rPr>
      <t>2.5</t>
    </r>
  </si>
  <si>
    <t xml:space="preserve">Tertiary Crushing </t>
  </si>
  <si>
    <t>Screening</t>
  </si>
  <si>
    <t>Escavadeira</t>
  </si>
  <si>
    <t>Modelo</t>
  </si>
  <si>
    <t>Caterpillar 312C</t>
  </si>
  <si>
    <t>Caterpillar 938H</t>
  </si>
  <si>
    <t>Volvo L90f</t>
  </si>
  <si>
    <t>Caterpillar 246C</t>
  </si>
  <si>
    <t>Onde:
E - emissão (lb/dia)
n - número de equipamentos de cada categoria
H - número de horas diárias de operação do equipamento
EF - fator de emissão (lb/h)</t>
  </si>
  <si>
    <t>Consideração:</t>
  </si>
  <si>
    <t>Como não foi informado o ano dos equipamentos, foi considerado, de forma conservadora, os fatores de 2007.</t>
  </si>
  <si>
    <t>Taxas de Emissão [kg/h]</t>
  </si>
  <si>
    <t>Fonte: https://www3.epa.gov/ttn/chief/ap42/ch03/final/c03s01.pdf</t>
  </si>
  <si>
    <t>Material Particulado</t>
  </si>
  <si>
    <t>Parâmetros Avaliados</t>
  </si>
  <si>
    <t>Unidade</t>
  </si>
  <si>
    <r>
      <t>1</t>
    </r>
    <r>
      <rPr>
        <vertAlign val="superscript"/>
        <sz val="8"/>
        <color theme="1"/>
        <rFont val="Arial"/>
        <family val="2"/>
      </rPr>
      <t>a</t>
    </r>
    <r>
      <rPr>
        <sz val="8"/>
        <color theme="1"/>
        <rFont val="Arial"/>
        <family val="2"/>
      </rPr>
      <t xml:space="preserve"> Coleta</t>
    </r>
  </si>
  <si>
    <r>
      <t>2</t>
    </r>
    <r>
      <rPr>
        <vertAlign val="superscript"/>
        <sz val="8"/>
        <color theme="1"/>
        <rFont val="Arial"/>
        <family val="2"/>
      </rPr>
      <t>a</t>
    </r>
    <r>
      <rPr>
        <sz val="8"/>
        <color theme="1"/>
        <rFont val="Arial"/>
        <family val="2"/>
      </rPr>
      <t xml:space="preserve"> Coleta</t>
    </r>
  </si>
  <si>
    <r>
      <t>3</t>
    </r>
    <r>
      <rPr>
        <vertAlign val="superscript"/>
        <sz val="8"/>
        <color theme="1"/>
        <rFont val="Arial"/>
        <family val="2"/>
      </rPr>
      <t>a</t>
    </r>
    <r>
      <rPr>
        <sz val="8"/>
        <color theme="1"/>
        <rFont val="Arial"/>
        <family val="2"/>
      </rPr>
      <t xml:space="preserve"> Coleta</t>
    </r>
  </si>
  <si>
    <t>mg/Nm³</t>
  </si>
  <si>
    <t>kg/h</t>
  </si>
  <si>
    <t>Óxido de Nitrogênio</t>
  </si>
  <si>
    <t>Vazão do Gás - Condição da Chaminé</t>
  </si>
  <si>
    <t>m³/h</t>
  </si>
  <si>
    <t>Vazão Normal Base Seca (Qnbs)</t>
  </si>
  <si>
    <t>Nm³/h</t>
  </si>
  <si>
    <t>Outras Informações Coletadas</t>
  </si>
  <si>
    <t>Temperatura</t>
  </si>
  <si>
    <t>ºC</t>
  </si>
  <si>
    <t>Velocidade do Gás</t>
  </si>
  <si>
    <t>m/s</t>
  </si>
  <si>
    <t>Chaminé Atomizador 090</t>
  </si>
  <si>
    <t>Data da Coleta: 07/01/2015</t>
  </si>
  <si>
    <t>Chaminé Atomizador 140</t>
  </si>
  <si>
    <t>Data da Coleta: 06/01/2015</t>
  </si>
  <si>
    <t>Chaminé do Forno 01</t>
  </si>
  <si>
    <t>Data da Coleta: 05/01/2015</t>
  </si>
  <si>
    <t>Chaminé do Forno 02</t>
  </si>
  <si>
    <t>Chaminé do Forno 03</t>
  </si>
  <si>
    <t>Data da Coleta: 15/07/2015</t>
  </si>
  <si>
    <t>Data da Coleta: 14/07/2015</t>
  </si>
  <si>
    <t>Data da Coleta: 13/07/2015</t>
  </si>
  <si>
    <t>Concentração de MP [mg/Nm³]</t>
  </si>
  <si>
    <t>Dados de monitoramento isocimético</t>
  </si>
  <si>
    <t>Dados de Projeto</t>
  </si>
  <si>
    <t>Small Boilers (&lt;100)</t>
  </si>
  <si>
    <r>
      <t>SO</t>
    </r>
    <r>
      <rPr>
        <vertAlign val="subscript"/>
        <sz val="8"/>
        <color theme="1"/>
        <rFont val="Arial"/>
        <family val="2"/>
      </rPr>
      <t>2</t>
    </r>
  </si>
  <si>
    <t>Table 11.7-1 - EMISSION FACTORS FOR CERAMIC PRODUCTS MANUFACTURING OPERATIONS</t>
  </si>
  <si>
    <t>Filterable PM (lb/ton)</t>
  </si>
  <si>
    <t>Filterable PM (kg/t)</t>
  </si>
  <si>
    <t>Comminution - Raw material crushing and screening with fabric filter</t>
  </si>
  <si>
    <t>Dryer</t>
  </si>
  <si>
    <t>Cooler</t>
  </si>
  <si>
    <t>Granulation - natural gas - fired spray dryer</t>
  </si>
  <si>
    <t>with fabric filter</t>
  </si>
  <si>
    <t>with venturi scrubber</t>
  </si>
  <si>
    <t>Firing - natural gas - fired kiln</t>
  </si>
  <si>
    <t>Refiring - natural gas - fired kiln</t>
  </si>
  <si>
    <t>Ceramic glaze spray booth</t>
  </si>
  <si>
    <t>uncontrolled</t>
  </si>
  <si>
    <t>with wet scrubber</t>
  </si>
  <si>
    <t>Table 11.7-2 - EMISSION FACTORS FOR GASEOUS POLLUTANT EMISSIONS FROM CERAMIC PRODUCTS MANUFACTURING - Emission Factor Rating E</t>
  </si>
  <si>
    <t>Source Category</t>
  </si>
  <si>
    <t>9,5S</t>
  </si>
  <si>
    <t>-</t>
  </si>
  <si>
    <r>
      <rPr>
        <vertAlign val="superscript"/>
        <sz val="8"/>
        <color theme="1"/>
        <rFont val="Arial"/>
        <family val="2"/>
      </rPr>
      <t xml:space="preserve"> a</t>
    </r>
    <r>
      <rPr>
        <sz val="8"/>
        <color theme="1"/>
        <rFont val="Arial"/>
        <family val="2"/>
      </rPr>
      <t xml:space="preserve"> For facilities using raw material with a sulfur content greater than 0.07 percent. The variable S represents the raw material sulfur content (percent). For facilities using raw material with a sulfur content less than or equal to 0.07 percent, use 9.5 S lb/ton to estimate emissions. Emissions of SO</t>
    </r>
    <r>
      <rPr>
        <vertAlign val="subscript"/>
        <sz val="8"/>
        <color theme="1"/>
        <rFont val="Arial"/>
        <family val="2"/>
      </rPr>
      <t>2</t>
    </r>
    <r>
      <rPr>
        <sz val="8"/>
        <color theme="1"/>
        <rFont val="Arial"/>
        <family val="2"/>
      </rPr>
      <t xml:space="preserve"> are dependent on the sulfur content of the raw material and the fuel used to fire the kiln.</t>
    </r>
  </si>
  <si>
    <t>Fator de Emissão Fabricação de Cerâmica [kg/t]</t>
  </si>
  <si>
    <t>(lb/ton)</t>
  </si>
  <si>
    <t>(kg/t)</t>
  </si>
  <si>
    <r>
      <t>NO</t>
    </r>
    <r>
      <rPr>
        <vertAlign val="subscript"/>
        <sz val="8"/>
        <color theme="1"/>
        <rFont val="Arial"/>
        <family val="2"/>
      </rPr>
      <t>X</t>
    </r>
  </si>
  <si>
    <t xml:space="preserve">CO </t>
  </si>
  <si>
    <t>Cálculo do percentual de enxofre no Gás Natural</t>
  </si>
  <si>
    <t>[kg/m³]</t>
  </si>
  <si>
    <t>%</t>
  </si>
  <si>
    <t>Teor de Enxofre em Percentual</t>
  </si>
  <si>
    <t>mg/m³</t>
  </si>
  <si>
    <r>
      <t>Fator de Emissão Cogeração [kg/10</t>
    </r>
    <r>
      <rPr>
        <b/>
        <vertAlign val="superscript"/>
        <sz val="8"/>
        <color theme="0"/>
        <rFont val="Arial"/>
        <family val="2"/>
      </rPr>
      <t>6</t>
    </r>
    <r>
      <rPr>
        <b/>
        <sz val="8"/>
        <color theme="0"/>
        <rFont val="Arial"/>
        <family val="2"/>
      </rPr>
      <t>m³]</t>
    </r>
  </si>
  <si>
    <r>
      <t>Fator de Emissão GN [kg/10</t>
    </r>
    <r>
      <rPr>
        <b/>
        <vertAlign val="superscript"/>
        <sz val="8"/>
        <color theme="0"/>
        <rFont val="Arial"/>
        <family val="2"/>
      </rPr>
      <t>6</t>
    </r>
    <r>
      <rPr>
        <b/>
        <sz val="8"/>
        <color theme="0"/>
        <rFont val="Arial"/>
        <family val="2"/>
      </rPr>
      <t>m³]</t>
    </r>
  </si>
  <si>
    <t>Britador e Peneira</t>
  </si>
  <si>
    <t>Chaminés</t>
  </si>
  <si>
    <t>Equipamentos</t>
  </si>
  <si>
    <t>Transferências</t>
  </si>
  <si>
    <t>Pilhas</t>
  </si>
  <si>
    <t>Produção Biancogrês [t/h]</t>
  </si>
  <si>
    <t>Tertiary Crushing (Controlled)</t>
  </si>
  <si>
    <t>Screnning (Controlled)</t>
  </si>
  <si>
    <t>Fonte: https://www3.epa.gov/ttn/chief/ap42/ch01/final/c01s04.pdf</t>
  </si>
  <si>
    <t>Excavators 120HP</t>
  </si>
  <si>
    <t>Tractors/Loaders/Backhoes 175HP</t>
  </si>
  <si>
    <t>Sweeper 120HP</t>
  </si>
  <si>
    <t>(AP-42) Table 1.4-2 - Emission Factors for Criteria Pollutants and GHG from natural gas combustion</t>
  </si>
  <si>
    <t>(AP-42) Table 3.1-1 - Emission Factors for NOx and CO from Stationary Gas Turbines</t>
  </si>
  <si>
    <t>(AP-42) Table 1.4-1 - Emission Factors for NOx and CO from Natural Gas Combustion</t>
  </si>
  <si>
    <t>(AP-42) Table 3.1-2 - Emission Factors for Criteria Pollutants and GHG from Stationary Gas Turbines</t>
  </si>
  <si>
    <t>Fonte: AQMD (2016) - http://www.aqmd.gov/home/regulations/ceqa/air-quality-analysis-handbook/off-road-mobile-source-emission-factors</t>
  </si>
  <si>
    <t>Fonte: AP-42 (USEPA, 2004) - https://www3.epa.gov/ttn/chief/ap42/ch11/final/c11s1902.pdf</t>
  </si>
  <si>
    <t>Fonte: AP-42 (USEPA, 1996) - https://www3.epa.gov/ttn/chief/ap42/ch11/final/c11s07.pdf</t>
  </si>
  <si>
    <t>Fonte: AP-42 (USEPA, 1998) - https://www3.epa.gov/ttn/chief/ap42/ch01/final/c01s04.pdf</t>
  </si>
  <si>
    <t>Fonte: Informações enviadas pelo empreendimento através do Ofício IEMA N° 499/2016</t>
  </si>
  <si>
    <t>TOTAL</t>
  </si>
  <si>
    <t>Latitude [º]</t>
  </si>
  <si>
    <t>Longitude [º]</t>
  </si>
  <si>
    <t>Eficiência de Controle [%]</t>
  </si>
  <si>
    <r>
      <t>PM</t>
    </r>
    <r>
      <rPr>
        <vertAlign val="subscript"/>
        <sz val="8"/>
        <color theme="0"/>
        <rFont val="Arial"/>
        <family val="2"/>
      </rPr>
      <t>10</t>
    </r>
  </si>
  <si>
    <t>Movimentação Matérias Primas (t/ano)</t>
  </si>
  <si>
    <r>
      <t>Resultados dos Parâmetros Determinados (PM, NO</t>
    </r>
    <r>
      <rPr>
        <b/>
        <vertAlign val="subscript"/>
        <sz val="8"/>
        <color rgb="FFFF0000"/>
        <rFont val="Arial"/>
        <family val="2"/>
      </rPr>
      <t>X</t>
    </r>
    <r>
      <rPr>
        <b/>
        <sz val="8"/>
        <color rgb="FFFF0000"/>
        <rFont val="Arial"/>
        <family val="2"/>
      </rPr>
      <t>)</t>
    </r>
  </si>
  <si>
    <t>Altura [m]</t>
  </si>
  <si>
    <t>Diâmetro [m]</t>
  </si>
  <si>
    <t>Vazão [m³/h]</t>
  </si>
  <si>
    <t>Vazão [Nm³/h]</t>
  </si>
  <si>
    <t>T [ºC]</t>
  </si>
  <si>
    <t>Consumo GN [m³/h]</t>
  </si>
  <si>
    <t>Consumo GN Cogeração [m³/h]</t>
  </si>
  <si>
    <t>Potência [HP]</t>
  </si>
  <si>
    <t>Varredeira 246C Caterpillar</t>
  </si>
  <si>
    <t>Máquinas e Equipamentos - Escapamento</t>
  </si>
  <si>
    <t>Fonte: AP-42 (USEPA, 2006) - https://www3.epa.gov/ttn/chief/ap42/ch13/final/c13s0204.pdf</t>
  </si>
  <si>
    <t>Referência AP-42</t>
  </si>
  <si>
    <t>Nota: "Pilhas" foi calculada na Planilha: Erosão Eólica_Flat_Biancogres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</si>
</sst>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000"/>
    <numFmt numFmtId="166" formatCode="#,##0.0"/>
    <numFmt numFmtId="167" formatCode="0.000"/>
    <numFmt numFmtId="168" formatCode="[&gt;0.005]#,##0.00;&quot;&lt; 0,01&quot;"/>
    <numFmt numFmtId="169" formatCode="#,##0.000"/>
    <numFmt numFmtId="170" formatCode="0.000000"/>
    <numFmt numFmtId="171" formatCode="#,##0.000000"/>
    <numFmt numFmtId="172" formatCode="#,##0.0000"/>
    <numFmt numFmtId="173" formatCode="#,##0.0000000"/>
    <numFmt numFmtId="174" formatCode="[&gt;=0.005]\ #,##0.00;[&lt;0.005]&quot;&lt;0,01&quot;"/>
    <numFmt numFmtId="175" formatCode="[&gt;=0.005]\ #,##0.0000;[&lt;0.005]&quot;&lt;0,01&quot;"/>
  </numFmts>
  <fonts count="29">
    <font>
      <sz val="11"/>
      <color theme="1"/>
      <name val="Calibri"/>
      <family val="2"/>
      <scheme val="minor"/>
    </font>
    <font>
      <sz val="8"/>
      <color rgb="FF000000"/>
      <name val="Arial"/>
      <family val="2"/>
    </font>
    <font>
      <sz val="8"/>
      <color theme="1"/>
      <name val="Arial"/>
      <family val="2"/>
    </font>
    <font>
      <vertAlign val="subscript"/>
      <sz val="8"/>
      <color theme="1"/>
      <name val="Arial"/>
      <family val="2"/>
    </font>
    <font>
      <vertAlign val="superscript"/>
      <sz val="8"/>
      <color theme="1"/>
      <name val="Arial"/>
      <family val="2"/>
    </font>
    <font>
      <sz val="8"/>
      <color indexed="81"/>
      <name val="Tahoma"/>
      <family val="2"/>
    </font>
    <font>
      <b/>
      <sz val="8"/>
      <color theme="1"/>
      <name val="Arial"/>
      <family val="2"/>
    </font>
    <font>
      <sz val="11"/>
      <name val="ＭＳ Ｐゴシック"/>
      <family val="2"/>
      <charset val="128"/>
    </font>
    <font>
      <sz val="8"/>
      <name val="Arial"/>
      <family val="2"/>
    </font>
    <font>
      <sz val="9"/>
      <color indexed="81"/>
      <name val="Tahoma"/>
      <family val="2"/>
    </font>
    <font>
      <b/>
      <sz val="8"/>
      <name val="Arial"/>
      <family val="2"/>
    </font>
    <font>
      <b/>
      <sz val="8"/>
      <color theme="0"/>
      <name val="Arial"/>
      <family val="2"/>
    </font>
    <font>
      <sz val="9"/>
      <color indexed="81"/>
      <name val="Segoe UI"/>
      <family val="2"/>
    </font>
    <font>
      <b/>
      <sz val="9"/>
      <color indexed="81"/>
      <name val="Segoe UI"/>
      <family val="2"/>
    </font>
    <font>
      <sz val="11"/>
      <color rgb="FFFF0000"/>
      <name val="Calibri"/>
      <family val="2"/>
      <scheme val="minor"/>
    </font>
    <font>
      <sz val="8"/>
      <color rgb="FFFF0000"/>
      <name val="Arial"/>
      <family val="2"/>
    </font>
    <font>
      <vertAlign val="superscript"/>
      <sz val="8"/>
      <name val="Arial"/>
      <family val="2"/>
    </font>
    <font>
      <sz val="11"/>
      <color theme="1"/>
      <name val="Arial"/>
      <family val="2"/>
    </font>
    <font>
      <vertAlign val="subscript"/>
      <sz val="8"/>
      <color theme="0"/>
      <name val="Arial"/>
      <family val="2"/>
    </font>
    <font>
      <b/>
      <vertAlign val="subscript"/>
      <sz val="8"/>
      <color theme="0"/>
      <name val="Arial"/>
      <family val="2"/>
    </font>
    <font>
      <sz val="8"/>
      <color theme="1"/>
      <name val="Calibri"/>
      <family val="2"/>
    </font>
    <font>
      <b/>
      <i/>
      <sz val="8"/>
      <color theme="1"/>
      <name val="Arial"/>
      <family val="2"/>
    </font>
    <font>
      <b/>
      <sz val="8"/>
      <color theme="4" tint="-0.249977111117893"/>
      <name val="Arial"/>
      <family val="2"/>
    </font>
    <font>
      <b/>
      <sz val="8"/>
      <color rgb="FFFF0000"/>
      <name val="Arial"/>
      <family val="2"/>
    </font>
    <font>
      <b/>
      <vertAlign val="subscript"/>
      <sz val="8"/>
      <color rgb="FFFF0000"/>
      <name val="Arial"/>
      <family val="2"/>
    </font>
    <font>
      <sz val="7"/>
      <color theme="1"/>
      <name val="Arial"/>
      <family val="2"/>
    </font>
    <font>
      <u/>
      <sz val="11"/>
      <color theme="10"/>
      <name val="Calibri"/>
      <family val="2"/>
      <scheme val="minor"/>
    </font>
    <font>
      <u/>
      <sz val="8"/>
      <color theme="10"/>
      <name val="Arial"/>
      <family val="2"/>
    </font>
    <font>
      <b/>
      <vertAlign val="superscript"/>
      <sz val="8"/>
      <color theme="0"/>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4F81BD"/>
        <bgColor indexed="64"/>
      </patternFill>
    </fill>
    <fill>
      <patternFill patternType="solid">
        <fgColor theme="0"/>
        <bgColor indexed="64"/>
      </patternFill>
    </fill>
    <fill>
      <patternFill patternType="solid">
        <fgColor rgb="FFDCE6F1"/>
        <bgColor indexed="64"/>
      </patternFill>
    </fill>
    <fill>
      <patternFill patternType="solid">
        <fgColor rgb="FFFFFFDD"/>
        <bgColor indexed="64"/>
      </patternFill>
    </fill>
    <fill>
      <patternFill patternType="solid">
        <fgColor theme="5" tint="0.79998168889431442"/>
        <bgColor indexed="64"/>
      </patternFill>
    </fill>
    <fill>
      <patternFill patternType="solid">
        <fgColor theme="2"/>
        <bgColor indexed="64"/>
      </patternFill>
    </fill>
    <fill>
      <patternFill patternType="solid">
        <fgColor rgb="FFDEDAC4"/>
        <bgColor indexed="64"/>
      </patternFill>
    </fill>
  </fills>
  <borders count="57">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bottom style="thin">
        <color rgb="FFD9D9D9"/>
      </bottom>
      <diagonal/>
    </border>
    <border>
      <left style="thin">
        <color rgb="FFD9D9D9"/>
      </left>
      <right/>
      <top/>
      <bottom/>
      <diagonal/>
    </border>
    <border>
      <left/>
      <right/>
      <top style="thin">
        <color rgb="FFD9D9D9"/>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diagonal/>
    </border>
    <border>
      <left/>
      <right/>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rgb="FFD9D9D9"/>
      </left>
      <right style="thin">
        <color rgb="FFD9D9D9"/>
      </right>
      <top/>
      <bottom/>
      <diagonal/>
    </border>
    <border>
      <left/>
      <right style="thin">
        <color rgb="FFD9D9D9"/>
      </right>
      <top style="thin">
        <color rgb="FFD9D9D9"/>
      </top>
      <bottom/>
      <diagonal/>
    </border>
    <border>
      <left/>
      <right style="thin">
        <color rgb="FFD9D9D9"/>
      </right>
      <top/>
      <bottom style="thin">
        <color rgb="FFD9D9D9"/>
      </bottom>
      <diagonal/>
    </border>
    <border>
      <left/>
      <right style="thin">
        <color rgb="FFD9D9D9"/>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thin">
        <color theme="0" tint="-0.14993743705557422"/>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right style="thin">
        <color theme="0" tint="-0.14993743705557422"/>
      </right>
      <top/>
      <bottom/>
      <diagonal/>
    </border>
    <border>
      <left/>
      <right style="thin">
        <color theme="0" tint="-0.14993743705557422"/>
      </right>
      <top/>
      <bottom style="thin">
        <color theme="0" tint="-0.14993743705557422"/>
      </bottom>
      <diagonal/>
    </border>
    <border>
      <left style="thin">
        <color rgb="FFD9D9D9"/>
      </left>
      <right style="thin">
        <color rgb="FFD9D9D9"/>
      </right>
      <top/>
      <bottom style="thin">
        <color theme="0" tint="-0.14996795556505021"/>
      </bottom>
      <diagonal/>
    </border>
    <border>
      <left style="thin">
        <color rgb="FFD9D9D9"/>
      </left>
      <right style="thin">
        <color theme="0" tint="-0.14996795556505021"/>
      </right>
      <top style="thin">
        <color rgb="FFD9D9D9"/>
      </top>
      <bottom/>
      <diagonal/>
    </border>
    <border>
      <left style="thin">
        <color rgb="FFD9D9D9"/>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rgb="FFD9D9D9"/>
      </bottom>
      <diagonal/>
    </border>
    <border>
      <left style="thin">
        <color theme="0" tint="-0.14996795556505021"/>
      </left>
      <right/>
      <top style="thin">
        <color theme="0" tint="-0.14996795556505021"/>
      </top>
      <bottom style="thin">
        <color theme="0" tint="-0.14993743705557422"/>
      </bottom>
      <diagonal/>
    </border>
    <border>
      <left/>
      <right/>
      <top style="thin">
        <color theme="0" tint="-0.14996795556505021"/>
      </top>
      <bottom style="thin">
        <color theme="0" tint="-0.14993743705557422"/>
      </bottom>
      <diagonal/>
    </border>
    <border>
      <left/>
      <right style="thin">
        <color theme="0" tint="-0.14996795556505021"/>
      </right>
      <top style="thin">
        <color theme="0" tint="-0.14996795556505021"/>
      </top>
      <bottom style="thin">
        <color theme="0" tint="-0.14993743705557422"/>
      </bottom>
      <diagonal/>
    </border>
    <border>
      <left style="thin">
        <color theme="0" tint="-0.14996795556505021"/>
      </left>
      <right style="thin">
        <color rgb="FFD9D9D9"/>
      </right>
      <top style="thin">
        <color theme="0" tint="-0.14996795556505021"/>
      </top>
      <bottom style="thin">
        <color rgb="FFD9D9D9"/>
      </bottom>
      <diagonal/>
    </border>
    <border>
      <left style="thin">
        <color theme="0" tint="-0.14996795556505021"/>
      </left>
      <right style="thin">
        <color rgb="FFD9D9D9"/>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rgb="FFD9D9D9"/>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right style="thin">
        <color theme="0" tint="-0.14996795556505021"/>
      </right>
      <top/>
      <bottom/>
      <diagonal/>
    </border>
    <border>
      <left style="thin">
        <color rgb="FFDEDAC4"/>
      </left>
      <right style="thin">
        <color rgb="FFDEDAC4"/>
      </right>
      <top style="thin">
        <color rgb="FFDEDAC4"/>
      </top>
      <bottom style="thin">
        <color rgb="FFDEDAC4"/>
      </bottom>
      <diagonal/>
    </border>
    <border>
      <left style="thin">
        <color rgb="FFD9D9D9"/>
      </left>
      <right style="thin">
        <color rgb="FFD9D9D9"/>
      </right>
      <top style="thin">
        <color rgb="FFD9D9D9"/>
      </top>
      <bottom style="thin">
        <color rgb="FFDEDAC4"/>
      </bottom>
      <diagonal/>
    </border>
    <border>
      <left style="thin">
        <color rgb="FFD9D9D9"/>
      </left>
      <right style="thin">
        <color rgb="FFDEDAC4"/>
      </right>
      <top style="thin">
        <color rgb="FFD9D9D9"/>
      </top>
      <bottom style="thin">
        <color rgb="FFDEDAC4"/>
      </bottom>
      <diagonal/>
    </border>
    <border>
      <left/>
      <right/>
      <top/>
      <bottom style="thin">
        <color rgb="FFDEDAC4"/>
      </bottom>
      <diagonal/>
    </border>
    <border>
      <left style="thin">
        <color rgb="FFD9D9D9"/>
      </left>
      <right style="thin">
        <color rgb="FFDEDAC4"/>
      </right>
      <top/>
      <bottom style="thin">
        <color rgb="FFD9D9D9"/>
      </bottom>
      <diagonal/>
    </border>
  </borders>
  <cellStyleXfs count="3">
    <xf numFmtId="0" fontId="0" fillId="0" borderId="0"/>
    <xf numFmtId="0" fontId="7" fillId="0" borderId="0"/>
    <xf numFmtId="0" fontId="26" fillId="0" borderId="0" applyNumberFormat="0" applyFill="0" applyBorder="0" applyAlignment="0" applyProtection="0"/>
  </cellStyleXfs>
  <cellXfs count="333">
    <xf numFmtId="0" fontId="0" fillId="0" borderId="0" xfId="0"/>
    <xf numFmtId="0" fontId="2" fillId="0" borderId="0" xfId="0" applyFont="1" applyAlignment="1">
      <alignment vertical="center"/>
    </xf>
    <xf numFmtId="0" fontId="8"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left" vertical="center"/>
    </xf>
    <xf numFmtId="1" fontId="8" fillId="4" borderId="1" xfId="0" applyNumberFormat="1" applyFont="1" applyFill="1" applyBorder="1" applyAlignment="1">
      <alignment horizontal="center"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2" fontId="2" fillId="4" borderId="1" xfId="0" applyNumberFormat="1" applyFont="1" applyFill="1" applyBorder="1" applyAlignment="1">
      <alignment horizontal="center" vertical="center"/>
    </xf>
    <xf numFmtId="4" fontId="2" fillId="4" borderId="1" xfId="0" applyNumberFormat="1" applyFont="1" applyFill="1" applyBorder="1" applyAlignment="1">
      <alignment horizontal="center" vertical="center"/>
    </xf>
    <xf numFmtId="0" fontId="2" fillId="4" borderId="1" xfId="0" applyFont="1" applyFill="1" applyBorder="1" applyAlignment="1">
      <alignment horizontal="left" vertical="center"/>
    </xf>
    <xf numFmtId="0" fontId="2" fillId="0" borderId="0"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4" fontId="2" fillId="0" borderId="1" xfId="0" applyNumberFormat="1" applyFont="1" applyBorder="1" applyAlignment="1">
      <alignment horizontal="center" vertical="center"/>
    </xf>
    <xf numFmtId="0" fontId="2" fillId="0" borderId="1" xfId="0" applyFont="1" applyBorder="1" applyAlignment="1">
      <alignment vertical="center" wrapText="1"/>
    </xf>
    <xf numFmtId="166" fontId="2" fillId="4" borderId="1" xfId="0" applyNumberFormat="1" applyFont="1" applyFill="1" applyBorder="1" applyAlignment="1">
      <alignment horizontal="center" vertical="center"/>
    </xf>
    <xf numFmtId="0" fontId="11"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3" fontId="2" fillId="0" borderId="0"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0" fontId="8" fillId="4" borderId="1" xfId="0" applyFont="1" applyFill="1" applyBorder="1" applyAlignment="1">
      <alignment horizontal="left" vertical="center"/>
    </xf>
    <xf numFmtId="166" fontId="8" fillId="4" borderId="1" xfId="0" applyNumberFormat="1" applyFont="1" applyFill="1" applyBorder="1" applyAlignment="1">
      <alignment horizontal="center" vertical="center"/>
    </xf>
    <xf numFmtId="2" fontId="2" fillId="0" borderId="1" xfId="0" applyNumberFormat="1" applyFont="1" applyBorder="1" applyAlignment="1">
      <alignment horizontal="center" vertical="center" wrapText="1"/>
    </xf>
    <xf numFmtId="2" fontId="2" fillId="0" borderId="0" xfId="0" applyNumberFormat="1" applyFont="1" applyBorder="1" applyAlignment="1">
      <alignment horizontal="center" vertical="center" wrapText="1"/>
    </xf>
    <xf numFmtId="0" fontId="2" fillId="0" borderId="0" xfId="0" applyFont="1" applyFill="1" applyBorder="1" applyAlignment="1">
      <alignment vertical="center"/>
    </xf>
    <xf numFmtId="0" fontId="2" fillId="0" borderId="0" xfId="0" applyFont="1" applyBorder="1" applyAlignment="1">
      <alignment vertical="center"/>
    </xf>
    <xf numFmtId="0" fontId="2" fillId="0" borderId="10" xfId="0" applyFont="1" applyBorder="1" applyAlignment="1">
      <alignment vertical="center" wrapText="1"/>
    </xf>
    <xf numFmtId="2" fontId="2" fillId="0" borderId="10" xfId="0" applyNumberFormat="1" applyFont="1" applyBorder="1" applyAlignment="1">
      <alignment horizontal="center" vertical="center" wrapText="1"/>
    </xf>
    <xf numFmtId="0" fontId="8" fillId="0" borderId="0" xfId="0" applyFont="1" applyFill="1" applyAlignment="1">
      <alignment horizontal="left" vertical="center"/>
    </xf>
    <xf numFmtId="0" fontId="8" fillId="0" borderId="0" xfId="0" applyFont="1" applyFill="1" applyAlignment="1">
      <alignment vertical="center" wrapText="1"/>
    </xf>
    <xf numFmtId="0" fontId="1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4" fontId="2" fillId="0" borderId="0" xfId="0" applyNumberFormat="1" applyFont="1" applyFill="1" applyBorder="1" applyAlignment="1">
      <alignment vertical="center"/>
    </xf>
    <xf numFmtId="0" fontId="15" fillId="0" borderId="0" xfId="0" applyFont="1" applyAlignment="1">
      <alignment vertical="center"/>
    </xf>
    <xf numFmtId="0" fontId="14" fillId="0" borderId="0" xfId="0" applyFont="1"/>
    <xf numFmtId="0" fontId="15" fillId="0" borderId="0" xfId="0" applyFont="1" applyAlignment="1">
      <alignment vertical="center" wrapText="1"/>
    </xf>
    <xf numFmtId="0" fontId="8" fillId="0" borderId="0" xfId="0" applyFont="1" applyFill="1" applyAlignment="1">
      <alignment vertical="center"/>
    </xf>
    <xf numFmtId="0" fontId="17" fillId="0" borderId="0" xfId="0" applyFont="1" applyAlignment="1">
      <alignment vertical="center"/>
    </xf>
    <xf numFmtId="0" fontId="17" fillId="0" borderId="0" xfId="0" applyFont="1" applyFill="1" applyBorder="1" applyAlignment="1">
      <alignment vertical="center"/>
    </xf>
    <xf numFmtId="0" fontId="17" fillId="0" borderId="3" xfId="0" applyFont="1" applyBorder="1" applyAlignment="1">
      <alignment vertical="center"/>
    </xf>
    <xf numFmtId="3" fontId="2" fillId="0" borderId="0" xfId="0" applyNumberFormat="1" applyFont="1" applyAlignment="1">
      <alignment vertical="center"/>
    </xf>
    <xf numFmtId="4" fontId="2" fillId="0" borderId="0" xfId="0" applyNumberFormat="1" applyFont="1" applyAlignment="1">
      <alignment vertical="center"/>
    </xf>
    <xf numFmtId="2" fontId="8" fillId="0" borderId="0" xfId="0" applyNumberFormat="1" applyFont="1" applyAlignment="1">
      <alignment vertical="center"/>
    </xf>
    <xf numFmtId="0" fontId="15" fillId="0" borderId="0" xfId="0" applyFont="1"/>
    <xf numFmtId="0" fontId="8" fillId="0" borderId="0" xfId="0" applyFont="1"/>
    <xf numFmtId="165" fontId="8" fillId="0" borderId="0" xfId="0" applyNumberFormat="1" applyFont="1" applyBorder="1" applyAlignment="1">
      <alignment horizontal="center" vertical="center"/>
    </xf>
    <xf numFmtId="0" fontId="8" fillId="0" borderId="0" xfId="0" applyFont="1" applyAlignment="1">
      <alignment horizontal="center"/>
    </xf>
    <xf numFmtId="0" fontId="8" fillId="0" borderId="12" xfId="0" applyFont="1" applyFill="1" applyBorder="1" applyAlignment="1">
      <alignment horizontal="left" vertical="center"/>
    </xf>
    <xf numFmtId="3" fontId="8" fillId="0" borderId="12" xfId="0" applyNumberFormat="1" applyFont="1" applyFill="1" applyBorder="1" applyAlignment="1">
      <alignment horizontal="center" vertical="center"/>
    </xf>
    <xf numFmtId="164" fontId="8" fillId="0" borderId="12" xfId="0" applyNumberFormat="1" applyFont="1" applyBorder="1" applyAlignment="1">
      <alignment horizontal="center" vertical="center"/>
    </xf>
    <xf numFmtId="4" fontId="8" fillId="0" borderId="12" xfId="0" applyNumberFormat="1" applyFont="1" applyFill="1" applyBorder="1" applyAlignment="1">
      <alignment horizontal="center" vertical="center"/>
    </xf>
    <xf numFmtId="166" fontId="8" fillId="0" borderId="12" xfId="0" applyNumberFormat="1" applyFont="1" applyFill="1" applyBorder="1" applyAlignment="1">
      <alignment horizontal="center" vertical="center"/>
    </xf>
    <xf numFmtId="168" fontId="2" fillId="0" borderId="12" xfId="0" applyNumberFormat="1" applyFont="1" applyFill="1" applyBorder="1" applyAlignment="1">
      <alignment horizontal="center" vertical="center"/>
    </xf>
    <xf numFmtId="164" fontId="8" fillId="0" borderId="12" xfId="0" applyNumberFormat="1" applyFont="1" applyFill="1" applyBorder="1" applyAlignment="1">
      <alignment horizontal="center" vertical="center"/>
    </xf>
    <xf numFmtId="3" fontId="8" fillId="4" borderId="12" xfId="0" applyNumberFormat="1" applyFont="1" applyFill="1" applyBorder="1" applyAlignment="1">
      <alignment horizontal="center" vertical="center"/>
    </xf>
    <xf numFmtId="166" fontId="8" fillId="0" borderId="12" xfId="0" applyNumberFormat="1" applyFont="1" applyFill="1" applyBorder="1" applyAlignment="1">
      <alignment vertical="center"/>
    </xf>
    <xf numFmtId="168" fontId="2" fillId="0" borderId="12" xfId="0" quotePrefix="1" applyNumberFormat="1" applyFont="1" applyFill="1" applyBorder="1" applyAlignment="1">
      <alignment horizontal="center" vertical="center"/>
    </xf>
    <xf numFmtId="0" fontId="8" fillId="0" borderId="12" xfId="0" applyFont="1" applyFill="1" applyBorder="1" applyAlignment="1">
      <alignment vertical="center"/>
    </xf>
    <xf numFmtId="0" fontId="8" fillId="5" borderId="11" xfId="0" applyFont="1" applyFill="1" applyBorder="1" applyAlignment="1">
      <alignment horizontal="center" vertical="center" wrapText="1"/>
    </xf>
    <xf numFmtId="166" fontId="2" fillId="4" borderId="12" xfId="0" quotePrefix="1" applyNumberFormat="1" applyFont="1" applyFill="1" applyBorder="1" applyAlignment="1">
      <alignment horizontal="center" vertical="center"/>
    </xf>
    <xf numFmtId="0" fontId="8" fillId="4" borderId="12" xfId="0" applyFont="1" applyFill="1" applyBorder="1" applyAlignment="1">
      <alignment horizontal="left" vertical="center"/>
    </xf>
    <xf numFmtId="166" fontId="2" fillId="4" borderId="12" xfId="0" applyNumberFormat="1"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8" fillId="0" borderId="13" xfId="0" applyFont="1" applyFill="1" applyBorder="1" applyAlignment="1">
      <alignment horizontal="left" vertical="center"/>
    </xf>
    <xf numFmtId="3" fontId="8" fillId="0" borderId="13" xfId="0" applyNumberFormat="1" applyFont="1" applyFill="1" applyBorder="1" applyAlignment="1">
      <alignment horizontal="center" vertical="center"/>
    </xf>
    <xf numFmtId="166" fontId="8" fillId="0" borderId="13" xfId="0" applyNumberFormat="1" applyFont="1" applyFill="1" applyBorder="1" applyAlignment="1">
      <alignment horizontal="center" vertical="center"/>
    </xf>
    <xf numFmtId="4" fontId="8" fillId="0" borderId="13" xfId="0" applyNumberFormat="1" applyFont="1" applyFill="1" applyBorder="1" applyAlignment="1">
      <alignment horizontal="center" vertical="center"/>
    </xf>
    <xf numFmtId="0" fontId="8" fillId="0" borderId="22" xfId="0" applyFont="1" applyFill="1" applyBorder="1" applyAlignment="1">
      <alignment horizontal="center" vertical="center"/>
    </xf>
    <xf numFmtId="165" fontId="8" fillId="0" borderId="22" xfId="0" applyNumberFormat="1" applyFont="1" applyFill="1" applyBorder="1" applyAlignment="1">
      <alignment horizontal="center" vertical="center"/>
    </xf>
    <xf numFmtId="164" fontId="8" fillId="0" borderId="22" xfId="0" applyNumberFormat="1" applyFont="1" applyFill="1" applyBorder="1" applyAlignment="1">
      <alignment horizontal="center" vertical="center"/>
    </xf>
    <xf numFmtId="1" fontId="8" fillId="0" borderId="22" xfId="0" applyNumberFormat="1" applyFont="1" applyFill="1" applyBorder="1" applyAlignment="1">
      <alignment horizontal="center" vertical="center"/>
    </xf>
    <xf numFmtId="0" fontId="8" fillId="0" borderId="12" xfId="0" applyFont="1" applyFill="1" applyBorder="1" applyAlignment="1">
      <alignment horizontal="center" vertical="center"/>
    </xf>
    <xf numFmtId="1" fontId="8" fillId="0" borderId="12" xfId="0" applyNumberFormat="1" applyFont="1" applyFill="1" applyBorder="1" applyAlignment="1">
      <alignment horizontal="center" vertical="center"/>
    </xf>
    <xf numFmtId="0" fontId="11" fillId="3" borderId="1" xfId="0" applyNumberFormat="1" applyFont="1" applyFill="1" applyBorder="1" applyAlignment="1" applyProtection="1">
      <alignment horizontal="center" vertical="center" wrapText="1"/>
    </xf>
    <xf numFmtId="0" fontId="11" fillId="3" borderId="27" xfId="0" applyFont="1" applyFill="1" applyBorder="1" applyAlignment="1">
      <alignment horizontal="center" vertical="center"/>
    </xf>
    <xf numFmtId="0" fontId="8" fillId="0" borderId="12" xfId="0" applyFont="1" applyBorder="1" applyAlignment="1">
      <alignment vertical="center"/>
    </xf>
    <xf numFmtId="0" fontId="0" fillId="0" borderId="0" xfId="0" applyAlignment="1">
      <alignment vertical="center"/>
    </xf>
    <xf numFmtId="165" fontId="8" fillId="0" borderId="12" xfId="0" applyNumberFormat="1" applyFont="1" applyBorder="1" applyAlignment="1">
      <alignment horizontal="center" vertical="center"/>
    </xf>
    <xf numFmtId="2" fontId="8" fillId="0" borderId="12" xfId="0" applyNumberFormat="1" applyFont="1" applyFill="1" applyBorder="1" applyAlignment="1">
      <alignment horizontal="center" vertical="center"/>
    </xf>
    <xf numFmtId="167" fontId="8" fillId="0" borderId="12" xfId="0" applyNumberFormat="1" applyFont="1" applyFill="1" applyBorder="1" applyAlignment="1">
      <alignment horizontal="center" vertical="center"/>
    </xf>
    <xf numFmtId="165" fontId="8" fillId="0" borderId="12" xfId="0" applyNumberFormat="1" applyFont="1" applyFill="1" applyBorder="1" applyAlignment="1">
      <alignment horizontal="center" vertical="center"/>
    </xf>
    <xf numFmtId="0" fontId="10" fillId="0" borderId="0" xfId="0" applyFont="1"/>
    <xf numFmtId="0" fontId="11" fillId="3" borderId="12" xfId="0" applyFont="1" applyFill="1" applyBorder="1" applyAlignment="1">
      <alignment horizontal="center" vertical="center" wrapText="1"/>
    </xf>
    <xf numFmtId="4" fontId="8" fillId="0" borderId="0" xfId="0" applyNumberFormat="1" applyFont="1" applyAlignment="1">
      <alignment vertical="center"/>
    </xf>
    <xf numFmtId="4" fontId="8" fillId="0" borderId="0" xfId="0" applyNumberFormat="1" applyFont="1" applyBorder="1" applyAlignment="1">
      <alignment horizontal="left" vertical="center"/>
    </xf>
    <xf numFmtId="2" fontId="8" fillId="0" borderId="12" xfId="0" applyNumberFormat="1" applyFont="1" applyBorder="1" applyAlignment="1">
      <alignment horizontal="center" vertical="center"/>
    </xf>
    <xf numFmtId="0" fontId="8" fillId="0" borderId="0" xfId="0" applyFont="1" applyFill="1" applyAlignment="1">
      <alignment horizontal="center" vertical="center"/>
    </xf>
    <xf numFmtId="164" fontId="2" fillId="0" borderId="0" xfId="0" applyNumberFormat="1" applyFont="1" applyAlignment="1">
      <alignment horizontal="center" vertical="center"/>
    </xf>
    <xf numFmtId="0" fontId="2" fillId="0" borderId="0" xfId="0" applyFont="1" applyBorder="1" applyAlignment="1" applyProtection="1">
      <alignment vertical="center"/>
    </xf>
    <xf numFmtId="4" fontId="2" fillId="0" borderId="0" xfId="0" applyNumberFormat="1" applyFont="1" applyBorder="1" applyAlignment="1" applyProtection="1">
      <alignment horizontal="center" vertical="center"/>
    </xf>
    <xf numFmtId="0" fontId="8" fillId="0" borderId="10" xfId="0" applyFont="1" applyBorder="1" applyAlignment="1">
      <alignment horizontal="center" vertical="center"/>
    </xf>
    <xf numFmtId="2" fontId="8" fillId="0" borderId="0" xfId="0" applyNumberFormat="1" applyFont="1" applyFill="1" applyBorder="1" applyAlignment="1">
      <alignment horizontal="center" vertical="center" wrapText="1"/>
    </xf>
    <xf numFmtId="167" fontId="8" fillId="0" borderId="0" xfId="0" applyNumberFormat="1" applyFont="1" applyFill="1" applyBorder="1" applyAlignment="1">
      <alignment horizontal="center" vertical="center" wrapText="1"/>
    </xf>
    <xf numFmtId="165" fontId="8" fillId="0" borderId="0" xfId="0" applyNumberFormat="1" applyFont="1" applyFill="1" applyBorder="1" applyAlignment="1">
      <alignment horizontal="center" vertical="center" wrapText="1"/>
    </xf>
    <xf numFmtId="4" fontId="8" fillId="0" borderId="0" xfId="0" applyNumberFormat="1" applyFont="1" applyBorder="1" applyAlignment="1">
      <alignment horizontal="center" vertical="center"/>
    </xf>
    <xf numFmtId="0" fontId="6" fillId="0" borderId="10" xfId="0" applyFont="1" applyFill="1" applyBorder="1" applyAlignment="1">
      <alignment vertical="center"/>
    </xf>
    <xf numFmtId="0" fontId="6" fillId="0" borderId="10" xfId="0" applyFont="1" applyBorder="1" applyAlignment="1">
      <alignment horizontal="center" vertical="center"/>
    </xf>
    <xf numFmtId="0" fontId="2" fillId="0" borderId="1" xfId="0" applyFont="1" applyFill="1" applyBorder="1" applyAlignment="1">
      <alignment vertical="center"/>
    </xf>
    <xf numFmtId="0" fontId="6" fillId="0" borderId="0" xfId="0" applyFont="1" applyBorder="1" applyAlignment="1">
      <alignment horizontal="center" vertical="center"/>
    </xf>
    <xf numFmtId="0" fontId="2" fillId="0" borderId="0" xfId="0" applyFont="1"/>
    <xf numFmtId="167" fontId="2" fillId="0" borderId="0" xfId="0" applyNumberFormat="1" applyFont="1"/>
    <xf numFmtId="2" fontId="2" fillId="0" borderId="0" xfId="0" applyNumberFormat="1" applyFont="1"/>
    <xf numFmtId="2"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4" fontId="2" fillId="0" borderId="1" xfId="0" applyNumberFormat="1" applyFont="1" applyFill="1" applyBorder="1" applyAlignment="1">
      <alignment horizontal="center" vertical="center"/>
    </xf>
    <xf numFmtId="0" fontId="2" fillId="0" borderId="30" xfId="0" applyFont="1" applyBorder="1" applyAlignment="1">
      <alignment horizontal="center" vertical="center"/>
    </xf>
    <xf numFmtId="165" fontId="2" fillId="0" borderId="0" xfId="0" applyNumberFormat="1" applyFont="1" applyFill="1" applyAlignment="1">
      <alignment horizontal="center" vertical="center"/>
    </xf>
    <xf numFmtId="165" fontId="2" fillId="0" borderId="0" xfId="0" applyNumberFormat="1" applyFont="1" applyAlignment="1">
      <alignment horizontal="center" vertical="center"/>
    </xf>
    <xf numFmtId="172" fontId="8" fillId="0" borderId="12" xfId="0" applyNumberFormat="1" applyFont="1" applyFill="1" applyBorder="1" applyAlignment="1">
      <alignment horizontal="center" vertical="center"/>
    </xf>
    <xf numFmtId="0" fontId="8" fillId="6" borderId="31" xfId="0" applyFont="1" applyFill="1" applyBorder="1" applyAlignment="1">
      <alignment vertical="center"/>
    </xf>
    <xf numFmtId="0" fontId="8" fillId="6" borderId="31" xfId="0" applyFont="1" applyFill="1" applyBorder="1" applyAlignment="1">
      <alignment horizontal="center" vertical="center"/>
    </xf>
    <xf numFmtId="165" fontId="8" fillId="6" borderId="31" xfId="0" applyNumberFormat="1" applyFont="1" applyFill="1" applyBorder="1" applyAlignment="1">
      <alignment horizontal="center" vertical="center"/>
    </xf>
    <xf numFmtId="0" fontId="10" fillId="5" borderId="22" xfId="0" applyFont="1" applyFill="1" applyBorder="1" applyAlignment="1">
      <alignment horizontal="center" vertical="center"/>
    </xf>
    <xf numFmtId="2" fontId="10" fillId="5" borderId="22" xfId="0" applyNumberFormat="1" applyFont="1" applyFill="1" applyBorder="1" applyAlignment="1">
      <alignment horizontal="center" vertical="center"/>
    </xf>
    <xf numFmtId="0" fontId="2" fillId="0" borderId="4" xfId="0" applyFont="1" applyBorder="1" applyAlignment="1">
      <alignment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wrapText="1"/>
    </xf>
    <xf numFmtId="0" fontId="2" fillId="0" borderId="15" xfId="0" applyFont="1" applyBorder="1" applyAlignment="1">
      <alignment vertical="center" wrapText="1"/>
    </xf>
    <xf numFmtId="0" fontId="2" fillId="0" borderId="3" xfId="0" applyFont="1" applyBorder="1" applyAlignment="1">
      <alignment vertical="center" wrapText="1"/>
    </xf>
    <xf numFmtId="0" fontId="2" fillId="0" borderId="17" xfId="0" applyFont="1" applyBorder="1" applyAlignment="1">
      <alignment vertical="center" wrapText="1"/>
    </xf>
    <xf numFmtId="0" fontId="22" fillId="0" borderId="0" xfId="0" applyFont="1" applyAlignment="1">
      <alignment vertical="center"/>
    </xf>
    <xf numFmtId="0" fontId="2" fillId="0" borderId="30" xfId="0" applyFont="1" applyBorder="1" applyAlignment="1">
      <alignment vertical="center"/>
    </xf>
    <xf numFmtId="0" fontId="2" fillId="0" borderId="30" xfId="0" applyFont="1" applyBorder="1" applyAlignment="1">
      <alignment horizontal="right" vertical="center"/>
    </xf>
    <xf numFmtId="3" fontId="2" fillId="0" borderId="30" xfId="0" applyNumberFormat="1" applyFont="1" applyBorder="1" applyAlignment="1">
      <alignment vertical="center"/>
    </xf>
    <xf numFmtId="2" fontId="2" fillId="0" borderId="30" xfId="0" applyNumberFormat="1" applyFont="1" applyBorder="1" applyAlignment="1">
      <alignment horizontal="right" vertical="center"/>
    </xf>
    <xf numFmtId="4" fontId="2" fillId="0" borderId="30" xfId="0" applyNumberFormat="1" applyFont="1" applyBorder="1" applyAlignment="1">
      <alignment vertical="center"/>
    </xf>
    <xf numFmtId="3" fontId="8" fillId="0" borderId="0" xfId="0" applyNumberFormat="1" applyFont="1" applyAlignment="1">
      <alignment vertical="center" wrapText="1"/>
    </xf>
    <xf numFmtId="166" fontId="8" fillId="0" borderId="1" xfId="0" applyNumberFormat="1" applyFont="1" applyFill="1" applyBorder="1" applyAlignment="1">
      <alignment horizontal="center" vertical="center"/>
    </xf>
    <xf numFmtId="2" fontId="8" fillId="7" borderId="1" xfId="0" applyNumberFormat="1" applyFont="1" applyFill="1" applyBorder="1" applyAlignment="1">
      <alignment horizontal="center" vertical="center"/>
    </xf>
    <xf numFmtId="0" fontId="14" fillId="7" borderId="0" xfId="0" applyFont="1" applyFill="1"/>
    <xf numFmtId="3" fontId="8" fillId="7" borderId="1" xfId="0" applyNumberFormat="1" applyFont="1" applyFill="1" applyBorder="1" applyAlignment="1">
      <alignment horizontal="center" vertical="center"/>
    </xf>
    <xf numFmtId="170" fontId="8" fillId="0" borderId="12" xfId="0" applyNumberFormat="1" applyFont="1" applyFill="1" applyBorder="1" applyAlignment="1">
      <alignment horizontal="center" vertical="center"/>
    </xf>
    <xf numFmtId="3" fontId="8" fillId="8" borderId="1" xfId="0" applyNumberFormat="1" applyFont="1" applyFill="1" applyBorder="1" applyAlignment="1">
      <alignment horizontal="center" vertical="center"/>
    </xf>
    <xf numFmtId="3" fontId="8" fillId="8" borderId="11" xfId="0" applyNumberFormat="1" applyFont="1" applyFill="1" applyBorder="1" applyAlignment="1">
      <alignment horizontal="center" vertical="center"/>
    </xf>
    <xf numFmtId="3" fontId="8" fillId="8" borderId="12" xfId="0" applyNumberFormat="1" applyFont="1" applyFill="1" applyBorder="1" applyAlignment="1">
      <alignment horizontal="center" vertical="center"/>
    </xf>
    <xf numFmtId="3" fontId="8" fillId="8" borderId="13"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11" fillId="3" borderId="1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13" xfId="0" applyFont="1" applyFill="1" applyBorder="1" applyAlignment="1">
      <alignment horizontal="center" vertical="center" wrapText="1"/>
    </xf>
    <xf numFmtId="171" fontId="8" fillId="0" borderId="12" xfId="0" applyNumberFormat="1" applyFont="1" applyFill="1" applyBorder="1" applyAlignment="1">
      <alignment horizontal="center" vertical="center"/>
    </xf>
    <xf numFmtId="173" fontId="8" fillId="0" borderId="12" xfId="0" applyNumberFormat="1" applyFont="1" applyBorder="1" applyAlignment="1">
      <alignment horizontal="center" vertical="center" wrapText="1"/>
    </xf>
    <xf numFmtId="0" fontId="2" fillId="0" borderId="0" xfId="0" applyFont="1" applyBorder="1" applyAlignment="1" applyProtection="1">
      <alignment horizontal="center" vertical="center"/>
    </xf>
    <xf numFmtId="3" fontId="15" fillId="0" borderId="0" xfId="0" applyNumberFormat="1" applyFont="1"/>
    <xf numFmtId="0" fontId="10" fillId="0" borderId="0" xfId="0" applyFont="1" applyAlignment="1">
      <alignment vertical="center" wrapText="1"/>
    </xf>
    <xf numFmtId="0" fontId="6" fillId="0" borderId="0" xfId="0" applyFont="1" applyAlignment="1">
      <alignment vertical="center"/>
    </xf>
    <xf numFmtId="0" fontId="11" fillId="3" borderId="12" xfId="0" applyFont="1" applyFill="1" applyBorder="1" applyAlignment="1">
      <alignment horizontal="center" vertical="center" wrapText="1"/>
    </xf>
    <xf numFmtId="0" fontId="11" fillId="3" borderId="12" xfId="0"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11" fillId="3" borderId="12" xfId="0" applyFont="1" applyFill="1" applyBorder="1" applyAlignment="1">
      <alignment horizontal="center" vertical="center" wrapText="1"/>
    </xf>
    <xf numFmtId="166" fontId="8" fillId="0" borderId="12" xfId="0" applyNumberFormat="1" applyFont="1" applyFill="1" applyBorder="1" applyAlignment="1">
      <alignment horizontal="center" vertical="center"/>
    </xf>
    <xf numFmtId="0" fontId="25" fillId="0" borderId="0" xfId="0" applyFont="1" applyAlignment="1">
      <alignment vertical="center"/>
    </xf>
    <xf numFmtId="4" fontId="8" fillId="0" borderId="0" xfId="0" applyNumberFormat="1" applyFont="1" applyFill="1" applyBorder="1" applyAlignment="1">
      <alignment horizontal="center" vertical="center"/>
    </xf>
    <xf numFmtId="166" fontId="8" fillId="0" borderId="0" xfId="0" applyNumberFormat="1" applyFont="1" applyFill="1" applyBorder="1" applyAlignment="1">
      <alignment horizontal="center" vertical="center"/>
    </xf>
    <xf numFmtId="0" fontId="14" fillId="0" borderId="0" xfId="0" applyFont="1" applyFill="1"/>
    <xf numFmtId="168" fontId="2" fillId="0" borderId="0" xfId="0" applyNumberFormat="1" applyFont="1" applyFill="1" applyBorder="1" applyAlignment="1">
      <alignment horizontal="center" vertical="center"/>
    </xf>
    <xf numFmtId="166" fontId="8" fillId="0" borderId="13" xfId="0" applyNumberFormat="1" applyFont="1" applyFill="1" applyBorder="1" applyAlignment="1">
      <alignment vertical="center"/>
    </xf>
    <xf numFmtId="0" fontId="6" fillId="5" borderId="0" xfId="0" applyFont="1" applyFill="1" applyBorder="1" applyAlignment="1">
      <alignment horizontal="left" vertical="center" wrapText="1"/>
    </xf>
    <xf numFmtId="167" fontId="6" fillId="5"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168" fontId="8" fillId="0" borderId="1" xfId="0" applyNumberFormat="1" applyFont="1" applyFill="1" applyBorder="1" applyAlignment="1">
      <alignment horizontal="center" vertical="center"/>
    </xf>
    <xf numFmtId="168" fontId="8" fillId="0" borderId="12" xfId="0" applyNumberFormat="1" applyFont="1" applyFill="1" applyBorder="1" applyAlignment="1">
      <alignment horizontal="center" vertical="center"/>
    </xf>
    <xf numFmtId="168" fontId="8" fillId="7" borderId="1" xfId="0" applyNumberFormat="1" applyFont="1" applyFill="1" applyBorder="1" applyAlignment="1">
      <alignment horizontal="center" vertical="center"/>
    </xf>
    <xf numFmtId="167" fontId="2" fillId="0" borderId="0" xfId="0" applyNumberFormat="1" applyFont="1" applyAlignment="1">
      <alignment vertical="center"/>
    </xf>
    <xf numFmtId="167" fontId="8" fillId="0" borderId="12" xfId="0" applyNumberFormat="1" applyFont="1" applyBorder="1" applyAlignment="1">
      <alignment horizontal="center" vertical="center"/>
    </xf>
    <xf numFmtId="0" fontId="2" fillId="4" borderId="1" xfId="0" applyFont="1" applyFill="1" applyBorder="1" applyAlignment="1"/>
    <xf numFmtId="0" fontId="2" fillId="0" borderId="1" xfId="0" applyFont="1" applyFill="1" applyBorder="1" applyAlignment="1">
      <alignment vertical="center" wrapText="1"/>
    </xf>
    <xf numFmtId="3" fontId="8" fillId="9" borderId="12" xfId="0" applyNumberFormat="1" applyFont="1" applyFill="1" applyBorder="1" applyAlignment="1">
      <alignment horizontal="center" vertical="center"/>
    </xf>
    <xf numFmtId="0" fontId="14" fillId="9" borderId="0" xfId="0" applyFont="1" applyFill="1"/>
    <xf numFmtId="0" fontId="11" fillId="3" borderId="1" xfId="0" applyFont="1" applyFill="1" applyBorder="1" applyAlignment="1">
      <alignment horizontal="center" vertical="center" wrapText="1"/>
    </xf>
    <xf numFmtId="0" fontId="2" fillId="0" borderId="0" xfId="0" applyFont="1" applyFill="1" applyBorder="1" applyAlignment="1">
      <alignment vertical="center" wrapText="1"/>
    </xf>
    <xf numFmtId="2" fontId="6" fillId="0" borderId="1" xfId="0" applyNumberFormat="1" applyFont="1" applyBorder="1" applyAlignment="1">
      <alignment horizontal="center" vertical="center"/>
    </xf>
    <xf numFmtId="167" fontId="6" fillId="0" borderId="1" xfId="0" applyNumberFormat="1" applyFont="1" applyBorder="1" applyAlignment="1">
      <alignment horizontal="center" vertical="center"/>
    </xf>
    <xf numFmtId="0" fontId="8" fillId="5" borderId="9" xfId="0" applyFont="1" applyFill="1" applyBorder="1" applyAlignment="1">
      <alignment vertical="center" wrapText="1"/>
    </xf>
    <xf numFmtId="0" fontId="8" fillId="5" borderId="46" xfId="0" applyFont="1" applyFill="1" applyBorder="1" applyAlignment="1">
      <alignment vertical="center" wrapText="1"/>
    </xf>
    <xf numFmtId="0" fontId="8" fillId="5" borderId="44" xfId="0" applyFont="1" applyFill="1" applyBorder="1" applyAlignment="1">
      <alignment vertical="center" wrapText="1"/>
    </xf>
    <xf numFmtId="0" fontId="8" fillId="5" borderId="1" xfId="0" applyFont="1" applyFill="1" applyBorder="1" applyAlignment="1">
      <alignment vertical="center" wrapText="1"/>
    </xf>
    <xf numFmtId="0" fontId="8" fillId="5" borderId="46" xfId="0" applyFont="1" applyFill="1" applyBorder="1" applyAlignment="1">
      <alignment horizontal="center" vertical="center" wrapText="1"/>
    </xf>
    <xf numFmtId="166" fontId="1" fillId="4" borderId="12" xfId="0" applyNumberFormat="1" applyFont="1" applyFill="1" applyBorder="1" applyAlignment="1">
      <alignment horizontal="center" vertical="center"/>
    </xf>
    <xf numFmtId="0" fontId="8"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8" fillId="5" borderId="9"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2" fillId="0" borderId="0" xfId="0" applyFont="1" applyBorder="1" applyAlignment="1">
      <alignment horizontal="center" vertical="center"/>
    </xf>
    <xf numFmtId="0" fontId="27" fillId="0" borderId="0" xfId="2" applyFont="1" applyAlignment="1">
      <alignment vertical="center"/>
    </xf>
    <xf numFmtId="2" fontId="2" fillId="5" borderId="9" xfId="0" applyNumberFormat="1" applyFont="1" applyFill="1" applyBorder="1" applyAlignment="1">
      <alignment horizontal="center" vertical="center"/>
    </xf>
    <xf numFmtId="2" fontId="2" fillId="5" borderId="1" xfId="0" applyNumberFormat="1" applyFont="1" applyFill="1" applyBorder="1" applyAlignment="1">
      <alignment horizontal="center" vertical="center"/>
    </xf>
    <xf numFmtId="167" fontId="2" fillId="0" borderId="1" xfId="0" applyNumberFormat="1" applyFont="1" applyFill="1" applyBorder="1" applyAlignment="1">
      <alignment horizontal="center" vertical="center"/>
    </xf>
    <xf numFmtId="4" fontId="2" fillId="0" borderId="0" xfId="0" applyNumberFormat="1" applyFont="1" applyBorder="1" applyAlignment="1">
      <alignment horizontal="center" vertical="center" wrapText="1"/>
    </xf>
    <xf numFmtId="4" fontId="2" fillId="0" borderId="10" xfId="0" applyNumberFormat="1" applyFont="1" applyBorder="1" applyAlignment="1">
      <alignment horizontal="center" vertical="center" wrapText="1"/>
    </xf>
    <xf numFmtId="4" fontId="2" fillId="0" borderId="1" xfId="0" applyNumberFormat="1" applyFont="1" applyBorder="1" applyAlignment="1">
      <alignment horizontal="center" vertical="center" wrapText="1"/>
    </xf>
    <xf numFmtId="169"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4" fontId="2" fillId="0" borderId="0" xfId="0" applyNumberFormat="1" applyFont="1" applyBorder="1" applyAlignment="1">
      <alignment horizontal="center" vertical="center"/>
    </xf>
    <xf numFmtId="0" fontId="2" fillId="2" borderId="0" xfId="0" applyFont="1" applyFill="1" applyBorder="1" applyAlignment="1">
      <alignment horizontal="center" vertical="center"/>
    </xf>
    <xf numFmtId="4" fontId="2" fillId="2" borderId="0" xfId="0" applyNumberFormat="1" applyFont="1" applyFill="1" applyBorder="1" applyAlignment="1">
      <alignment horizontal="center" vertical="center"/>
    </xf>
    <xf numFmtId="3" fontId="2" fillId="0" borderId="0" xfId="0" applyNumberFormat="1" applyFont="1" applyBorder="1" applyAlignment="1">
      <alignment horizontal="center" vertical="center"/>
    </xf>
    <xf numFmtId="3" fontId="2" fillId="2" borderId="0" xfId="0" applyNumberFormat="1" applyFont="1" applyFill="1" applyBorder="1" applyAlignment="1">
      <alignment horizontal="center" vertical="center"/>
    </xf>
    <xf numFmtId="4" fontId="8" fillId="5" borderId="21" xfId="0" applyNumberFormat="1" applyFont="1" applyFill="1" applyBorder="1" applyAlignment="1">
      <alignment horizontal="center" vertical="center"/>
    </xf>
    <xf numFmtId="174" fontId="2" fillId="0" borderId="12" xfId="0" applyNumberFormat="1" applyFont="1" applyFill="1" applyBorder="1" applyAlignment="1">
      <alignment horizontal="center" vertical="center"/>
    </xf>
    <xf numFmtId="174" fontId="8" fillId="5" borderId="47" xfId="0" applyNumberFormat="1" applyFont="1" applyFill="1" applyBorder="1" applyAlignment="1">
      <alignment horizontal="center" vertical="center"/>
    </xf>
    <xf numFmtId="175" fontId="2" fillId="0" borderId="12" xfId="0" applyNumberFormat="1" applyFont="1" applyFill="1" applyBorder="1" applyAlignment="1">
      <alignment horizontal="center" vertical="center"/>
    </xf>
    <xf numFmtId="174" fontId="2" fillId="5" borderId="12" xfId="0" applyNumberFormat="1" applyFont="1" applyFill="1" applyBorder="1" applyAlignment="1">
      <alignment horizontal="center" vertical="center"/>
    </xf>
    <xf numFmtId="0" fontId="11" fillId="3" borderId="52" xfId="0" applyFont="1" applyFill="1" applyBorder="1" applyAlignment="1">
      <alignment horizontal="center" vertical="center" wrapText="1"/>
    </xf>
    <xf numFmtId="0" fontId="8" fillId="0" borderId="25" xfId="0" applyFont="1" applyBorder="1" applyAlignment="1">
      <alignment horizontal="center" vertical="center"/>
    </xf>
    <xf numFmtId="175" fontId="2" fillId="0" borderId="28" xfId="0" applyNumberFormat="1" applyFont="1" applyFill="1" applyBorder="1" applyAlignment="1">
      <alignment horizontal="center" vertical="center"/>
    </xf>
    <xf numFmtId="174" fontId="2" fillId="0" borderId="28" xfId="0" applyNumberFormat="1" applyFont="1" applyFill="1" applyBorder="1" applyAlignment="1">
      <alignment horizontal="center" vertical="center"/>
    </xf>
    <xf numFmtId="0" fontId="11" fillId="3" borderId="53" xfId="0" applyFont="1" applyFill="1" applyBorder="1" applyAlignment="1">
      <alignment horizontal="center" vertical="center" wrapText="1"/>
    </xf>
    <xf numFmtId="0" fontId="11" fillId="3" borderId="54" xfId="0" applyFont="1" applyFill="1" applyBorder="1" applyAlignment="1">
      <alignment horizontal="center" vertical="center" wrapText="1"/>
    </xf>
    <xf numFmtId="0" fontId="2" fillId="0" borderId="55" xfId="0" applyFont="1" applyBorder="1" applyAlignment="1">
      <alignment vertical="center"/>
    </xf>
    <xf numFmtId="170" fontId="2" fillId="0" borderId="0" xfId="0" applyNumberFormat="1" applyFont="1" applyAlignment="1">
      <alignment horizontal="center" vertical="center"/>
    </xf>
    <xf numFmtId="0" fontId="2" fillId="0" borderId="0" xfId="0" applyFont="1" applyAlignment="1">
      <alignment horizontal="center" vertical="center" wrapText="1"/>
    </xf>
    <xf numFmtId="4" fontId="2" fillId="5" borderId="1" xfId="0" applyNumberFormat="1" applyFont="1" applyFill="1" applyBorder="1" applyAlignment="1">
      <alignment horizontal="center" vertical="center"/>
    </xf>
    <xf numFmtId="0" fontId="2" fillId="5" borderId="11" xfId="0" applyFont="1" applyFill="1" applyBorder="1" applyAlignment="1">
      <alignment horizontal="center" vertical="center"/>
    </xf>
    <xf numFmtId="0" fontId="2" fillId="5" borderId="14" xfId="0" applyFont="1" applyFill="1" applyBorder="1" applyAlignment="1">
      <alignment horizontal="center" vertical="center"/>
    </xf>
    <xf numFmtId="0" fontId="8" fillId="5" borderId="1" xfId="0" applyFont="1" applyFill="1" applyBorder="1" applyAlignment="1">
      <alignment horizontal="center" vertical="center" wrapText="1"/>
    </xf>
    <xf numFmtId="166" fontId="1" fillId="4" borderId="12" xfId="0" applyNumberFormat="1" applyFont="1" applyFill="1" applyBorder="1" applyAlignment="1">
      <alignment horizontal="center" vertical="center"/>
    </xf>
    <xf numFmtId="0" fontId="2" fillId="5" borderId="0"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2" fontId="2" fillId="0" borderId="5" xfId="0" applyNumberFormat="1" applyFont="1" applyBorder="1" applyAlignment="1">
      <alignment horizontal="center" vertical="center"/>
    </xf>
    <xf numFmtId="2" fontId="2" fillId="0" borderId="6" xfId="0" applyNumberFormat="1" applyFont="1" applyBorder="1" applyAlignment="1">
      <alignment horizontal="center" vertical="center"/>
    </xf>
    <xf numFmtId="2" fontId="2" fillId="0" borderId="7" xfId="0" applyNumberFormat="1" applyFont="1" applyBorder="1" applyAlignment="1">
      <alignment horizontal="center" vertical="center"/>
    </xf>
    <xf numFmtId="167" fontId="2" fillId="0" borderId="5" xfId="0" applyNumberFormat="1" applyFont="1" applyBorder="1" applyAlignment="1">
      <alignment horizontal="center" vertical="center"/>
    </xf>
    <xf numFmtId="167" fontId="2" fillId="0" borderId="6" xfId="0" applyNumberFormat="1" applyFont="1" applyBorder="1" applyAlignment="1">
      <alignment horizontal="center" vertical="center"/>
    </xf>
    <xf numFmtId="167" fontId="2" fillId="0" borderId="7" xfId="0" applyNumberFormat="1" applyFont="1" applyBorder="1" applyAlignment="1">
      <alignment horizontal="center" vertical="center"/>
    </xf>
    <xf numFmtId="0" fontId="2" fillId="0" borderId="0" xfId="0" applyFont="1" applyBorder="1" applyAlignment="1">
      <alignment horizontal="left"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8" fillId="4" borderId="11"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5" borderId="45"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0" fillId="5" borderId="32" xfId="0" applyFont="1" applyFill="1" applyBorder="1" applyAlignment="1">
      <alignment horizontal="center" vertical="center"/>
    </xf>
    <xf numFmtId="0" fontId="10" fillId="5" borderId="33" xfId="0" applyFont="1" applyFill="1" applyBorder="1" applyAlignment="1">
      <alignment horizontal="center" vertical="center"/>
    </xf>
    <xf numFmtId="0" fontId="10" fillId="5" borderId="34"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2" fillId="4" borderId="11" xfId="0" applyFont="1" applyFill="1" applyBorder="1" applyAlignment="1">
      <alignment horizontal="center"/>
    </xf>
    <xf numFmtId="0" fontId="2" fillId="4" borderId="14" xfId="0" applyFont="1" applyFill="1" applyBorder="1" applyAlignment="1">
      <alignment horizontal="center"/>
    </xf>
    <xf numFmtId="0" fontId="2" fillId="4" borderId="11"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4" borderId="10" xfId="0" applyFont="1" applyFill="1" applyBorder="1" applyAlignment="1">
      <alignment horizontal="left" vertical="center" wrapText="1"/>
    </xf>
    <xf numFmtId="0" fontId="21" fillId="4" borderId="11" xfId="0" applyFont="1" applyFill="1" applyBorder="1" applyAlignment="1">
      <alignment horizontal="center" vertical="center"/>
    </xf>
    <xf numFmtId="0" fontId="21" fillId="4" borderId="14" xfId="0" applyFont="1" applyFill="1" applyBorder="1" applyAlignment="1">
      <alignment horizontal="center" vertical="center"/>
    </xf>
    <xf numFmtId="0" fontId="21" fillId="4" borderId="10" xfId="0" applyFont="1" applyFill="1" applyBorder="1" applyAlignment="1">
      <alignment horizontal="center" vertical="center"/>
    </xf>
    <xf numFmtId="0" fontId="8" fillId="0" borderId="23" xfId="0" applyFont="1" applyFill="1" applyBorder="1" applyAlignment="1">
      <alignment horizontal="left" vertical="center"/>
    </xf>
    <xf numFmtId="0" fontId="8" fillId="0" borderId="24" xfId="0" applyFont="1" applyFill="1" applyBorder="1" applyAlignment="1">
      <alignment horizontal="left" vertical="center"/>
    </xf>
    <xf numFmtId="0" fontId="8" fillId="0" borderId="25" xfId="0" applyFont="1" applyFill="1" applyBorder="1" applyAlignment="1">
      <alignment horizontal="left"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23" fillId="0" borderId="30" xfId="0" applyFont="1" applyBorder="1" applyAlignment="1">
      <alignment horizontal="center" vertical="center"/>
    </xf>
    <xf numFmtId="0" fontId="2" fillId="0" borderId="30" xfId="0" applyFont="1" applyBorder="1" applyAlignment="1">
      <alignment horizontal="center" vertical="center"/>
    </xf>
    <xf numFmtId="2" fontId="2" fillId="5" borderId="2" xfId="0" applyNumberFormat="1" applyFont="1" applyFill="1" applyBorder="1" applyAlignment="1">
      <alignment horizontal="center" vertical="center"/>
    </xf>
    <xf numFmtId="2" fontId="2" fillId="5" borderId="9" xfId="0" applyNumberFormat="1" applyFont="1" applyFill="1" applyBorder="1" applyAlignment="1">
      <alignment horizontal="center" vertical="center"/>
    </xf>
    <xf numFmtId="0" fontId="11" fillId="3" borderId="12"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51" xfId="0" applyFont="1" applyFill="1" applyBorder="1" applyAlignment="1">
      <alignment horizontal="center" vertical="center" wrapText="1"/>
    </xf>
    <xf numFmtId="0" fontId="11" fillId="3" borderId="48" xfId="0" applyFont="1" applyFill="1" applyBorder="1" applyAlignment="1">
      <alignment horizontal="center" vertical="center" wrapText="1"/>
    </xf>
    <xf numFmtId="0" fontId="11" fillId="3" borderId="49" xfId="0" applyFont="1" applyFill="1" applyBorder="1" applyAlignment="1">
      <alignment horizontal="center" vertical="center" wrapText="1"/>
    </xf>
    <xf numFmtId="0" fontId="11" fillId="3" borderId="50" xfId="0" applyFont="1" applyFill="1" applyBorder="1" applyAlignment="1">
      <alignment horizontal="center" vertical="center" wrapText="1"/>
    </xf>
    <xf numFmtId="0" fontId="11" fillId="3" borderId="38" xfId="1" applyFont="1" applyFill="1" applyBorder="1" applyAlignment="1">
      <alignment horizontal="center" vertical="center" wrapText="1"/>
    </xf>
    <xf numFmtId="0" fontId="11" fillId="3" borderId="39" xfId="1" applyFont="1" applyFill="1" applyBorder="1" applyAlignment="1">
      <alignment horizontal="center" vertical="center" wrapText="1"/>
    </xf>
    <xf numFmtId="166" fontId="8" fillId="0" borderId="12" xfId="0" applyNumberFormat="1" applyFont="1" applyFill="1" applyBorder="1" applyAlignment="1">
      <alignment horizontal="center" vertical="center"/>
    </xf>
    <xf numFmtId="166" fontId="8" fillId="0" borderId="13" xfId="0" applyNumberFormat="1" applyFont="1" applyFill="1" applyBorder="1" applyAlignment="1">
      <alignment horizontal="center" vertical="center"/>
    </xf>
    <xf numFmtId="166" fontId="8" fillId="4" borderId="12" xfId="0" applyNumberFormat="1" applyFont="1" applyFill="1" applyBorder="1" applyAlignment="1">
      <alignment horizontal="center" vertical="center"/>
    </xf>
    <xf numFmtId="4" fontId="8" fillId="5" borderId="41" xfId="0" applyNumberFormat="1" applyFont="1" applyFill="1" applyBorder="1" applyAlignment="1">
      <alignment horizontal="center" vertical="center"/>
    </xf>
    <xf numFmtId="4" fontId="8" fillId="5" borderId="42" xfId="0" applyNumberFormat="1" applyFont="1" applyFill="1" applyBorder="1" applyAlignment="1">
      <alignment horizontal="center" vertical="center"/>
    </xf>
    <xf numFmtId="4" fontId="8" fillId="5" borderId="43" xfId="0" applyNumberFormat="1" applyFont="1" applyFill="1" applyBorder="1" applyAlignment="1">
      <alignment horizontal="center" vertical="center"/>
    </xf>
    <xf numFmtId="0" fontId="2" fillId="0" borderId="0" xfId="0" applyFont="1" applyBorder="1" applyAlignment="1">
      <alignment horizontal="center" vertical="center"/>
    </xf>
    <xf numFmtId="0" fontId="11" fillId="3" borderId="40" xfId="0" applyFont="1" applyFill="1" applyBorder="1" applyAlignment="1">
      <alignment horizontal="center" vertical="center" wrapText="1"/>
    </xf>
    <xf numFmtId="0" fontId="11" fillId="3" borderId="11" xfId="1" applyFont="1" applyFill="1" applyBorder="1" applyAlignment="1">
      <alignment horizontal="center" vertical="center" wrapText="1"/>
    </xf>
    <xf numFmtId="0" fontId="11" fillId="3" borderId="37" xfId="1" applyFont="1" applyFill="1" applyBorder="1" applyAlignment="1">
      <alignment horizontal="center" vertical="center" wrapText="1"/>
    </xf>
    <xf numFmtId="0" fontId="11" fillId="3" borderId="18"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20" xfId="0" applyFont="1" applyFill="1" applyBorder="1" applyAlignment="1">
      <alignment horizontal="center" vertical="center" wrapText="1"/>
    </xf>
    <xf numFmtId="4" fontId="8" fillId="5" borderId="21" xfId="0" applyNumberFormat="1" applyFont="1" applyFill="1" applyBorder="1" applyAlignment="1">
      <alignment horizontal="center" vertical="center"/>
    </xf>
    <xf numFmtId="4" fontId="8" fillId="5" borderId="47" xfId="0" applyNumberFormat="1" applyFont="1" applyFill="1" applyBorder="1" applyAlignment="1">
      <alignment horizontal="center" vertical="center"/>
    </xf>
    <xf numFmtId="0" fontId="11" fillId="3" borderId="26" xfId="0" applyNumberFormat="1" applyFont="1" applyFill="1" applyBorder="1" applyAlignment="1" applyProtection="1">
      <alignment horizontal="center" vertical="center" wrapText="1"/>
    </xf>
    <xf numFmtId="0" fontId="21" fillId="4" borderId="1" xfId="0" applyFont="1" applyFill="1" applyBorder="1" applyAlignment="1">
      <alignment horizontal="center" vertical="center"/>
    </xf>
    <xf numFmtId="0" fontId="11" fillId="3" borderId="10" xfId="0" applyFont="1" applyFill="1" applyBorder="1" applyAlignment="1">
      <alignment horizontal="center" vertical="center" wrapText="1"/>
    </xf>
    <xf numFmtId="0" fontId="11" fillId="3" borderId="53" xfId="0" applyFont="1" applyFill="1" applyBorder="1" applyAlignment="1">
      <alignment horizontal="center" vertical="center" wrapText="1"/>
    </xf>
    <xf numFmtId="0" fontId="2" fillId="4" borderId="8" xfId="0" applyFont="1" applyFill="1" applyBorder="1" applyAlignment="1">
      <alignment horizontal="center"/>
    </xf>
    <xf numFmtId="0" fontId="2" fillId="4" borderId="4" xfId="0" applyFont="1" applyFill="1" applyBorder="1" applyAlignment="1">
      <alignment horizontal="center"/>
    </xf>
    <xf numFmtId="0" fontId="2" fillId="4" borderId="15" xfId="0" applyFont="1" applyFill="1" applyBorder="1" applyAlignment="1">
      <alignment horizontal="center"/>
    </xf>
    <xf numFmtId="0" fontId="2" fillId="4" borderId="3" xfId="0" applyFont="1" applyFill="1" applyBorder="1" applyAlignment="1">
      <alignment horizontal="center"/>
    </xf>
    <xf numFmtId="0" fontId="2" fillId="4" borderId="0" xfId="0" applyFont="1" applyFill="1" applyBorder="1" applyAlignment="1">
      <alignment horizontal="center"/>
    </xf>
    <xf numFmtId="0" fontId="2" fillId="4" borderId="17" xfId="0" applyFont="1" applyFill="1" applyBorder="1" applyAlignment="1">
      <alignment horizontal="center"/>
    </xf>
    <xf numFmtId="0" fontId="2" fillId="4" borderId="2" xfId="0" applyFont="1" applyFill="1" applyBorder="1" applyAlignment="1">
      <alignment horizontal="center"/>
    </xf>
    <xf numFmtId="0" fontId="2" fillId="4" borderId="9" xfId="0" applyFont="1" applyFill="1" applyBorder="1" applyAlignment="1">
      <alignment horizontal="center"/>
    </xf>
    <xf numFmtId="0" fontId="2" fillId="4" borderId="16" xfId="0" applyFont="1" applyFill="1" applyBorder="1" applyAlignment="1">
      <alignment horizontal="center"/>
    </xf>
    <xf numFmtId="0" fontId="2" fillId="0" borderId="8"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6" xfId="0" applyFont="1" applyFill="1" applyBorder="1" applyAlignment="1">
      <alignment horizontal="center" vertical="center"/>
    </xf>
    <xf numFmtId="0" fontId="11" fillId="3" borderId="56"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52" xfId="0" applyFont="1" applyFill="1" applyBorder="1" applyAlignment="1">
      <alignment horizontal="center" vertical="center" wrapText="1"/>
    </xf>
  </cellXfs>
  <cellStyles count="3">
    <cellStyle name="Hiperlink" xfId="2" builtinId="8"/>
    <cellStyle name="Normal" xfId="0" builtinId="0"/>
    <cellStyle name="Normal 2" xfId="1"/>
  </cellStyles>
  <dxfs count="0"/>
  <tableStyles count="0" defaultTableStyle="TableStyleMedium2" defaultPivotStyle="PivotStyleLight16"/>
  <colors>
    <mruColors>
      <color rgb="FFDEDAC4"/>
      <color rgb="FFDCE6F1"/>
      <color rgb="FF4F81BD"/>
      <color rgb="FFD9D9D9"/>
      <color rgb="FF3366FF"/>
      <color rgb="FF0066FF"/>
      <color rgb="FF0066CC"/>
      <color rgb="FF00FF00"/>
      <color rgb="FFFF66FF"/>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676275</xdr:colOff>
      <xdr:row>30</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xmlns="" id="{00000000-0008-0000-0100-000002000000}"/>
                </a:ext>
              </a:extLst>
            </xdr:cNvPr>
            <xdr:cNvSpPr txBox="1"/>
          </xdr:nvSpPr>
          <xdr:spPr>
            <a:xfrm>
              <a:off x="1971675" y="36337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a:extLst>
                <a:ext uri="{FF2B5EF4-FFF2-40B4-BE49-F238E27FC236}">
                  <a16:creationId xmlns:a16="http://schemas.microsoft.com/office/drawing/2014/main" xmlns="" xmlns:a14="http://schemas.microsoft.com/office/drawing/2010/main" id="{00000000-0008-0000-0100-000002000000}"/>
                </a:ext>
              </a:extLst>
            </xdr:cNvPr>
            <xdr:cNvSpPr txBox="1"/>
          </xdr:nvSpPr>
          <xdr:spPr>
            <a:xfrm>
              <a:off x="1971675" y="36337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320386</xdr:colOff>
      <xdr:row>15</xdr:row>
      <xdr:rowOff>146771</xdr:rowOff>
    </xdr:from>
    <xdr:ext cx="1609725" cy="592342"/>
    <mc:AlternateContent xmlns:mc="http://schemas.openxmlformats.org/markup-compatibility/2006" xmlns:a14="http://schemas.microsoft.com/office/drawing/2010/main">
      <mc:Choice Requires="a14">
        <xdr:sp macro="" textlink="">
          <xdr:nvSpPr>
            <xdr:cNvPr id="2" name="CaixaDeTexto 1"/>
            <xdr:cNvSpPr txBox="1"/>
          </xdr:nvSpPr>
          <xdr:spPr>
            <a:xfrm>
              <a:off x="1882486" y="3118571"/>
              <a:ext cx="1609725" cy="592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000" b="0" i="1">
                        <a:latin typeface="Cambria Math" panose="02040503050406030204" pitchFamily="18" charset="0"/>
                      </a:rPr>
                      <m:t>𝐸</m:t>
                    </m:r>
                    <m:r>
                      <a:rPr lang="pt-BR" sz="1000" b="0" i="1">
                        <a:latin typeface="Cambria Math" panose="02040503050406030204" pitchFamily="18" charset="0"/>
                      </a:rPr>
                      <m:t>=</m:t>
                    </m:r>
                    <m:r>
                      <a:rPr lang="pt-BR" sz="1000" b="0" i="1">
                        <a:latin typeface="Cambria Math" panose="02040503050406030204" pitchFamily="18" charset="0"/>
                      </a:rPr>
                      <m:t>𝑘</m:t>
                    </m:r>
                    <m:d>
                      <m:dPr>
                        <m:ctrlPr>
                          <a:rPr lang="pt-BR" sz="1000" b="0" i="1">
                            <a:latin typeface="Cambria Math" panose="02040503050406030204" pitchFamily="18" charset="0"/>
                          </a:rPr>
                        </m:ctrlPr>
                      </m:dPr>
                      <m:e>
                        <m:r>
                          <a:rPr lang="pt-BR" sz="1000" b="0" i="1">
                            <a:latin typeface="Cambria Math" panose="02040503050406030204" pitchFamily="18" charset="0"/>
                          </a:rPr>
                          <m:t>0,0016</m:t>
                        </m:r>
                      </m:e>
                    </m:d>
                    <m:r>
                      <a:rPr lang="pt-BR" sz="1000" b="0" i="1">
                        <a:latin typeface="Cambria Math" panose="02040503050406030204" pitchFamily="18" charset="0"/>
                      </a:rPr>
                      <m:t> </m:t>
                    </m:r>
                    <m:f>
                      <m:fPr>
                        <m:ctrlPr>
                          <a:rPr lang="pt-BR" sz="1000" b="0" i="1">
                            <a:latin typeface="Cambria Math" panose="02040503050406030204" pitchFamily="18" charset="0"/>
                          </a:rPr>
                        </m:ctrlPr>
                      </m:fPr>
                      <m:num>
                        <m:sSup>
                          <m:sSupPr>
                            <m:ctrlPr>
                              <a:rPr lang="pt-BR" sz="1000" b="0" i="1">
                                <a:latin typeface="Cambria Math" panose="02040503050406030204" pitchFamily="18" charset="0"/>
                              </a:rPr>
                            </m:ctrlPr>
                          </m:sSupPr>
                          <m:e>
                            <m:d>
                              <m:dPr>
                                <m:ctrlPr>
                                  <a:rPr lang="pt-BR" sz="1000" b="0" i="1">
                                    <a:latin typeface="Cambria Math" panose="02040503050406030204" pitchFamily="18" charset="0"/>
                                  </a:rPr>
                                </m:ctrlPr>
                              </m:dPr>
                              <m:e>
                                <m:f>
                                  <m:fPr>
                                    <m:ctrlPr>
                                      <a:rPr lang="pt-BR" sz="1000" b="0" i="1">
                                        <a:latin typeface="Cambria Math" panose="02040503050406030204" pitchFamily="18" charset="0"/>
                                      </a:rPr>
                                    </m:ctrlPr>
                                  </m:fPr>
                                  <m:num>
                                    <m:r>
                                      <a:rPr lang="pt-BR" sz="1000" b="0" i="1">
                                        <a:latin typeface="Cambria Math" panose="02040503050406030204" pitchFamily="18" charset="0"/>
                                      </a:rPr>
                                      <m:t>𝑈</m:t>
                                    </m:r>
                                  </m:num>
                                  <m:den>
                                    <m:r>
                                      <a:rPr lang="pt-BR" sz="1000" b="0" i="1">
                                        <a:latin typeface="Cambria Math" panose="02040503050406030204" pitchFamily="18" charset="0"/>
                                      </a:rPr>
                                      <m:t>2,2</m:t>
                                    </m:r>
                                  </m:den>
                                </m:f>
                              </m:e>
                            </m:d>
                          </m:e>
                          <m:sup>
                            <m:r>
                              <a:rPr lang="pt-BR" sz="1000" b="0" i="1">
                                <a:latin typeface="Cambria Math" panose="02040503050406030204" pitchFamily="18" charset="0"/>
                              </a:rPr>
                              <m:t>1,3</m:t>
                            </m:r>
                          </m:sup>
                        </m:sSup>
                      </m:num>
                      <m:den>
                        <m:sSup>
                          <m:sSupPr>
                            <m:ctrlPr>
                              <a:rPr lang="pt-BR" sz="1000" b="0" i="1">
                                <a:latin typeface="Cambria Math" panose="02040503050406030204" pitchFamily="18" charset="0"/>
                              </a:rPr>
                            </m:ctrlPr>
                          </m:sSupPr>
                          <m:e>
                            <m:d>
                              <m:dPr>
                                <m:ctrlPr>
                                  <a:rPr lang="pt-BR" sz="1000" b="0" i="1">
                                    <a:latin typeface="Cambria Math" panose="02040503050406030204" pitchFamily="18" charset="0"/>
                                  </a:rPr>
                                </m:ctrlPr>
                              </m:dPr>
                              <m:e>
                                <m:f>
                                  <m:fPr>
                                    <m:ctrlPr>
                                      <a:rPr lang="pt-BR" sz="1000" b="0" i="1">
                                        <a:latin typeface="Cambria Math" panose="02040503050406030204" pitchFamily="18" charset="0"/>
                                      </a:rPr>
                                    </m:ctrlPr>
                                  </m:fPr>
                                  <m:num>
                                    <m:r>
                                      <a:rPr lang="pt-BR" sz="1000" b="0" i="1">
                                        <a:latin typeface="Cambria Math" panose="02040503050406030204" pitchFamily="18" charset="0"/>
                                      </a:rPr>
                                      <m:t>𝑀</m:t>
                                    </m:r>
                                  </m:num>
                                  <m:den>
                                    <m:r>
                                      <a:rPr lang="pt-BR" sz="1000" b="0" i="1">
                                        <a:latin typeface="Cambria Math" panose="02040503050406030204" pitchFamily="18" charset="0"/>
                                      </a:rPr>
                                      <m:t>2</m:t>
                                    </m:r>
                                  </m:den>
                                </m:f>
                              </m:e>
                            </m:d>
                          </m:e>
                          <m:sup>
                            <m:r>
                              <a:rPr lang="pt-BR" sz="1000" b="0" i="1">
                                <a:latin typeface="Cambria Math" panose="02040503050406030204" pitchFamily="18" charset="0"/>
                              </a:rPr>
                              <m:t>1,4</m:t>
                            </m:r>
                          </m:sup>
                        </m:sSup>
                      </m:den>
                    </m:f>
                  </m:oMath>
                </m:oMathPara>
              </a14:m>
              <a:endParaRPr lang="pt-BR" sz="1000"/>
            </a:p>
          </xdr:txBody>
        </xdr:sp>
      </mc:Choice>
      <mc:Fallback xmlns="">
        <xdr:sp macro="" textlink="">
          <xdr:nvSpPr>
            <xdr:cNvPr id="2" name="CaixaDeTexto 1"/>
            <xdr:cNvSpPr txBox="1"/>
          </xdr:nvSpPr>
          <xdr:spPr>
            <a:xfrm>
              <a:off x="1882486" y="3118571"/>
              <a:ext cx="1609725" cy="592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000" b="0" i="0">
                  <a:latin typeface="Cambria Math" panose="02040503050406030204" pitchFamily="18" charset="0"/>
                </a:rPr>
                <a:t>𝐸=𝑘(0,0016)   (𝑈/2,2)^1,3/(𝑀/2)^1,4 </a:t>
              </a:r>
              <a:endParaRPr lang="pt-BR" sz="10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ientes/VLI/PRJ1401148-Programas%20QAr/06-Invent&#225;rio/6-4_Unidades%20Operacionais_FCA/Terminal%20de%20Araguari/Memorial_Araguari_F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torEmis_Grãos"/>
      <sheetName val="FatorEmis_Vias"/>
      <sheetName val="FatorEmiss_Equip"/>
      <sheetName val="FatorLoco_Carreg"/>
      <sheetName val="Dados"/>
      <sheetName val="TR's"/>
      <sheetName val="Fontes Pontuais"/>
      <sheetName val="Carreg-Descarg"/>
      <sheetName val="Equipamentos"/>
      <sheetName val="Vias"/>
      <sheetName val="Loco-Parada"/>
      <sheetName val="Bloco - Total"/>
    </sheetNames>
    <sheetDataSet>
      <sheetData sheetId="0"/>
      <sheetData sheetId="1">
        <row r="4">
          <cell r="A4" t="str">
            <v>Tubo de escapamento</v>
          </cell>
          <cell r="G4">
            <v>0</v>
          </cell>
        </row>
        <row r="5">
          <cell r="A5" t="str">
            <v xml:space="preserve">     Gasolina C</v>
          </cell>
          <cell r="B5">
            <v>0.08</v>
          </cell>
          <cell r="C5">
            <v>7.0000000000000007E-2</v>
          </cell>
          <cell r="D5">
            <v>0.75</v>
          </cell>
          <cell r="E5">
            <v>11.4</v>
          </cell>
          <cell r="F5">
            <v>1.17</v>
          </cell>
          <cell r="G5" t="str">
            <v>-</v>
          </cell>
        </row>
        <row r="6">
          <cell r="A6" t="str">
            <v xml:space="preserve">     Álcool</v>
          </cell>
          <cell r="B6" t="str">
            <v>-</v>
          </cell>
          <cell r="C6" t="str">
            <v>-</v>
          </cell>
          <cell r="D6">
            <v>1.3</v>
          </cell>
          <cell r="E6">
            <v>20.100000000000001</v>
          </cell>
          <cell r="F6">
            <v>2.17</v>
          </cell>
          <cell r="G6" t="str">
            <v>-</v>
          </cell>
        </row>
        <row r="7">
          <cell r="A7" t="str">
            <v xml:space="preserve">     Flex (álcool)</v>
          </cell>
          <cell r="B7" t="str">
            <v>-</v>
          </cell>
          <cell r="C7" t="str">
            <v>-</v>
          </cell>
          <cell r="D7">
            <v>0.06</v>
          </cell>
          <cell r="E7">
            <v>0.62</v>
          </cell>
          <cell r="F7">
            <v>0.1</v>
          </cell>
          <cell r="G7" t="str">
            <v>-</v>
          </cell>
        </row>
        <row r="8">
          <cell r="A8" t="str">
            <v xml:space="preserve">     Diesel</v>
          </cell>
          <cell r="B8">
            <v>0.47</v>
          </cell>
          <cell r="C8">
            <v>0.13</v>
          </cell>
          <cell r="D8">
            <v>9.81</v>
          </cell>
          <cell r="E8">
            <v>13.4</v>
          </cell>
          <cell r="F8">
            <v>2.0499999999999998</v>
          </cell>
          <cell r="G8">
            <v>285</v>
          </cell>
        </row>
        <row r="9">
          <cell r="A9" t="str">
            <v xml:space="preserve">     Táxi</v>
          </cell>
          <cell r="B9" t="str">
            <v>-</v>
          </cell>
          <cell r="C9" t="str">
            <v>-</v>
          </cell>
          <cell r="D9">
            <v>0.9</v>
          </cell>
          <cell r="E9">
            <v>0.8</v>
          </cell>
          <cell r="F9">
            <v>0.44</v>
          </cell>
          <cell r="G9">
            <v>0</v>
          </cell>
        </row>
        <row r="10">
          <cell r="A10" t="str">
            <v xml:space="preserve">     Motocicletas e similiares</v>
          </cell>
          <cell r="B10">
            <v>0.05</v>
          </cell>
          <cell r="C10">
            <v>0.02</v>
          </cell>
          <cell r="D10">
            <v>0.12</v>
          </cell>
          <cell r="E10">
            <v>10.4</v>
          </cell>
          <cell r="F10">
            <v>1.41</v>
          </cell>
          <cell r="G10">
            <v>0</v>
          </cell>
        </row>
        <row r="11">
          <cell r="A11" t="str">
            <v>Emissão do carter evaporativa</v>
          </cell>
          <cell r="G11">
            <v>0</v>
          </cell>
        </row>
        <row r="12">
          <cell r="A12" t="str">
            <v xml:space="preserve">     Gasolina C</v>
          </cell>
          <cell r="B12" t="str">
            <v>-</v>
          </cell>
          <cell r="C12" t="str">
            <v>-</v>
          </cell>
          <cell r="D12" t="str">
            <v>-</v>
          </cell>
          <cell r="E12" t="str">
            <v>-</v>
          </cell>
          <cell r="F12">
            <v>2</v>
          </cell>
          <cell r="G12" t="str">
            <v>-</v>
          </cell>
          <cell r="I12" t="str">
            <v>Copper smelting</v>
          </cell>
          <cell r="J12">
            <v>1</v>
          </cell>
          <cell r="K12">
            <v>3</v>
          </cell>
          <cell r="L12" t="str">
            <v>15,4-21,7</v>
          </cell>
          <cell r="M12">
            <v>19</v>
          </cell>
          <cell r="N12" t="str">
            <v>188-400</v>
          </cell>
          <cell r="O12">
            <v>292</v>
          </cell>
        </row>
        <row r="13">
          <cell r="A13" t="str">
            <v xml:space="preserve">     Álcool</v>
          </cell>
          <cell r="B13" t="str">
            <v>-</v>
          </cell>
          <cell r="C13" t="str">
            <v>-</v>
          </cell>
          <cell r="D13" t="str">
            <v>-</v>
          </cell>
          <cell r="E13" t="str">
            <v>-</v>
          </cell>
          <cell r="F13">
            <v>1.5</v>
          </cell>
          <cell r="G13" t="str">
            <v>-</v>
          </cell>
          <cell r="I13" t="str">
            <v>Iron and steel production</v>
          </cell>
          <cell r="J13">
            <v>9</v>
          </cell>
          <cell r="K13">
            <v>48</v>
          </cell>
          <cell r="L13" t="str">
            <v>1,1-35,7</v>
          </cell>
          <cell r="M13">
            <v>12.5</v>
          </cell>
          <cell r="N13" t="str">
            <v>0,09-79</v>
          </cell>
          <cell r="O13">
            <v>9.6999999999999993</v>
          </cell>
        </row>
        <row r="14">
          <cell r="A14" t="str">
            <v xml:space="preserve">     Motocicletas e similiares</v>
          </cell>
          <cell r="B14" t="str">
            <v>-</v>
          </cell>
          <cell r="C14" t="str">
            <v>-</v>
          </cell>
          <cell r="D14" t="str">
            <v>-</v>
          </cell>
          <cell r="E14" t="str">
            <v>-</v>
          </cell>
          <cell r="F14">
            <v>1.2</v>
          </cell>
          <cell r="G14" t="str">
            <v>-</v>
          </cell>
          <cell r="I14" t="str">
            <v>Asphalt batching</v>
          </cell>
          <cell r="J14">
            <v>1</v>
          </cell>
          <cell r="K14">
            <v>3</v>
          </cell>
          <cell r="L14" t="str">
            <v>2,6-4,6</v>
          </cell>
          <cell r="M14">
            <v>3.3</v>
          </cell>
          <cell r="N14" t="str">
            <v>76-193</v>
          </cell>
          <cell r="O14">
            <v>120</v>
          </cell>
        </row>
        <row r="15">
          <cell r="A15" t="str">
            <v>Pneus</v>
          </cell>
          <cell r="G15">
            <v>0</v>
          </cell>
          <cell r="I15" t="str">
            <v>Concrete batching</v>
          </cell>
          <cell r="J15">
            <v>1</v>
          </cell>
          <cell r="K15">
            <v>3</v>
          </cell>
          <cell r="L15" t="str">
            <v>5,2-6,0</v>
          </cell>
          <cell r="M15">
            <v>5.5</v>
          </cell>
          <cell r="N15" t="str">
            <v>11,0-12,0</v>
          </cell>
          <cell r="O15">
            <v>12</v>
          </cell>
        </row>
        <row r="16">
          <cell r="A16" t="str">
            <v xml:space="preserve">     Todos os tipos</v>
          </cell>
          <cell r="B16">
            <v>7.0000000000000007E-2</v>
          </cell>
          <cell r="C16" t="str">
            <v>-</v>
          </cell>
          <cell r="D16" t="str">
            <v>-</v>
          </cell>
          <cell r="E16" t="str">
            <v>-</v>
          </cell>
          <cell r="F16" t="str">
            <v>-</v>
          </cell>
          <cell r="G16" t="str">
            <v>-</v>
          </cell>
          <cell r="I16" t="str">
            <v>Sand and gravel processing</v>
          </cell>
          <cell r="J16">
            <v>1</v>
          </cell>
          <cell r="K16">
            <v>3</v>
          </cell>
          <cell r="L16" t="str">
            <v>6,4-7,9</v>
          </cell>
          <cell r="M16">
            <v>7.1</v>
          </cell>
          <cell r="N16" t="str">
            <v>53-95</v>
          </cell>
          <cell r="O16">
            <v>70</v>
          </cell>
        </row>
        <row r="17">
          <cell r="I17" t="str">
            <v>Municipal solid waste landfill</v>
          </cell>
          <cell r="J17">
            <v>2</v>
          </cell>
          <cell r="K17">
            <v>7</v>
          </cell>
          <cell r="L17" t="str">
            <v>-</v>
          </cell>
          <cell r="M17" t="str">
            <v>-</v>
          </cell>
          <cell r="N17" t="str">
            <v>1,1-32</v>
          </cell>
          <cell r="O17">
            <v>7.4</v>
          </cell>
        </row>
        <row r="18">
          <cell r="I18" t="str">
            <v>Quarry</v>
          </cell>
          <cell r="J18">
            <v>1</v>
          </cell>
          <cell r="K18">
            <v>6</v>
          </cell>
          <cell r="L18" t="str">
            <v>-</v>
          </cell>
          <cell r="M18" t="str">
            <v>-</v>
          </cell>
          <cell r="N18" t="str">
            <v>2,4-14</v>
          </cell>
          <cell r="O18">
            <v>8.1999999999999993</v>
          </cell>
        </row>
        <row r="19">
          <cell r="I19" t="str">
            <v>Corn wet mills</v>
          </cell>
          <cell r="J19">
            <v>3</v>
          </cell>
          <cell r="K19">
            <v>15</v>
          </cell>
          <cell r="L19" t="str">
            <v>-</v>
          </cell>
          <cell r="M19" t="str">
            <v>-</v>
          </cell>
          <cell r="N19" t="str">
            <v>0,05-2,9</v>
          </cell>
          <cell r="O19">
            <v>1.1000000000000001</v>
          </cell>
        </row>
        <row r="20">
          <cell r="I20" t="str">
            <v>Vias mais sujas</v>
          </cell>
          <cell r="J20" t="str">
            <v>-</v>
          </cell>
          <cell r="K20" t="str">
            <v>-</v>
          </cell>
          <cell r="L20" t="str">
            <v>-</v>
          </cell>
          <cell r="M20" t="str">
            <v>-</v>
          </cell>
          <cell r="N20" t="str">
            <v>-</v>
          </cell>
          <cell r="O20">
            <v>5.5</v>
          </cell>
        </row>
        <row r="21">
          <cell r="I21" t="str">
            <v>Vias menos sujas</v>
          </cell>
          <cell r="J21" t="str">
            <v>-</v>
          </cell>
          <cell r="K21" t="str">
            <v>-</v>
          </cell>
          <cell r="L21" t="str">
            <v>-</v>
          </cell>
          <cell r="M21" t="str">
            <v>-</v>
          </cell>
          <cell r="N21" t="str">
            <v>-</v>
          </cell>
          <cell r="O21">
            <v>1.1000000000000001</v>
          </cell>
        </row>
      </sheetData>
      <sheetData sheetId="2"/>
      <sheetData sheetId="3"/>
      <sheetData sheetId="4">
        <row r="7">
          <cell r="A7" t="str">
            <v>Carreta LS - Grãos</v>
          </cell>
          <cell r="B7">
            <v>32</v>
          </cell>
          <cell r="C7" t="str">
            <v>NA</v>
          </cell>
        </row>
        <row r="8">
          <cell r="A8" t="str">
            <v>Rodotren - Grãos</v>
          </cell>
          <cell r="B8">
            <v>50</v>
          </cell>
          <cell r="C8" t="str">
            <v>NA</v>
          </cell>
        </row>
        <row r="9">
          <cell r="A9" t="str">
            <v>Bitren - Grãos</v>
          </cell>
          <cell r="B9">
            <v>37</v>
          </cell>
          <cell r="C9" t="str">
            <v>NA</v>
          </cell>
        </row>
        <row r="10">
          <cell r="A10" t="str">
            <v>Média - Grãos</v>
          </cell>
          <cell r="B10">
            <v>39.666666666666664</v>
          </cell>
          <cell r="C10">
            <v>330</v>
          </cell>
        </row>
        <row r="11">
          <cell r="A11" t="str">
            <v>Bicaçamba - Fertil</v>
          </cell>
          <cell r="B11">
            <v>36</v>
          </cell>
          <cell r="C11" t="str">
            <v>NA</v>
          </cell>
        </row>
        <row r="12">
          <cell r="A12" t="str">
            <v>Rodotren - Fertil</v>
          </cell>
          <cell r="B12">
            <v>46</v>
          </cell>
          <cell r="C12" t="str">
            <v>NA</v>
          </cell>
        </row>
        <row r="13">
          <cell r="A13" t="str">
            <v>Caçamba LS - Fertil</v>
          </cell>
          <cell r="B13">
            <v>28</v>
          </cell>
          <cell r="C13" t="str">
            <v>NA</v>
          </cell>
        </row>
        <row r="14">
          <cell r="A14" t="str">
            <v>Simples - Fertil</v>
          </cell>
          <cell r="B14">
            <v>25</v>
          </cell>
          <cell r="C14" t="str">
            <v>NA</v>
          </cell>
        </row>
        <row r="15">
          <cell r="A15" t="str">
            <v>Média - Fertil</v>
          </cell>
          <cell r="B15">
            <v>33.75</v>
          </cell>
          <cell r="C15">
            <v>30</v>
          </cell>
        </row>
        <row r="16">
          <cell r="A16" t="str">
            <v>Dado fornecido func - Fertil</v>
          </cell>
          <cell r="B16" t="str">
            <v>NA</v>
          </cell>
          <cell r="C16">
            <v>29</v>
          </cell>
        </row>
        <row r="17">
          <cell r="A17" t="str">
            <v>Grãos + Fertil</v>
          </cell>
          <cell r="B17">
            <v>39.173611111111114</v>
          </cell>
          <cell r="C17">
            <v>360</v>
          </cell>
        </row>
      </sheetData>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topLeftCell="A7" workbookViewId="0">
      <selection activeCell="F6" sqref="F6"/>
    </sheetView>
  </sheetViews>
  <sheetFormatPr defaultRowHeight="15" customHeight="1"/>
  <cols>
    <col min="1" max="1" width="17.5703125" style="1" customWidth="1"/>
    <col min="2" max="2" width="13.85546875" style="1" bestFit="1" customWidth="1"/>
    <col min="3" max="4" width="14.7109375" style="1" customWidth="1"/>
    <col min="5" max="7" width="9.140625" style="1"/>
    <col min="8" max="8" width="11.28515625" style="1" bestFit="1" customWidth="1"/>
    <col min="9" max="16384" width="9.140625" style="1"/>
  </cols>
  <sheetData>
    <row r="1" spans="1:4" ht="15" customHeight="1">
      <c r="A1" s="223" t="s">
        <v>24</v>
      </c>
      <c r="B1" s="225" t="s">
        <v>31</v>
      </c>
      <c r="C1" s="225" t="s">
        <v>46</v>
      </c>
      <c r="D1" s="225" t="s">
        <v>46</v>
      </c>
    </row>
    <row r="2" spans="1:4" ht="15" customHeight="1">
      <c r="A2" s="224"/>
      <c r="B2" s="225"/>
      <c r="C2" s="225"/>
      <c r="D2" s="225"/>
    </row>
    <row r="3" spans="1:4" ht="15" customHeight="1">
      <c r="A3" s="224"/>
      <c r="B3" s="61" t="s">
        <v>28</v>
      </c>
      <c r="C3" s="61" t="s">
        <v>47</v>
      </c>
      <c r="D3" s="61" t="s">
        <v>48</v>
      </c>
    </row>
    <row r="4" spans="1:4" ht="15" customHeight="1">
      <c r="A4" s="50" t="s">
        <v>1</v>
      </c>
      <c r="B4" s="186">
        <v>24.37527478058799</v>
      </c>
      <c r="C4" s="186">
        <f>B4*'Emissão Chaminés'!$I$4/1000</f>
        <v>0.26398422587376791</v>
      </c>
      <c r="D4" s="186">
        <f>(0.0034095106405145*1000)*C4</f>
        <v>0.90005702704459489</v>
      </c>
    </row>
    <row r="5" spans="1:4" ht="15" customHeight="1">
      <c r="A5" s="50" t="s">
        <v>3</v>
      </c>
      <c r="B5" s="186">
        <v>110.63134622397821</v>
      </c>
      <c r="C5" s="186">
        <f>B5*'Emissão Chaminés'!$I$4/1000</f>
        <v>1.1981374796056841</v>
      </c>
      <c r="D5" s="186">
        <f t="shared" ref="D5:D28" si="0">(0.0034095106405145*1000)*C5</f>
        <v>4.085062485514805</v>
      </c>
    </row>
    <row r="6" spans="1:4" ht="15" customHeight="1">
      <c r="A6" s="50" t="s">
        <v>4</v>
      </c>
      <c r="B6" s="62" t="s">
        <v>40</v>
      </c>
      <c r="C6" s="62" t="s">
        <v>40</v>
      </c>
      <c r="D6" s="62" t="s">
        <v>40</v>
      </c>
    </row>
    <row r="7" spans="1:4" ht="15" customHeight="1">
      <c r="A7" s="50" t="s">
        <v>6</v>
      </c>
      <c r="B7" s="62" t="s">
        <v>40</v>
      </c>
      <c r="C7" s="62" t="s">
        <v>40</v>
      </c>
      <c r="D7" s="62" t="s">
        <v>40</v>
      </c>
    </row>
    <row r="8" spans="1:4" ht="15" customHeight="1">
      <c r="A8" s="50" t="s">
        <v>7</v>
      </c>
      <c r="B8" s="62" t="s">
        <v>40</v>
      </c>
      <c r="C8" s="62" t="s">
        <v>40</v>
      </c>
      <c r="D8" s="62" t="s">
        <v>40</v>
      </c>
    </row>
    <row r="9" spans="1:4" ht="15" customHeight="1">
      <c r="A9" s="50" t="s">
        <v>8</v>
      </c>
      <c r="B9" s="62" t="s">
        <v>40</v>
      </c>
      <c r="C9" s="62" t="s">
        <v>40</v>
      </c>
      <c r="D9" s="62" t="s">
        <v>40</v>
      </c>
    </row>
    <row r="10" spans="1:4" ht="15" customHeight="1">
      <c r="A10" s="50" t="s">
        <v>9</v>
      </c>
      <c r="B10" s="62" t="s">
        <v>40</v>
      </c>
      <c r="C10" s="62" t="s">
        <v>40</v>
      </c>
      <c r="D10" s="62" t="s">
        <v>40</v>
      </c>
    </row>
    <row r="11" spans="1:4" ht="15" customHeight="1">
      <c r="A11" s="50" t="s">
        <v>10</v>
      </c>
      <c r="B11" s="62" t="s">
        <v>40</v>
      </c>
      <c r="C11" s="62" t="s">
        <v>40</v>
      </c>
      <c r="D11" s="62" t="s">
        <v>40</v>
      </c>
    </row>
    <row r="12" spans="1:4" ht="15" customHeight="1">
      <c r="A12" s="50" t="s">
        <v>11</v>
      </c>
      <c r="B12" s="62" t="s">
        <v>40</v>
      </c>
      <c r="C12" s="62" t="s">
        <v>40</v>
      </c>
      <c r="D12" s="62" t="s">
        <v>40</v>
      </c>
    </row>
    <row r="13" spans="1:4" ht="15" customHeight="1">
      <c r="A13" s="50" t="s">
        <v>12</v>
      </c>
      <c r="B13" s="226">
        <v>731.17522831050223</v>
      </c>
      <c r="C13" s="226">
        <f>B13*'Emissão Chaminés'!$I$4/1000</f>
        <v>7.9186277226027393</v>
      </c>
      <c r="D13" s="226">
        <f t="shared" si="0"/>
        <v>26.998645478487145</v>
      </c>
    </row>
    <row r="14" spans="1:4" ht="15" customHeight="1">
      <c r="A14" s="50" t="s">
        <v>12</v>
      </c>
      <c r="B14" s="226"/>
      <c r="C14" s="226"/>
      <c r="D14" s="226"/>
    </row>
    <row r="15" spans="1:4" ht="15" customHeight="1">
      <c r="A15" s="50" t="s">
        <v>12</v>
      </c>
      <c r="B15" s="226"/>
      <c r="C15" s="226"/>
      <c r="D15" s="226"/>
    </row>
    <row r="16" spans="1:4" ht="15" customHeight="1">
      <c r="A16" s="50" t="s">
        <v>14</v>
      </c>
      <c r="B16" s="226">
        <v>520.11484018264844</v>
      </c>
      <c r="C16" s="226">
        <f>B16*'Emissão Chaminés'!$I$4/1000</f>
        <v>5.6328437191780818</v>
      </c>
      <c r="D16" s="226">
        <f t="shared" si="0"/>
        <v>19.205240596892942</v>
      </c>
    </row>
    <row r="17" spans="1:10" ht="15" customHeight="1">
      <c r="A17" s="50" t="s">
        <v>14</v>
      </c>
      <c r="B17" s="226"/>
      <c r="C17" s="226"/>
      <c r="D17" s="226"/>
    </row>
    <row r="18" spans="1:10" ht="15" customHeight="1">
      <c r="A18" s="50" t="s">
        <v>15</v>
      </c>
      <c r="B18" s="226">
        <v>1058.1739726027397</v>
      </c>
      <c r="C18" s="226">
        <f>B18*'Emissão Chaminés'!$I$4/1000</f>
        <v>11.460024123287671</v>
      </c>
      <c r="D18" s="226">
        <f t="shared" si="0"/>
        <v>39.073074188902169</v>
      </c>
    </row>
    <row r="19" spans="1:10" ht="15" customHeight="1">
      <c r="A19" s="50" t="s">
        <v>15</v>
      </c>
      <c r="B19" s="226"/>
      <c r="C19" s="226"/>
      <c r="D19" s="226"/>
    </row>
    <row r="20" spans="1:10" ht="15" customHeight="1">
      <c r="A20" s="50" t="s">
        <v>15</v>
      </c>
      <c r="B20" s="226"/>
      <c r="C20" s="226"/>
      <c r="D20" s="226"/>
    </row>
    <row r="21" spans="1:10" ht="15" customHeight="1">
      <c r="A21" s="50" t="s">
        <v>18</v>
      </c>
      <c r="B21" s="226">
        <v>161.97168949771691</v>
      </c>
      <c r="C21" s="226">
        <f>B21*'Emissão Chaminés'!$I$4/1000</f>
        <v>1.7541533972602743</v>
      </c>
      <c r="D21" s="226">
        <f t="shared" si="0"/>
        <v>5.980804673053564</v>
      </c>
    </row>
    <row r="22" spans="1:10" ht="15" customHeight="1">
      <c r="A22" s="50" t="s">
        <v>18</v>
      </c>
      <c r="B22" s="226"/>
      <c r="C22" s="226"/>
      <c r="D22" s="226"/>
    </row>
    <row r="23" spans="1:10" ht="15" customHeight="1">
      <c r="A23" s="50" t="s">
        <v>19</v>
      </c>
      <c r="B23" s="186">
        <v>102.82865296803654</v>
      </c>
      <c r="C23" s="186">
        <f>B23*'Emissão Chaminés'!$I$4/1000</f>
        <v>1.1136343116438356</v>
      </c>
      <c r="D23" s="186">
        <f t="shared" si="0"/>
        <v>3.7969480351916984</v>
      </c>
    </row>
    <row r="24" spans="1:10" ht="15" customHeight="1">
      <c r="A24" s="50" t="s">
        <v>20</v>
      </c>
      <c r="B24" s="226">
        <v>160.08162100456622</v>
      </c>
      <c r="C24" s="226">
        <f>B24*'Emissão Chaminés'!$I$4/1000</f>
        <v>1.7336839554794521</v>
      </c>
      <c r="D24" s="226">
        <f t="shared" si="0"/>
        <v>5.9110138934964587</v>
      </c>
    </row>
    <row r="25" spans="1:10" ht="15" customHeight="1">
      <c r="A25" s="50" t="s">
        <v>20</v>
      </c>
      <c r="B25" s="226"/>
      <c r="C25" s="226"/>
      <c r="D25" s="226"/>
      <c r="H25" s="43"/>
      <c r="J25" s="43"/>
    </row>
    <row r="26" spans="1:10" ht="15" customHeight="1">
      <c r="A26" s="50" t="s">
        <v>20</v>
      </c>
      <c r="B26" s="226"/>
      <c r="C26" s="226"/>
      <c r="D26" s="226"/>
      <c r="H26" s="43"/>
    </row>
    <row r="27" spans="1:10" ht="15" customHeight="1">
      <c r="A27" s="50" t="s">
        <v>20</v>
      </c>
      <c r="B27" s="226"/>
      <c r="C27" s="226"/>
      <c r="D27" s="226"/>
      <c r="H27" s="43"/>
    </row>
    <row r="28" spans="1:10" ht="15" customHeight="1">
      <c r="A28" s="63" t="s">
        <v>79</v>
      </c>
      <c r="B28" s="64">
        <f>(14686264/8760)*((273.15+25)/273.15)</f>
        <v>1829.9567834088518</v>
      </c>
      <c r="C28" s="64">
        <f>B28*'Emissão Chaminés'!$I$4/1000</f>
        <v>19.818431964317863</v>
      </c>
      <c r="D28" s="64">
        <f t="shared" si="0"/>
        <v>67.571154660654443</v>
      </c>
    </row>
    <row r="29" spans="1:10" ht="15" customHeight="1">
      <c r="A29" s="63" t="s">
        <v>80</v>
      </c>
      <c r="B29" s="64">
        <f>(12015450/8760)*((273.15+25)/273.15)</f>
        <v>1497.164577268248</v>
      </c>
      <c r="C29" s="64">
        <f>B29*'Emissão Chaminés'!$I$4/1000</f>
        <v>16.214292371815127</v>
      </c>
      <c r="D29" s="64">
        <f t="shared" ref="D29" si="1">(0.0034095106405145*1000)*C29</f>
        <v>55.282802370116769</v>
      </c>
    </row>
    <row r="30" spans="1:10" ht="15" customHeight="1">
      <c r="B30" s="44"/>
    </row>
  </sheetData>
  <sheetProtection algorithmName="SHA-512" hashValue="mPUVuaGgR3S7hT3y9R1Dl+fSnAkJqPqL88ggZtxi9zjpij3U0A95Ec4nC1IuR17gfZn7qyj1lWpnXPGItGGZMg==" saltValue="WuJTEyrqhpvqAa8sc451CQ==" spinCount="100000" sheet="1" objects="1" scenarios="1"/>
  <mergeCells count="19">
    <mergeCell ref="D21:D22"/>
    <mergeCell ref="C21:C22"/>
    <mergeCell ref="B21:B22"/>
    <mergeCell ref="A1:A3"/>
    <mergeCell ref="B1:B2"/>
    <mergeCell ref="C1:C2"/>
    <mergeCell ref="D1:D2"/>
    <mergeCell ref="B24:B27"/>
    <mergeCell ref="C24:C27"/>
    <mergeCell ref="D24:D27"/>
    <mergeCell ref="B18:B20"/>
    <mergeCell ref="B13:B15"/>
    <mergeCell ref="C13:C15"/>
    <mergeCell ref="D13:D15"/>
    <mergeCell ref="D16:D17"/>
    <mergeCell ref="C16:C17"/>
    <mergeCell ref="B16:B17"/>
    <mergeCell ref="D18:D20"/>
    <mergeCell ref="C18:C20"/>
  </mergeCells>
  <pageMargins left="0.511811024" right="0.511811024" top="0.78740157499999996" bottom="0.78740157499999996" header="0.31496062000000002" footer="0.31496062000000002"/>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5"/>
  <sheetViews>
    <sheetView workbookViewId="0">
      <selection activeCell="K21" sqref="K21"/>
    </sheetView>
  </sheetViews>
  <sheetFormatPr defaultRowHeight="15" customHeight="1"/>
  <cols>
    <col min="1" max="1" width="23.42578125" style="1" customWidth="1"/>
    <col min="2" max="2" width="12.140625" style="1" customWidth="1"/>
    <col min="3" max="3" width="11" style="1" customWidth="1"/>
    <col min="4" max="4" width="15.5703125" style="1" customWidth="1"/>
    <col min="5" max="5" width="13.85546875" style="1" customWidth="1"/>
    <col min="6" max="6" width="12" style="1" customWidth="1"/>
    <col min="7" max="7" width="26.85546875" style="1" customWidth="1"/>
    <col min="8" max="13" width="8.85546875" style="1" customWidth="1"/>
    <col min="14" max="14" width="13.28515625" style="1" customWidth="1"/>
    <col min="15" max="15" width="14.7109375" style="1" customWidth="1"/>
    <col min="16" max="16" width="10.42578125" style="1" bestFit="1" customWidth="1"/>
    <col min="17" max="16384" width="9.140625" style="1"/>
  </cols>
  <sheetData>
    <row r="1" spans="1:18" ht="15" customHeight="1">
      <c r="A1" s="39" t="s">
        <v>98</v>
      </c>
      <c r="B1" s="92">
        <v>24</v>
      </c>
    </row>
    <row r="2" spans="1:18" ht="15" customHeight="1">
      <c r="A2" s="39" t="s">
        <v>99</v>
      </c>
      <c r="B2" s="100">
        <f>385454.52*0.9</f>
        <v>346909.06800000003</v>
      </c>
    </row>
    <row r="3" spans="1:18" ht="15" customHeight="1">
      <c r="A3" s="1" t="s">
        <v>100</v>
      </c>
      <c r="B3" s="93">
        <v>4.1937865160171146</v>
      </c>
    </row>
    <row r="4" spans="1:18" ht="15" customHeight="1">
      <c r="A4" s="219"/>
      <c r="B4" s="219"/>
      <c r="C4" s="219"/>
      <c r="D4" s="219"/>
      <c r="E4" s="219"/>
      <c r="F4" s="219"/>
      <c r="G4" s="219"/>
      <c r="H4" s="219"/>
      <c r="I4" s="219"/>
      <c r="J4" s="219"/>
      <c r="K4" s="219"/>
      <c r="L4" s="219"/>
      <c r="M4" s="219"/>
    </row>
    <row r="5" spans="1:18" s="153" customFormat="1" ht="15" customHeight="1">
      <c r="A5" s="330" t="s">
        <v>24</v>
      </c>
      <c r="B5" s="280" t="s">
        <v>223</v>
      </c>
      <c r="C5" s="280" t="s">
        <v>224</v>
      </c>
      <c r="D5" s="306" t="s">
        <v>101</v>
      </c>
      <c r="E5" s="306" t="s">
        <v>102</v>
      </c>
      <c r="F5" s="306" t="s">
        <v>103</v>
      </c>
      <c r="G5" s="306" t="s">
        <v>240</v>
      </c>
      <c r="H5" s="306" t="s">
        <v>104</v>
      </c>
      <c r="I5" s="306"/>
      <c r="J5" s="306"/>
      <c r="K5" s="306" t="s">
        <v>78</v>
      </c>
      <c r="L5" s="306"/>
      <c r="M5" s="329"/>
    </row>
    <row r="6" spans="1:18" s="153" customFormat="1" ht="15" customHeight="1">
      <c r="A6" s="331"/>
      <c r="B6" s="281"/>
      <c r="C6" s="281"/>
      <c r="D6" s="307"/>
      <c r="E6" s="307"/>
      <c r="F6" s="307"/>
      <c r="G6" s="307"/>
      <c r="H6" s="217" t="s">
        <v>69</v>
      </c>
      <c r="I6" s="217" t="s">
        <v>105</v>
      </c>
      <c r="J6" s="217" t="s">
        <v>106</v>
      </c>
      <c r="K6" s="217" t="s">
        <v>69</v>
      </c>
      <c r="L6" s="217" t="s">
        <v>105</v>
      </c>
      <c r="M6" s="218" t="s">
        <v>106</v>
      </c>
    </row>
    <row r="7" spans="1:18" ht="24" customHeight="1">
      <c r="A7" s="94" t="s">
        <v>107</v>
      </c>
      <c r="B7" s="150">
        <v>-20.178754000000001</v>
      </c>
      <c r="C7" s="150">
        <v>-40.240440999999997</v>
      </c>
      <c r="D7" s="95">
        <f>(B2/8760)*2</f>
        <v>79.202983561643848</v>
      </c>
      <c r="E7" s="96">
        <v>50</v>
      </c>
      <c r="F7" s="214">
        <f>(15+20)/2</f>
        <v>17.5</v>
      </c>
      <c r="G7" s="221" t="s">
        <v>108</v>
      </c>
      <c r="H7" s="220">
        <f>A14*0.0016*((($B$3/2.2)^1.3)/($F$7/2)^1.4)</f>
        <v>1.3145561998991891E-4</v>
      </c>
      <c r="I7" s="220">
        <f>B14*0.0016*((($B$3/2.2)^1.3)/($F$7/2)^1.4)</f>
        <v>6.2174955400637325E-5</v>
      </c>
      <c r="J7" s="220">
        <f>C14*0.0016*((($B$3/2.2)^1.3)/($F$7/2)^1.4)</f>
        <v>9.4150646749536526E-6</v>
      </c>
      <c r="K7" s="215">
        <f>$D$7*H7*(1-$E$7/100)</f>
        <v>5.2058386545736236E-3</v>
      </c>
      <c r="L7" s="216">
        <f>$D$7*I7*(1-$E$7/100)</f>
        <v>2.4622209852713088E-3</v>
      </c>
      <c r="M7" s="216">
        <f>$D$7*J7*(1-$E$7/100)</f>
        <v>3.7285060634108393E-4</v>
      </c>
      <c r="N7" s="68"/>
    </row>
    <row r="8" spans="1:18" s="2" customFormat="1" ht="15" customHeight="1">
      <c r="A8" s="326" t="s">
        <v>222</v>
      </c>
      <c r="B8" s="327"/>
      <c r="C8" s="327"/>
      <c r="D8" s="327"/>
      <c r="E8" s="327"/>
      <c r="F8" s="327"/>
      <c r="G8" s="327"/>
      <c r="H8" s="327"/>
      <c r="I8" s="327"/>
      <c r="J8" s="328"/>
      <c r="K8" s="212">
        <f>K7</f>
        <v>5.2058386545736236E-3</v>
      </c>
      <c r="L8" s="212">
        <f t="shared" ref="L8:M8" si="0">L7</f>
        <v>2.4622209852713088E-3</v>
      </c>
      <c r="M8" s="212">
        <f t="shared" si="0"/>
        <v>3.7285060634108393E-4</v>
      </c>
      <c r="O8" s="94"/>
      <c r="P8" s="94"/>
      <c r="Q8" s="94"/>
      <c r="R8" s="94"/>
    </row>
    <row r="9" spans="1:18" s="2" customFormat="1" ht="15" customHeight="1">
      <c r="A9" s="25"/>
      <c r="B9" s="35"/>
      <c r="C9" s="25"/>
      <c r="D9" s="25"/>
      <c r="E9" s="97"/>
      <c r="F9" s="97"/>
      <c r="G9" s="97"/>
      <c r="H9" s="97"/>
      <c r="I9" s="97"/>
      <c r="J9" s="97"/>
      <c r="K9" s="97"/>
      <c r="M9" s="94"/>
      <c r="N9" s="94"/>
      <c r="O9" s="94"/>
      <c r="P9" s="94"/>
    </row>
    <row r="10" spans="1:18" s="2" customFormat="1" ht="15" customHeight="1">
      <c r="A10" s="25"/>
      <c r="B10" s="25"/>
      <c r="C10" s="25"/>
      <c r="D10" s="25"/>
      <c r="E10" s="97"/>
      <c r="F10" s="97"/>
      <c r="G10" s="97"/>
      <c r="H10" s="97"/>
      <c r="I10" s="98"/>
      <c r="J10" s="98"/>
      <c r="K10" s="99"/>
      <c r="M10" s="94"/>
      <c r="N10" s="94"/>
      <c r="O10" s="94"/>
      <c r="P10" s="94"/>
    </row>
    <row r="11" spans="1:18" s="2" customFormat="1" ht="15" customHeight="1">
      <c r="A11" s="1" t="s">
        <v>239</v>
      </c>
      <c r="B11"/>
      <c r="C11"/>
      <c r="D11"/>
      <c r="E11"/>
      <c r="F11" s="1"/>
      <c r="G11" s="1"/>
      <c r="H11" s="1"/>
      <c r="I11" s="1"/>
      <c r="J11" s="1"/>
      <c r="K11" s="1"/>
      <c r="M11" s="94"/>
      <c r="N11" s="94"/>
      <c r="O11" s="94"/>
      <c r="P11" s="94"/>
    </row>
    <row r="12" spans="1:18" ht="15" customHeight="1">
      <c r="A12" s="228" t="s">
        <v>109</v>
      </c>
      <c r="B12" s="229"/>
      <c r="C12" s="230"/>
    </row>
    <row r="13" spans="1:18" ht="15" customHeight="1">
      <c r="A13" s="189" t="s">
        <v>110</v>
      </c>
      <c r="B13" s="189" t="s">
        <v>111</v>
      </c>
      <c r="C13" s="189" t="s">
        <v>112</v>
      </c>
    </row>
    <row r="14" spans="1:18" ht="15" customHeight="1">
      <c r="A14" s="66">
        <v>0.74</v>
      </c>
      <c r="B14" s="66">
        <v>0.35</v>
      </c>
      <c r="C14" s="66">
        <v>5.2999999999999999E-2</v>
      </c>
    </row>
    <row r="15" spans="1:18" ht="15" customHeight="1">
      <c r="A15"/>
      <c r="B15"/>
      <c r="C15"/>
      <c r="D15"/>
      <c r="E15"/>
    </row>
    <row r="16" spans="1:18" ht="15" customHeight="1">
      <c r="A16" s="305" t="s">
        <v>113</v>
      </c>
      <c r="B16" s="308"/>
      <c r="C16" s="309"/>
      <c r="D16" s="310"/>
      <c r="E16" s="173"/>
    </row>
    <row r="17" spans="1:5" ht="15" customHeight="1">
      <c r="A17" s="305"/>
      <c r="B17" s="311"/>
      <c r="C17" s="312"/>
      <c r="D17" s="313"/>
      <c r="E17" s="173"/>
    </row>
    <row r="18" spans="1:5" ht="15" customHeight="1">
      <c r="A18" s="305"/>
      <c r="B18" s="311"/>
      <c r="C18" s="312"/>
      <c r="D18" s="313"/>
      <c r="E18" s="173"/>
    </row>
    <row r="19" spans="1:5" ht="15" customHeight="1">
      <c r="A19" s="305"/>
      <c r="B19" s="311"/>
      <c r="C19" s="312"/>
      <c r="D19" s="313"/>
      <c r="E19" s="173"/>
    </row>
    <row r="20" spans="1:5" ht="15" customHeight="1">
      <c r="A20" s="305"/>
      <c r="B20" s="314"/>
      <c r="C20" s="315"/>
      <c r="D20" s="316"/>
      <c r="E20" s="173"/>
    </row>
    <row r="21" spans="1:5" ht="15" customHeight="1">
      <c r="A21" s="305"/>
      <c r="B21" s="317" t="s">
        <v>114</v>
      </c>
      <c r="C21" s="318"/>
      <c r="D21" s="319"/>
      <c r="E21" s="174"/>
    </row>
    <row r="22" spans="1:5" ht="15" customHeight="1">
      <c r="A22" s="305"/>
      <c r="B22" s="320"/>
      <c r="C22" s="321"/>
      <c r="D22" s="322"/>
      <c r="E22" s="174"/>
    </row>
    <row r="23" spans="1:5" ht="15" customHeight="1">
      <c r="A23" s="305"/>
      <c r="B23" s="320"/>
      <c r="C23" s="321"/>
      <c r="D23" s="322"/>
      <c r="E23" s="174"/>
    </row>
    <row r="24" spans="1:5" ht="15" customHeight="1">
      <c r="A24" s="305"/>
      <c r="B24" s="320"/>
      <c r="C24" s="321"/>
      <c r="D24" s="322"/>
      <c r="E24" s="174"/>
    </row>
    <row r="25" spans="1:5" ht="15" customHeight="1">
      <c r="A25" s="305"/>
      <c r="B25" s="323"/>
      <c r="C25" s="324"/>
      <c r="D25" s="325"/>
      <c r="E25" s="174"/>
    </row>
  </sheetData>
  <sheetProtection algorithmName="SHA-512" hashValue="zmc/we+2n7AnrPn+4fi9C4LNJE7d9+AdigLNzLAWUcytDzDQPKfgOCGQ0KlWXQNVICnPffWDtRZuDT9qxtGO3Q==" saltValue="nxk5Mv3nuTHfM0hpfRwlFw==" spinCount="100000" sheet="1" objects="1" scenarios="1"/>
  <mergeCells count="14">
    <mergeCell ref="K5:M5"/>
    <mergeCell ref="A5:A6"/>
    <mergeCell ref="D5:D6"/>
    <mergeCell ref="E5:E6"/>
    <mergeCell ref="G5:G6"/>
    <mergeCell ref="B5:B6"/>
    <mergeCell ref="C5:C6"/>
    <mergeCell ref="A16:A25"/>
    <mergeCell ref="F5:F6"/>
    <mergeCell ref="A12:C12"/>
    <mergeCell ref="B16:D20"/>
    <mergeCell ref="B21:D25"/>
    <mergeCell ref="A8:J8"/>
    <mergeCell ref="H5:J5"/>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
  <sheetViews>
    <sheetView tabSelected="1" workbookViewId="0">
      <selection activeCell="E21" sqref="E21"/>
    </sheetView>
  </sheetViews>
  <sheetFormatPr defaultRowHeight="15" customHeight="1"/>
  <cols>
    <col min="1" max="1" width="18.42578125" style="1" customWidth="1"/>
    <col min="2" max="16384" width="9.140625" style="1"/>
  </cols>
  <sheetData>
    <row r="2" spans="1:9" ht="15" customHeight="1">
      <c r="A2" s="332" t="s">
        <v>36</v>
      </c>
      <c r="B2" s="332" t="s">
        <v>78</v>
      </c>
      <c r="C2" s="332"/>
      <c r="D2" s="332"/>
      <c r="E2" s="332"/>
      <c r="F2" s="332"/>
      <c r="G2" s="332"/>
      <c r="H2" s="332"/>
    </row>
    <row r="3" spans="1:9" ht="15" customHeight="1">
      <c r="A3" s="332"/>
      <c r="B3" s="213" t="s">
        <v>69</v>
      </c>
      <c r="C3" s="213" t="s">
        <v>105</v>
      </c>
      <c r="D3" s="213" t="s">
        <v>106</v>
      </c>
      <c r="E3" s="213" t="s">
        <v>95</v>
      </c>
      <c r="F3" s="213" t="s">
        <v>96</v>
      </c>
      <c r="G3" s="213" t="s">
        <v>21</v>
      </c>
      <c r="H3" s="213" t="s">
        <v>26</v>
      </c>
    </row>
    <row r="4" spans="1:9" ht="15" customHeight="1">
      <c r="A4" s="1" t="s">
        <v>201</v>
      </c>
      <c r="B4" s="216">
        <f>'Emissão Brit e Pen'!J9</f>
        <v>0.3009713375342466</v>
      </c>
      <c r="C4" s="216">
        <f>'Emissão Brit e Pen'!K9</f>
        <v>0.10890410239726027</v>
      </c>
      <c r="D4" s="216">
        <f>'Emissão Brit e Pen'!L9</f>
        <v>1.0153085167530544E-2</v>
      </c>
      <c r="E4" s="216" t="s">
        <v>187</v>
      </c>
      <c r="F4" s="216" t="s">
        <v>187</v>
      </c>
      <c r="G4" s="216" t="s">
        <v>187</v>
      </c>
      <c r="H4" s="216" t="s">
        <v>187</v>
      </c>
    </row>
    <row r="5" spans="1:9" ht="15" customHeight="1">
      <c r="A5" s="1" t="s">
        <v>202</v>
      </c>
      <c r="B5" s="209">
        <f>'Emissão Chaminés'!AH27</f>
        <v>9.5578077779229407</v>
      </c>
      <c r="C5" s="209">
        <f>'Emissão Chaminés'!AI27</f>
        <v>9.5578077779229407</v>
      </c>
      <c r="D5" s="209">
        <f>'Emissão Chaminés'!AJ27</f>
        <v>9.5578077779229407</v>
      </c>
      <c r="E5" s="209">
        <f>'Emissão Chaminés'!$AK$27</f>
        <v>11.478618630136983</v>
      </c>
      <c r="F5" s="209">
        <f>'Emissão Chaminés'!$AL$27</f>
        <v>2.4664671608281896</v>
      </c>
      <c r="G5" s="209">
        <f>'Emissão Chaminés'!AM27</f>
        <v>78.677400437657695</v>
      </c>
      <c r="H5" s="209">
        <f>'Emissão Chaminés'!AN27</f>
        <v>9.7459358772457314</v>
      </c>
    </row>
    <row r="6" spans="1:9" ht="15" customHeight="1">
      <c r="A6" s="1" t="s">
        <v>203</v>
      </c>
      <c r="B6" s="209">
        <f>'Emissão Máq e Equip'!N7</f>
        <v>7.1737185577170556E-2</v>
      </c>
      <c r="C6" s="209">
        <f>'Emissão Máq e Equip'!O7</f>
        <v>7.1737185577170556E-2</v>
      </c>
      <c r="D6" s="209">
        <f>'Emissão Máq e Equip'!P7</f>
        <v>7.1737185577170556E-2</v>
      </c>
      <c r="E6" s="209">
        <f>'Emissão Máq e Equip'!$Q$7</f>
        <v>0.94241160555856274</v>
      </c>
      <c r="F6" s="209">
        <f>'Emissão Máq e Equip'!$R$7</f>
        <v>0.19565591274404787</v>
      </c>
      <c r="G6" s="209">
        <f>'Emissão Máq e Equip'!S7</f>
        <v>0.56637592284340355</v>
      </c>
      <c r="H6" s="209">
        <f>'Emissão Máq e Equip'!T7</f>
        <v>0.1532265700557349</v>
      </c>
      <c r="I6" s="171"/>
    </row>
    <row r="7" spans="1:9" ht="15" customHeight="1">
      <c r="A7" s="1" t="s">
        <v>204</v>
      </c>
      <c r="B7" s="209">
        <f>'Emissão Transferências'!K8</f>
        <v>5.2058386545736236E-3</v>
      </c>
      <c r="C7" s="209">
        <f>'Emissão Transferências'!L8</f>
        <v>2.4622209852713088E-3</v>
      </c>
      <c r="D7" s="209">
        <f>'Emissão Transferências'!M8</f>
        <v>3.7285060634108393E-4</v>
      </c>
      <c r="E7" s="209" t="s">
        <v>187</v>
      </c>
      <c r="F7" s="209" t="s">
        <v>187</v>
      </c>
      <c r="G7" s="209" t="s">
        <v>187</v>
      </c>
      <c r="H7" s="209" t="s">
        <v>187</v>
      </c>
    </row>
    <row r="8" spans="1:9" ht="15" customHeight="1">
      <c r="A8" s="1" t="s">
        <v>205</v>
      </c>
      <c r="B8" s="209">
        <v>2.2380987960640066</v>
      </c>
      <c r="C8" s="209">
        <v>1.1190493980320033</v>
      </c>
      <c r="D8" s="209">
        <v>0.16785740970480048</v>
      </c>
      <c r="E8" s="209" t="s">
        <v>187</v>
      </c>
      <c r="F8" s="209" t="s">
        <v>187</v>
      </c>
      <c r="G8" s="209" t="s">
        <v>187</v>
      </c>
      <c r="H8" s="209" t="s">
        <v>187</v>
      </c>
    </row>
    <row r="9" spans="1:9" ht="15" customHeight="1">
      <c r="A9" s="222" t="s">
        <v>222</v>
      </c>
      <c r="B9" s="212">
        <f>SUM(B4:B8)</f>
        <v>12.173820935752937</v>
      </c>
      <c r="C9" s="212">
        <f t="shared" ref="C9:H9" si="0">SUM(C4:C8)</f>
        <v>10.859960684914643</v>
      </c>
      <c r="D9" s="212">
        <f t="shared" si="0"/>
        <v>9.8079283089787843</v>
      </c>
      <c r="E9" s="212">
        <f>SUM(E4:E8)</f>
        <v>12.421030235695547</v>
      </c>
      <c r="F9" s="212">
        <f t="shared" si="0"/>
        <v>2.6621230735722374</v>
      </c>
      <c r="G9" s="212">
        <f t="shared" si="0"/>
        <v>79.243776360501101</v>
      </c>
      <c r="H9" s="212">
        <f t="shared" si="0"/>
        <v>9.8991624473014657</v>
      </c>
    </row>
    <row r="11" spans="1:9" ht="15" customHeight="1">
      <c r="A11" s="1" t="s">
        <v>241</v>
      </c>
    </row>
  </sheetData>
  <sheetProtection algorithmName="SHA-512" hashValue="j3sZvR0PnAyNpBoleDutvbH4+TbdzDlW3AYhmSZJy2oS9GnsQArFkW+Ty702O7FD5MAQ1VG9oROI1QnfBcONRA==" saltValue="HF0qx9phM08stW8oxyifkg==" spinCount="100000" sheet="1" objects="1" scenarios="1"/>
  <mergeCells count="2">
    <mergeCell ref="B2:H2"/>
    <mergeCell ref="A2:A3"/>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7" zoomScaleNormal="100" workbookViewId="0">
      <selection activeCell="E20" sqref="E20"/>
    </sheetView>
  </sheetViews>
  <sheetFormatPr defaultRowHeight="15" customHeight="1"/>
  <cols>
    <col min="1" max="1" width="48.42578125" style="105" customWidth="1"/>
    <col min="2" max="3" width="9.5703125" style="105" bestFit="1" customWidth="1"/>
    <col min="4" max="4" width="10.140625" style="105" bestFit="1" customWidth="1"/>
    <col min="5" max="5" width="9.5703125" style="105" customWidth="1"/>
    <col min="6" max="6" width="8.42578125" style="105" bestFit="1" customWidth="1"/>
    <col min="7" max="7" width="8.28515625" style="105" customWidth="1"/>
    <col min="8" max="8" width="9" style="105" bestFit="1" customWidth="1"/>
    <col min="9" max="9" width="10.42578125" style="105" customWidth="1"/>
    <col min="10" max="11" width="9.5703125" style="105" bestFit="1" customWidth="1"/>
    <col min="12" max="12" width="8.140625" style="105" bestFit="1" customWidth="1"/>
    <col min="13" max="13" width="9.28515625" style="105" customWidth="1"/>
    <col min="14" max="14" width="9.7109375" style="105" customWidth="1"/>
    <col min="15" max="15" width="9.5703125" style="105" customWidth="1"/>
    <col min="16" max="16" width="9.42578125" style="105" customWidth="1"/>
    <col min="17" max="16384" width="9.140625" style="105"/>
  </cols>
  <sheetData>
    <row r="1" spans="1:16" ht="15" customHeight="1">
      <c r="A1" s="1" t="s">
        <v>219</v>
      </c>
    </row>
    <row r="3" spans="1:16" ht="15" customHeight="1">
      <c r="A3" s="228" t="s">
        <v>170</v>
      </c>
      <c r="B3" s="229"/>
      <c r="C3" s="229"/>
      <c r="D3" s="230"/>
      <c r="E3" s="1"/>
      <c r="F3" s="153"/>
      <c r="G3" s="1"/>
      <c r="H3" s="1"/>
      <c r="I3" s="1"/>
      <c r="J3" s="1"/>
      <c r="K3" s="1"/>
      <c r="L3" s="1"/>
      <c r="M3" s="1"/>
      <c r="N3" s="1"/>
      <c r="O3" s="1"/>
      <c r="P3" s="1"/>
    </row>
    <row r="4" spans="1:16" ht="22.5">
      <c r="A4" s="189" t="s">
        <v>120</v>
      </c>
      <c r="B4" s="188" t="s">
        <v>171</v>
      </c>
      <c r="C4" s="188" t="s">
        <v>172</v>
      </c>
      <c r="D4" s="188" t="s">
        <v>83</v>
      </c>
      <c r="E4" s="159"/>
      <c r="F4" s="1"/>
      <c r="G4" s="1"/>
      <c r="H4" s="1"/>
      <c r="I4" s="1"/>
      <c r="J4" s="1"/>
      <c r="K4" s="1"/>
      <c r="L4" s="1"/>
      <c r="M4" s="1"/>
      <c r="N4" s="1"/>
      <c r="O4" s="1"/>
      <c r="P4" s="1"/>
    </row>
    <row r="5" spans="1:16" ht="15" customHeight="1">
      <c r="A5" s="12" t="s">
        <v>173</v>
      </c>
      <c r="B5" s="108">
        <v>0.12</v>
      </c>
      <c r="C5" s="108">
        <f>B5*0.5</f>
        <v>0.06</v>
      </c>
      <c r="D5" s="13" t="s">
        <v>86</v>
      </c>
      <c r="E5" s="1"/>
      <c r="F5" s="1"/>
      <c r="G5" s="1"/>
      <c r="H5" s="1"/>
      <c r="I5" s="1"/>
      <c r="J5" s="1"/>
      <c r="K5" s="1"/>
      <c r="L5" s="1"/>
      <c r="M5" s="1"/>
      <c r="N5" s="1"/>
      <c r="O5" s="1"/>
      <c r="P5" s="1"/>
    </row>
    <row r="6" spans="1:16" ht="15" customHeight="1">
      <c r="A6" s="12" t="s">
        <v>174</v>
      </c>
      <c r="B6" s="108">
        <v>2.2999999999999998</v>
      </c>
      <c r="C6" s="108">
        <f t="shared" ref="C6:C15" si="0">B6*0.5</f>
        <v>1.1499999999999999</v>
      </c>
      <c r="D6" s="13" t="s">
        <v>90</v>
      </c>
      <c r="E6" s="1"/>
      <c r="F6" s="1"/>
      <c r="G6" s="1"/>
      <c r="H6" s="1"/>
      <c r="I6" s="1"/>
      <c r="J6" s="1"/>
      <c r="K6" s="1"/>
      <c r="L6" s="1"/>
      <c r="M6" s="1"/>
      <c r="N6" s="1"/>
      <c r="O6" s="1"/>
      <c r="P6" s="1"/>
    </row>
    <row r="7" spans="1:16" ht="15" customHeight="1">
      <c r="A7" s="12" t="s">
        <v>175</v>
      </c>
      <c r="B7" s="108">
        <v>0.11</v>
      </c>
      <c r="C7" s="108">
        <f t="shared" si="0"/>
        <v>5.5E-2</v>
      </c>
      <c r="D7" s="13" t="s">
        <v>90</v>
      </c>
      <c r="E7" s="1"/>
      <c r="F7" s="1"/>
      <c r="G7" s="1"/>
      <c r="H7" s="1"/>
      <c r="I7" s="1"/>
      <c r="J7" s="1"/>
      <c r="K7" s="1"/>
      <c r="L7" s="1"/>
      <c r="M7" s="1"/>
      <c r="N7" s="1"/>
      <c r="O7" s="1"/>
      <c r="P7" s="1"/>
    </row>
    <row r="8" spans="1:16" ht="15" customHeight="1">
      <c r="A8" s="12" t="s">
        <v>176</v>
      </c>
      <c r="B8" s="231"/>
      <c r="C8" s="232"/>
      <c r="D8" s="233"/>
      <c r="E8" s="1"/>
      <c r="F8" s="1"/>
      <c r="G8" s="1"/>
      <c r="H8" s="1"/>
      <c r="I8" s="1"/>
      <c r="J8" s="1"/>
      <c r="K8" s="1"/>
      <c r="L8" s="1"/>
      <c r="M8" s="1"/>
      <c r="N8" s="1"/>
      <c r="O8" s="1"/>
      <c r="P8" s="1"/>
    </row>
    <row r="9" spans="1:16" ht="15" customHeight="1">
      <c r="A9" s="12" t="s">
        <v>177</v>
      </c>
      <c r="B9" s="108">
        <v>0.06</v>
      </c>
      <c r="C9" s="109">
        <f t="shared" si="0"/>
        <v>0.03</v>
      </c>
      <c r="D9" s="13" t="s">
        <v>90</v>
      </c>
      <c r="E9" s="1"/>
      <c r="F9" s="1"/>
      <c r="G9" s="1"/>
      <c r="H9" s="1"/>
      <c r="I9" s="1"/>
      <c r="J9" s="1"/>
      <c r="K9" s="1"/>
      <c r="L9" s="1"/>
      <c r="M9" s="1"/>
      <c r="N9" s="1"/>
      <c r="O9" s="1"/>
      <c r="P9" s="1"/>
    </row>
    <row r="10" spans="1:16" ht="15" customHeight="1">
      <c r="A10" s="12" t="s">
        <v>178</v>
      </c>
      <c r="B10" s="108">
        <v>0.19</v>
      </c>
      <c r="C10" s="108">
        <f t="shared" si="0"/>
        <v>9.5000000000000001E-2</v>
      </c>
      <c r="D10" s="13" t="s">
        <v>86</v>
      </c>
      <c r="E10" s="1"/>
      <c r="F10" s="1"/>
      <c r="G10" s="1"/>
      <c r="H10" s="1"/>
      <c r="I10" s="1"/>
      <c r="J10" s="1"/>
      <c r="K10" s="1"/>
      <c r="L10" s="1"/>
      <c r="M10" s="1"/>
      <c r="N10" s="1"/>
      <c r="O10" s="1"/>
      <c r="P10" s="1"/>
    </row>
    <row r="11" spans="1:16" ht="15" customHeight="1">
      <c r="A11" s="12" t="s">
        <v>179</v>
      </c>
      <c r="B11" s="108">
        <v>0.49</v>
      </c>
      <c r="C11" s="108">
        <f>B11*0.5</f>
        <v>0.245</v>
      </c>
      <c r="D11" s="13" t="s">
        <v>86</v>
      </c>
      <c r="E11" s="1"/>
      <c r="F11" s="1"/>
      <c r="G11" s="1"/>
      <c r="H11" s="1"/>
      <c r="I11" s="1"/>
      <c r="J11" s="1"/>
      <c r="K11" s="1"/>
      <c r="L11" s="1"/>
      <c r="M11" s="1"/>
      <c r="N11" s="1"/>
      <c r="O11" s="1"/>
      <c r="P11" s="1"/>
    </row>
    <row r="12" spans="1:16" ht="15" customHeight="1">
      <c r="A12" s="12" t="s">
        <v>180</v>
      </c>
      <c r="B12" s="109">
        <v>6.7000000000000004E-2</v>
      </c>
      <c r="C12" s="108">
        <f t="shared" si="0"/>
        <v>3.3500000000000002E-2</v>
      </c>
      <c r="D12" s="13" t="s">
        <v>90</v>
      </c>
      <c r="E12" s="1"/>
      <c r="F12" s="1"/>
      <c r="G12" s="1"/>
      <c r="H12" s="1"/>
      <c r="I12" s="1"/>
      <c r="J12" s="1"/>
      <c r="K12" s="1"/>
      <c r="L12" s="1"/>
      <c r="M12" s="1"/>
      <c r="N12" s="1"/>
      <c r="O12" s="1"/>
      <c r="P12" s="1"/>
    </row>
    <row r="13" spans="1:16" ht="15" customHeight="1">
      <c r="A13" s="12" t="s">
        <v>181</v>
      </c>
      <c r="B13" s="234"/>
      <c r="C13" s="235"/>
      <c r="D13" s="236"/>
      <c r="E13" s="1"/>
      <c r="F13" s="1"/>
      <c r="G13" s="1"/>
      <c r="H13" s="1"/>
      <c r="I13" s="1"/>
      <c r="J13" s="1"/>
      <c r="K13" s="1"/>
      <c r="L13" s="1"/>
      <c r="M13" s="1"/>
      <c r="N13" s="1"/>
      <c r="O13" s="1"/>
      <c r="P13" s="1"/>
    </row>
    <row r="14" spans="1:16" ht="15" customHeight="1">
      <c r="A14" s="12" t="s">
        <v>182</v>
      </c>
      <c r="B14" s="108">
        <v>19</v>
      </c>
      <c r="C14" s="108">
        <f t="shared" si="0"/>
        <v>9.5</v>
      </c>
      <c r="D14" s="13" t="s">
        <v>90</v>
      </c>
      <c r="E14" s="1"/>
      <c r="F14" s="1"/>
      <c r="G14" s="1"/>
      <c r="H14" s="1"/>
      <c r="I14" s="1"/>
      <c r="J14" s="1"/>
      <c r="K14" s="1"/>
      <c r="L14" s="1"/>
      <c r="M14" s="1"/>
      <c r="N14" s="1"/>
      <c r="O14" s="1"/>
      <c r="P14" s="1"/>
    </row>
    <row r="15" spans="1:16" ht="15" customHeight="1">
      <c r="A15" s="12" t="s">
        <v>183</v>
      </c>
      <c r="B15" s="109">
        <v>1.8</v>
      </c>
      <c r="C15" s="108">
        <f t="shared" si="0"/>
        <v>0.9</v>
      </c>
      <c r="D15" s="13" t="s">
        <v>86</v>
      </c>
      <c r="E15" s="1"/>
      <c r="F15" s="1"/>
      <c r="G15" s="1"/>
      <c r="H15" s="1"/>
      <c r="I15" s="1"/>
      <c r="J15" s="1"/>
      <c r="K15" s="1"/>
      <c r="L15" s="1"/>
      <c r="M15" s="1"/>
      <c r="N15" s="1"/>
      <c r="O15" s="1"/>
      <c r="P15" s="1"/>
    </row>
    <row r="16" spans="1:16" ht="15" customHeight="1">
      <c r="A16" s="1"/>
      <c r="B16" s="1"/>
      <c r="C16" s="1"/>
      <c r="D16" s="1"/>
      <c r="E16" s="1"/>
      <c r="F16" s="1"/>
      <c r="G16" s="1"/>
      <c r="H16" s="1"/>
      <c r="I16" s="1"/>
      <c r="J16" s="1"/>
      <c r="K16" s="1"/>
      <c r="L16" s="1"/>
      <c r="M16" s="1"/>
      <c r="N16" s="1"/>
      <c r="O16" s="1"/>
      <c r="P16" s="1"/>
    </row>
    <row r="17" spans="1:16" ht="15" customHeight="1">
      <c r="A17" s="228" t="s">
        <v>184</v>
      </c>
      <c r="B17" s="229"/>
      <c r="C17" s="229"/>
      <c r="D17" s="229"/>
      <c r="E17" s="229"/>
      <c r="F17" s="229"/>
      <c r="G17" s="229"/>
      <c r="H17" s="229"/>
      <c r="I17" s="229"/>
      <c r="J17" s="1"/>
      <c r="K17" s="1"/>
      <c r="L17" s="1"/>
      <c r="M17" s="1"/>
      <c r="N17" s="1"/>
      <c r="O17" s="1"/>
      <c r="P17" s="1"/>
    </row>
    <row r="18" spans="1:16" ht="15" customHeight="1">
      <c r="A18" s="238" t="s">
        <v>185</v>
      </c>
      <c r="B18" s="240" t="s">
        <v>169</v>
      </c>
      <c r="C18" s="240"/>
      <c r="D18" s="241" t="s">
        <v>192</v>
      </c>
      <c r="E18" s="241"/>
      <c r="F18" s="241" t="s">
        <v>193</v>
      </c>
      <c r="G18" s="241"/>
      <c r="H18" s="241" t="s">
        <v>23</v>
      </c>
      <c r="I18" s="241"/>
      <c r="J18" s="1"/>
      <c r="K18" s="1"/>
      <c r="L18" s="1"/>
      <c r="M18" s="1"/>
      <c r="N18" s="1"/>
      <c r="O18" s="1"/>
      <c r="P18" s="1"/>
    </row>
    <row r="19" spans="1:16" ht="15" customHeight="1">
      <c r="A19" s="239"/>
      <c r="B19" s="188" t="s">
        <v>190</v>
      </c>
      <c r="C19" s="188" t="s">
        <v>191</v>
      </c>
      <c r="D19" s="188" t="s">
        <v>190</v>
      </c>
      <c r="E19" s="188" t="s">
        <v>191</v>
      </c>
      <c r="F19" s="188" t="s">
        <v>190</v>
      </c>
      <c r="G19" s="188" t="s">
        <v>191</v>
      </c>
      <c r="H19" s="188" t="s">
        <v>190</v>
      </c>
      <c r="I19" s="188" t="s">
        <v>191</v>
      </c>
      <c r="J19" s="1"/>
      <c r="K19" s="1"/>
      <c r="L19" s="1"/>
      <c r="M19" s="1"/>
      <c r="N19" s="1"/>
      <c r="O19" s="1"/>
      <c r="P19" s="1"/>
    </row>
    <row r="20" spans="1:16" ht="15" customHeight="1">
      <c r="A20" s="65" t="s">
        <v>179</v>
      </c>
      <c r="B20" s="179" t="s">
        <v>186</v>
      </c>
      <c r="C20" s="179">
        <f>9.5*B30*0.5</f>
        <v>4.4475655430711615E-2</v>
      </c>
      <c r="D20" s="180">
        <v>0.54</v>
      </c>
      <c r="E20" s="179">
        <f>D20*0.5</f>
        <v>0.27</v>
      </c>
      <c r="F20" s="179">
        <v>3.3</v>
      </c>
      <c r="G20" s="179">
        <f>F20*0.5</f>
        <v>1.65</v>
      </c>
      <c r="H20" s="66">
        <v>0.43</v>
      </c>
      <c r="I20" s="179">
        <f>H20*0.5</f>
        <v>0.215</v>
      </c>
      <c r="J20" s="1"/>
      <c r="K20" s="1"/>
      <c r="L20" s="1"/>
      <c r="M20" s="1"/>
      <c r="N20" s="1"/>
      <c r="O20" s="1"/>
      <c r="P20" s="1"/>
    </row>
    <row r="21" spans="1:16" ht="15" customHeight="1">
      <c r="A21" s="237" t="s">
        <v>188</v>
      </c>
      <c r="B21" s="237"/>
      <c r="C21" s="237"/>
      <c r="D21" s="237"/>
      <c r="E21" s="237"/>
      <c r="F21" s="237"/>
      <c r="G21" s="237"/>
      <c r="H21" s="237"/>
      <c r="I21" s="237"/>
      <c r="J21" s="237"/>
      <c r="K21" s="237"/>
      <c r="L21" s="237"/>
      <c r="M21" s="237"/>
      <c r="N21" s="237"/>
      <c r="O21" s="237"/>
      <c r="P21" s="237"/>
    </row>
    <row r="22" spans="1:16" ht="15" customHeight="1">
      <c r="A22" s="237"/>
      <c r="B22" s="237"/>
      <c r="C22" s="237"/>
      <c r="D22" s="237"/>
      <c r="E22" s="237"/>
      <c r="F22" s="237"/>
      <c r="G22" s="237"/>
      <c r="H22" s="237"/>
      <c r="I22" s="237"/>
      <c r="J22" s="237"/>
      <c r="K22" s="237"/>
      <c r="L22" s="237"/>
      <c r="M22" s="237"/>
      <c r="N22" s="237"/>
      <c r="O22" s="237"/>
      <c r="P22" s="237"/>
    </row>
    <row r="23" spans="1:16" ht="15" customHeight="1">
      <c r="A23" s="1"/>
      <c r="B23" s="1"/>
      <c r="C23" s="1"/>
      <c r="D23" s="1"/>
      <c r="E23" s="1"/>
      <c r="F23" s="1"/>
      <c r="G23" s="1"/>
      <c r="H23" s="1"/>
      <c r="I23" s="1"/>
      <c r="J23" s="1"/>
      <c r="K23" s="1"/>
      <c r="L23" s="1"/>
      <c r="M23" s="1"/>
      <c r="N23" s="1"/>
      <c r="O23" s="1"/>
      <c r="P23" s="1"/>
    </row>
    <row r="24" spans="1:16" ht="15" customHeight="1">
      <c r="A24" s="194"/>
      <c r="B24" s="1"/>
      <c r="C24" s="1"/>
      <c r="D24" s="1"/>
      <c r="E24" s="1"/>
      <c r="F24" s="1"/>
      <c r="G24" s="1"/>
      <c r="H24" s="1"/>
      <c r="I24" s="1"/>
      <c r="J24" s="1"/>
      <c r="K24" s="1"/>
      <c r="L24" s="1"/>
      <c r="M24" s="1"/>
      <c r="N24" s="1"/>
      <c r="O24" s="1"/>
      <c r="P24" s="1"/>
    </row>
    <row r="25" spans="1:16" ht="15" customHeight="1">
      <c r="A25" s="227" t="s">
        <v>194</v>
      </c>
      <c r="B25" s="227"/>
      <c r="C25" s="227"/>
      <c r="D25" s="171"/>
      <c r="E25" s="1"/>
      <c r="F25" s="1"/>
      <c r="G25" s="1"/>
      <c r="H25" s="1"/>
      <c r="I25" s="1"/>
      <c r="J25" s="1"/>
      <c r="K25" s="1"/>
      <c r="L25" s="1"/>
      <c r="M25" s="1"/>
      <c r="N25" s="1"/>
      <c r="O25" s="1"/>
      <c r="P25" s="1"/>
    </row>
    <row r="26" spans="1:16" ht="15" customHeight="1">
      <c r="A26" s="26" t="s">
        <v>41</v>
      </c>
      <c r="B26" s="24">
        <v>1.2</v>
      </c>
      <c r="C26" s="26" t="s">
        <v>195</v>
      </c>
      <c r="D26" s="1"/>
      <c r="E26" s="1"/>
      <c r="F26" s="1"/>
      <c r="G26" s="1"/>
      <c r="H26" s="1"/>
      <c r="I26" s="1"/>
      <c r="J26" s="1"/>
      <c r="K26" s="1"/>
      <c r="L26" s="1"/>
      <c r="M26" s="1"/>
      <c r="N26" s="1"/>
      <c r="O26" s="1"/>
      <c r="P26" s="1"/>
    </row>
    <row r="27" spans="1:16" ht="15" customHeight="1">
      <c r="A27" s="27" t="s">
        <v>57</v>
      </c>
      <c r="B27" s="28">
        <v>62.3</v>
      </c>
      <c r="C27" s="27" t="s">
        <v>196</v>
      </c>
      <c r="D27" s="1"/>
      <c r="E27" s="1"/>
      <c r="F27" s="1"/>
      <c r="G27" s="1"/>
      <c r="H27" s="1"/>
      <c r="I27" s="1"/>
      <c r="J27" s="1"/>
      <c r="K27" s="1"/>
      <c r="L27" s="1"/>
      <c r="M27" s="1"/>
      <c r="N27" s="1"/>
      <c r="O27" s="1"/>
      <c r="P27" s="1"/>
    </row>
    <row r="28" spans="1:16" ht="15" customHeight="1">
      <c r="A28" s="15" t="s">
        <v>42</v>
      </c>
      <c r="B28" s="23">
        <f>B26*B27/100</f>
        <v>0.74759999999999993</v>
      </c>
      <c r="C28" s="15" t="s">
        <v>195</v>
      </c>
      <c r="D28" s="1"/>
      <c r="E28" s="1"/>
      <c r="F28" s="1"/>
      <c r="G28" s="1"/>
      <c r="H28" s="1"/>
      <c r="I28" s="1"/>
      <c r="J28" s="1"/>
      <c r="K28" s="1"/>
      <c r="L28" s="1"/>
      <c r="M28" s="1"/>
      <c r="N28" s="1"/>
      <c r="O28" s="1"/>
      <c r="P28" s="1"/>
    </row>
    <row r="29" spans="1:16" ht="15" customHeight="1">
      <c r="A29" s="11" t="s">
        <v>54</v>
      </c>
      <c r="B29" s="167">
        <v>70</v>
      </c>
      <c r="C29" s="25" t="s">
        <v>198</v>
      </c>
      <c r="D29" s="1"/>
      <c r="E29" s="1"/>
      <c r="F29" s="1"/>
      <c r="G29" s="1"/>
      <c r="H29" s="1"/>
      <c r="I29" s="1"/>
      <c r="J29" s="1"/>
      <c r="K29" s="1"/>
      <c r="L29" s="1"/>
      <c r="M29" s="1"/>
      <c r="N29" s="1"/>
      <c r="O29" s="1"/>
      <c r="P29" s="1"/>
    </row>
    <row r="30" spans="1:16" ht="15" customHeight="1">
      <c r="A30" s="165" t="s">
        <v>197</v>
      </c>
      <c r="B30" s="166">
        <f>((B29*10^-6)/B28)*100</f>
        <v>9.3632958801498131E-3</v>
      </c>
      <c r="C30" s="165" t="s">
        <v>196</v>
      </c>
      <c r="D30" s="1"/>
      <c r="E30" s="1"/>
      <c r="F30" s="1"/>
      <c r="G30" s="1"/>
      <c r="H30" s="1"/>
      <c r="I30" s="1"/>
      <c r="J30" s="1"/>
      <c r="K30" s="1"/>
      <c r="L30" s="1"/>
      <c r="M30" s="1"/>
      <c r="N30" s="1"/>
      <c r="O30" s="1"/>
      <c r="P30" s="1"/>
    </row>
    <row r="31" spans="1:16" ht="15" customHeight="1">
      <c r="A31" s="1"/>
      <c r="B31" s="1"/>
      <c r="C31" s="1"/>
      <c r="D31" s="1"/>
      <c r="E31" s="1"/>
      <c r="F31" s="1"/>
      <c r="G31" s="1"/>
      <c r="H31" s="1"/>
      <c r="I31" s="1"/>
      <c r="J31" s="1"/>
      <c r="K31" s="1"/>
      <c r="L31" s="1"/>
      <c r="M31" s="1"/>
      <c r="N31" s="1"/>
      <c r="O31" s="1"/>
      <c r="P31" s="1"/>
    </row>
    <row r="32" spans="1:16" ht="15" customHeight="1">
      <c r="A32" s="178"/>
      <c r="B32" s="178"/>
      <c r="C32" s="1"/>
      <c r="D32" s="1"/>
      <c r="E32" s="1"/>
      <c r="F32" s="1"/>
      <c r="G32" s="1"/>
      <c r="H32" s="1"/>
      <c r="I32" s="1"/>
      <c r="J32" s="1"/>
      <c r="K32" s="1"/>
      <c r="L32" s="1"/>
      <c r="M32" s="1"/>
      <c r="N32" s="1"/>
      <c r="O32" s="1"/>
      <c r="P32" s="1"/>
    </row>
    <row r="33" spans="1:16" ht="15" customHeight="1">
      <c r="A33" s="1"/>
      <c r="B33" s="1"/>
      <c r="C33" s="1"/>
      <c r="D33" s="1"/>
      <c r="E33" s="1"/>
      <c r="F33" s="1"/>
      <c r="G33" s="1"/>
      <c r="H33" s="1"/>
      <c r="I33" s="1"/>
      <c r="J33" s="1"/>
      <c r="K33" s="1"/>
      <c r="L33" s="1"/>
      <c r="M33" s="1"/>
      <c r="N33" s="1"/>
      <c r="O33" s="1"/>
      <c r="P33" s="1"/>
    </row>
    <row r="34" spans="1:16" ht="15" customHeight="1">
      <c r="A34" s="1"/>
      <c r="B34" s="1"/>
      <c r="C34" s="1"/>
      <c r="D34" s="1"/>
      <c r="E34" s="1"/>
      <c r="F34" s="1"/>
      <c r="G34" s="1"/>
      <c r="H34" s="1"/>
      <c r="I34" s="1"/>
      <c r="J34" s="1"/>
      <c r="K34" s="1"/>
      <c r="L34" s="1"/>
      <c r="M34" s="1"/>
      <c r="N34" s="1"/>
      <c r="O34" s="1"/>
      <c r="P34" s="1"/>
    </row>
  </sheetData>
  <sheetProtection algorithmName="SHA-512" hashValue="HrhqDVa3b4T8ozhQlHR3J0ylkD1uMyvBJW85ulRyt8w72/OMdpiHWcNH0IwpcfTzvaW54/jH50HSurtCKqqy7w==" saltValue="JNrho3rf4algWae6V6snbw==" spinCount="100000" sheet="1" objects="1" scenarios="1"/>
  <mergeCells count="11">
    <mergeCell ref="A25:C25"/>
    <mergeCell ref="A3:D3"/>
    <mergeCell ref="B8:D8"/>
    <mergeCell ref="B13:D13"/>
    <mergeCell ref="A21:P22"/>
    <mergeCell ref="A18:A19"/>
    <mergeCell ref="B18:C18"/>
    <mergeCell ref="D18:E18"/>
    <mergeCell ref="F18:G18"/>
    <mergeCell ref="H18:I18"/>
    <mergeCell ref="A17:I17"/>
  </mergeCell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election activeCell="E30" sqref="E30"/>
    </sheetView>
  </sheetViews>
  <sheetFormatPr defaultRowHeight="15" customHeight="1"/>
  <cols>
    <col min="1" max="1" width="19.85546875" style="40" customWidth="1"/>
    <col min="2" max="2" width="14" style="40" customWidth="1"/>
    <col min="3" max="3" width="14.85546875" style="40" customWidth="1"/>
    <col min="4" max="4" width="20.28515625" style="40" customWidth="1"/>
    <col min="5" max="5" width="18" style="40" customWidth="1"/>
    <col min="6" max="7" width="16.28515625" style="40" customWidth="1"/>
    <col min="8" max="8" width="11.42578125" style="40" customWidth="1"/>
    <col min="9" max="9" width="12" style="40" customWidth="1"/>
    <col min="10" max="16384" width="9.140625" style="40"/>
  </cols>
  <sheetData>
    <row r="1" spans="1:9" ht="15" customHeight="1">
      <c r="A1" s="1" t="s">
        <v>220</v>
      </c>
    </row>
    <row r="2" spans="1:9" ht="15" customHeight="1">
      <c r="A2" s="240" t="s">
        <v>215</v>
      </c>
      <c r="B2" s="240"/>
      <c r="C2" s="240"/>
      <c r="D2" s="240"/>
      <c r="E2" s="240"/>
      <c r="I2" s="16"/>
    </row>
    <row r="3" spans="1:9" ht="15" customHeight="1">
      <c r="A3" s="225" t="s">
        <v>168</v>
      </c>
      <c r="B3" s="225"/>
      <c r="C3" s="225"/>
      <c r="D3" s="225"/>
      <c r="E3" s="225"/>
      <c r="I3" s="16"/>
    </row>
    <row r="4" spans="1:9" ht="15" customHeight="1">
      <c r="A4" s="225" t="s">
        <v>25</v>
      </c>
      <c r="B4" s="225"/>
      <c r="C4" s="187" t="s">
        <v>88</v>
      </c>
      <c r="D4" s="187" t="s">
        <v>89</v>
      </c>
      <c r="E4" s="184" t="s">
        <v>83</v>
      </c>
      <c r="I4" s="7"/>
    </row>
    <row r="5" spans="1:9" ht="15" customHeight="1">
      <c r="A5" s="242" t="s">
        <v>52</v>
      </c>
      <c r="B5" s="21" t="s">
        <v>22</v>
      </c>
      <c r="C5" s="5">
        <v>100</v>
      </c>
      <c r="D5" s="22">
        <f>16*C5</f>
        <v>1600</v>
      </c>
      <c r="E5" s="13" t="s">
        <v>85</v>
      </c>
      <c r="I5" s="16"/>
    </row>
    <row r="6" spans="1:9" ht="15" customHeight="1">
      <c r="A6" s="243"/>
      <c r="B6" s="21" t="s">
        <v>21</v>
      </c>
      <c r="C6" s="5">
        <v>84</v>
      </c>
      <c r="D6" s="22">
        <f>16*C6</f>
        <v>1344</v>
      </c>
      <c r="E6" s="13" t="s">
        <v>85</v>
      </c>
      <c r="I6" s="16"/>
    </row>
    <row r="7" spans="1:9" ht="15" customHeight="1">
      <c r="A7" s="1" t="s">
        <v>209</v>
      </c>
      <c r="E7" s="13"/>
      <c r="I7" s="16"/>
    </row>
    <row r="8" spans="1:9" ht="15" customHeight="1">
      <c r="A8" s="246" t="s">
        <v>213</v>
      </c>
      <c r="B8" s="246"/>
      <c r="C8" s="246"/>
      <c r="D8" s="247"/>
      <c r="E8" s="13"/>
      <c r="I8" s="7"/>
    </row>
    <row r="9" spans="1:9" ht="15" customHeight="1">
      <c r="A9" s="182" t="s">
        <v>25</v>
      </c>
      <c r="B9" s="185" t="s">
        <v>29</v>
      </c>
      <c r="C9" s="185" t="s">
        <v>49</v>
      </c>
      <c r="D9" s="183" t="s">
        <v>83</v>
      </c>
      <c r="E9" s="13"/>
      <c r="I9" s="16"/>
    </row>
    <row r="10" spans="1:9" ht="15" customHeight="1">
      <c r="A10" s="10" t="s">
        <v>169</v>
      </c>
      <c r="B10" s="7">
        <v>0.6</v>
      </c>
      <c r="C10" s="16">
        <f t="shared" ref="C10:C12" si="0">16*B10</f>
        <v>9.6</v>
      </c>
      <c r="D10" s="68" t="s">
        <v>84</v>
      </c>
      <c r="E10" s="13"/>
    </row>
    <row r="11" spans="1:9" ht="15" customHeight="1">
      <c r="A11" s="10" t="s">
        <v>26</v>
      </c>
      <c r="B11" s="7">
        <v>5.5</v>
      </c>
      <c r="C11" s="16">
        <f t="shared" si="0"/>
        <v>88</v>
      </c>
      <c r="D11" s="68" t="s">
        <v>87</v>
      </c>
      <c r="E11" s="13"/>
    </row>
    <row r="12" spans="1:9" ht="15" customHeight="1">
      <c r="A12" s="10" t="s">
        <v>30</v>
      </c>
      <c r="B12" s="7">
        <v>7.6</v>
      </c>
      <c r="C12" s="16">
        <f t="shared" si="0"/>
        <v>121.6</v>
      </c>
      <c r="D12" s="68" t="s">
        <v>86</v>
      </c>
      <c r="E12" s="13"/>
    </row>
    <row r="13" spans="1:9" ht="15" customHeight="1">
      <c r="A13" s="10"/>
      <c r="B13" s="7"/>
      <c r="C13" s="7"/>
      <c r="D13" s="68"/>
      <c r="E13" s="13"/>
    </row>
    <row r="14" spans="1:9" ht="15" customHeight="1">
      <c r="A14" s="65"/>
      <c r="B14" s="66"/>
      <c r="C14" s="66"/>
      <c r="D14" s="66"/>
      <c r="E14" s="66"/>
    </row>
    <row r="15" spans="1:9" ht="15" customHeight="1">
      <c r="A15" s="12" t="s">
        <v>135</v>
      </c>
      <c r="B15" s="13"/>
      <c r="C15" s="13"/>
      <c r="D15" s="13"/>
      <c r="E15" s="13"/>
    </row>
    <row r="16" spans="1:9" ht="15" customHeight="1">
      <c r="A16" s="244" t="s">
        <v>214</v>
      </c>
      <c r="B16" s="245"/>
      <c r="C16" s="245"/>
      <c r="D16" s="245"/>
      <c r="E16" s="245"/>
      <c r="F16" s="245"/>
    </row>
    <row r="17" spans="1:10" ht="15" customHeight="1">
      <c r="A17" s="181"/>
      <c r="B17" s="190" t="s">
        <v>25</v>
      </c>
      <c r="C17" s="190" t="s">
        <v>32</v>
      </c>
      <c r="D17" s="190" t="s">
        <v>29</v>
      </c>
      <c r="E17" s="190" t="s">
        <v>89</v>
      </c>
      <c r="F17" s="181" t="s">
        <v>83</v>
      </c>
    </row>
    <row r="18" spans="1:10" ht="15" customHeight="1">
      <c r="A18" s="252" t="s">
        <v>52</v>
      </c>
      <c r="B18" s="6" t="s">
        <v>22</v>
      </c>
      <c r="C18" s="8">
        <f>3.2 *10^-1</f>
        <v>0.32000000000000006</v>
      </c>
      <c r="D18" s="7">
        <f>C18*1020</f>
        <v>326.40000000000009</v>
      </c>
      <c r="E18" s="9">
        <f>16*D18</f>
        <v>5222.4000000000015</v>
      </c>
      <c r="F18" s="7" t="s">
        <v>84</v>
      </c>
    </row>
    <row r="19" spans="1:10" ht="15" customHeight="1">
      <c r="A19" s="253"/>
      <c r="B19" s="6" t="s">
        <v>21</v>
      </c>
      <c r="C19" s="8">
        <f>8.2*10^-2</f>
        <v>8.199999999999999E-2</v>
      </c>
      <c r="D19" s="7">
        <f>C19*1020</f>
        <v>83.639999999999986</v>
      </c>
      <c r="E19" s="9">
        <f>16*D19</f>
        <v>1338.2399999999998</v>
      </c>
      <c r="F19" s="7" t="s">
        <v>84</v>
      </c>
    </row>
    <row r="20" spans="1:10" ht="15" customHeight="1">
      <c r="A20" s="12"/>
      <c r="B20" s="13"/>
      <c r="C20" s="13"/>
      <c r="D20" s="13"/>
      <c r="E20" s="13"/>
    </row>
    <row r="22" spans="1:10" ht="15" customHeight="1">
      <c r="A22" s="1" t="s">
        <v>135</v>
      </c>
    </row>
    <row r="23" spans="1:10" ht="15" customHeight="1">
      <c r="A23" s="244" t="s">
        <v>216</v>
      </c>
      <c r="B23" s="245"/>
      <c r="C23" s="245"/>
      <c r="D23" s="245"/>
      <c r="E23" s="245"/>
      <c r="F23" s="245"/>
    </row>
    <row r="24" spans="1:10" ht="15" customHeight="1">
      <c r="A24" s="248" t="s">
        <v>25</v>
      </c>
      <c r="B24" s="248"/>
      <c r="C24" s="190" t="s">
        <v>32</v>
      </c>
      <c r="D24" s="190" t="s">
        <v>29</v>
      </c>
      <c r="E24" s="190" t="s">
        <v>49</v>
      </c>
      <c r="F24" s="181" t="s">
        <v>83</v>
      </c>
    </row>
    <row r="25" spans="1:10" ht="15" customHeight="1">
      <c r="A25" s="249" t="s">
        <v>52</v>
      </c>
      <c r="B25" s="103" t="s">
        <v>169</v>
      </c>
      <c r="C25" s="144" t="s">
        <v>33</v>
      </c>
      <c r="D25" s="110" t="s">
        <v>34</v>
      </c>
      <c r="E25" s="110" t="s">
        <v>53</v>
      </c>
      <c r="F25" s="20" t="s">
        <v>85</v>
      </c>
      <c r="G25" s="42"/>
      <c r="H25" s="41"/>
      <c r="I25" s="41"/>
      <c r="J25" s="41"/>
    </row>
    <row r="26" spans="1:10" ht="15" customHeight="1">
      <c r="A26" s="250"/>
      <c r="B26" s="12" t="s">
        <v>26</v>
      </c>
      <c r="C26" s="13">
        <f>2.1 *10^-3</f>
        <v>2.1000000000000003E-3</v>
      </c>
      <c r="D26" s="13">
        <f t="shared" ref="D26:D29" si="1">C26*1020</f>
        <v>2.1420000000000003</v>
      </c>
      <c r="E26" s="14">
        <f t="shared" ref="E26:E29" si="2">16*D26</f>
        <v>34.272000000000006</v>
      </c>
      <c r="F26" s="20" t="s">
        <v>86</v>
      </c>
      <c r="G26" s="42"/>
      <c r="H26" s="31"/>
      <c r="I26" s="31"/>
      <c r="J26" s="31"/>
    </row>
    <row r="27" spans="1:10" ht="15" customHeight="1">
      <c r="A27" s="250"/>
      <c r="B27" s="12" t="s">
        <v>30</v>
      </c>
      <c r="C27" s="13">
        <f>6.6 *10^-3</f>
        <v>6.6E-3</v>
      </c>
      <c r="D27" s="13">
        <f t="shared" si="1"/>
        <v>6.7320000000000002</v>
      </c>
      <c r="E27" s="14">
        <f t="shared" si="2"/>
        <v>107.712</v>
      </c>
      <c r="F27" s="20" t="s">
        <v>87</v>
      </c>
      <c r="G27" s="42"/>
      <c r="H27" s="34"/>
      <c r="I27" s="34"/>
      <c r="J27" s="34"/>
    </row>
    <row r="28" spans="1:10" ht="15" customHeight="1">
      <c r="A28" s="250"/>
      <c r="B28" s="12" t="s">
        <v>27</v>
      </c>
      <c r="C28" s="13">
        <f>1.9*10^-3</f>
        <v>1.9E-3</v>
      </c>
      <c r="D28" s="13">
        <f t="shared" si="1"/>
        <v>1.9379999999999999</v>
      </c>
      <c r="E28" s="14">
        <f t="shared" si="2"/>
        <v>31.007999999999999</v>
      </c>
      <c r="F28" s="20" t="s">
        <v>87</v>
      </c>
      <c r="G28" s="42"/>
      <c r="H28" s="18"/>
      <c r="I28" s="32"/>
      <c r="J28" s="18"/>
    </row>
    <row r="29" spans="1:10" ht="15" customHeight="1">
      <c r="A29" s="251"/>
      <c r="B29" s="12" t="s">
        <v>92</v>
      </c>
      <c r="C29" s="13">
        <f>4.7*10^-3</f>
        <v>4.7000000000000002E-3</v>
      </c>
      <c r="D29" s="13">
        <f t="shared" si="1"/>
        <v>4.7940000000000005</v>
      </c>
      <c r="E29" s="14">
        <f t="shared" si="2"/>
        <v>76.704000000000008</v>
      </c>
      <c r="F29" s="20" t="s">
        <v>87</v>
      </c>
      <c r="H29" s="35"/>
      <c r="I29" s="35"/>
      <c r="J29" s="35"/>
    </row>
    <row r="30" spans="1:10" ht="15" customHeight="1">
      <c r="A30" s="121"/>
      <c r="B30" s="122"/>
      <c r="C30" s="122"/>
      <c r="D30" s="122"/>
      <c r="E30" s="123"/>
    </row>
    <row r="38" spans="1:7" ht="15" customHeight="1">
      <c r="A38" s="124"/>
      <c r="B38" s="120"/>
      <c r="C38" s="120"/>
      <c r="D38" s="120"/>
      <c r="E38" s="125"/>
    </row>
    <row r="39" spans="1:7" ht="15" customHeight="1">
      <c r="A39" s="126"/>
      <c r="B39" s="11"/>
      <c r="C39" s="11"/>
      <c r="D39" s="11"/>
      <c r="E39" s="127"/>
      <c r="F39" s="17"/>
      <c r="G39" s="17"/>
    </row>
    <row r="40" spans="1:7" ht="15" customHeight="1">
      <c r="A40" s="11"/>
      <c r="B40" s="11"/>
      <c r="C40" s="11"/>
      <c r="D40" s="11"/>
      <c r="E40" s="11"/>
      <c r="F40" s="18"/>
      <c r="G40" s="18"/>
    </row>
    <row r="41" spans="1:7" ht="15" customHeight="1">
      <c r="A41" s="11"/>
      <c r="B41" s="11"/>
      <c r="C41" s="11"/>
      <c r="D41" s="11"/>
      <c r="E41" s="11"/>
      <c r="F41" s="19"/>
      <c r="G41" s="19"/>
    </row>
    <row r="42" spans="1:7" ht="15" customHeight="1">
      <c r="A42" s="1"/>
      <c r="B42" s="1"/>
      <c r="C42" s="1"/>
      <c r="D42" s="1"/>
      <c r="E42" s="1"/>
      <c r="F42" s="20"/>
      <c r="G42" s="20"/>
    </row>
  </sheetData>
  <sheetProtection algorithmName="SHA-512" hashValue="tc9uymS3X+CKBpsWfAnc5yrU0Etawn72xXqZJg7U4oTSGAB0Fm+rBJzf/8p5cNxG1svvamBFMaA8kCDzOJfH/g==" saltValue="2DTHNT3cm7fWqUNo5+HveQ==" spinCount="100000" sheet="1" objects="1" scenarios="1"/>
  <mergeCells count="10">
    <mergeCell ref="A23:F23"/>
    <mergeCell ref="A8:D8"/>
    <mergeCell ref="A24:B24"/>
    <mergeCell ref="A25:A29"/>
    <mergeCell ref="A18:A19"/>
    <mergeCell ref="A3:E3"/>
    <mergeCell ref="A4:B4"/>
    <mergeCell ref="A5:A6"/>
    <mergeCell ref="A2:E2"/>
    <mergeCell ref="A16:F16"/>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6"/>
  <sheetViews>
    <sheetView workbookViewId="0">
      <selection activeCell="N8" sqref="N8"/>
    </sheetView>
  </sheetViews>
  <sheetFormatPr defaultRowHeight="15"/>
  <cols>
    <col min="1" max="1" width="34.140625" style="82" customWidth="1"/>
    <col min="2" max="9" width="9.140625" style="82"/>
    <col min="14" max="16384" width="9.140625" style="82"/>
  </cols>
  <sheetData>
    <row r="1" spans="1:13">
      <c r="A1" s="1" t="s">
        <v>217</v>
      </c>
    </row>
    <row r="2" spans="1:13">
      <c r="A2" s="1" t="s">
        <v>97</v>
      </c>
    </row>
    <row r="3" spans="1:13">
      <c r="A3" s="257" t="s">
        <v>64</v>
      </c>
      <c r="B3" s="254" t="s">
        <v>94</v>
      </c>
      <c r="C3" s="255"/>
      <c r="D3" s="255"/>
      <c r="E3" s="255"/>
      <c r="F3" s="255"/>
      <c r="G3" s="255"/>
      <c r="H3" s="255"/>
      <c r="I3" s="256"/>
    </row>
    <row r="4" spans="1:13">
      <c r="A4" s="258"/>
      <c r="B4" s="118" t="s">
        <v>65</v>
      </c>
      <c r="C4" s="119" t="s">
        <v>69</v>
      </c>
      <c r="D4" s="119" t="s">
        <v>68</v>
      </c>
      <c r="E4" s="119" t="s">
        <v>67</v>
      </c>
      <c r="F4" s="119" t="s">
        <v>21</v>
      </c>
      <c r="G4" s="119" t="s">
        <v>66</v>
      </c>
      <c r="H4" s="119" t="s">
        <v>70</v>
      </c>
      <c r="I4" s="119" t="s">
        <v>71</v>
      </c>
    </row>
    <row r="5" spans="1:13">
      <c r="A5" s="267" t="s">
        <v>61</v>
      </c>
      <c r="B5" s="73">
        <v>25</v>
      </c>
      <c r="C5" s="112">
        <v>3.9890165496478201E-3</v>
      </c>
      <c r="D5" s="112">
        <v>6.1369251319822266E-2</v>
      </c>
      <c r="E5" s="112">
        <v>9.4616446621996876E-5</v>
      </c>
      <c r="F5" s="112">
        <v>3.0704922620167548E-2</v>
      </c>
      <c r="G5" s="112">
        <v>9.325230578523698E-3</v>
      </c>
      <c r="H5" s="112">
        <v>7.4570981157761267</v>
      </c>
      <c r="I5" s="112">
        <v>8.4140057334345904E-4</v>
      </c>
      <c r="J5" s="82"/>
      <c r="K5" s="82"/>
      <c r="L5" s="82"/>
      <c r="M5" s="82"/>
    </row>
    <row r="6" spans="1:13">
      <c r="A6" s="268"/>
      <c r="B6" s="73">
        <v>50</v>
      </c>
      <c r="C6" s="112">
        <v>1.5482138027073926E-2</v>
      </c>
      <c r="D6" s="112">
        <v>0.12602279653815557</v>
      </c>
      <c r="E6" s="112">
        <v>1.4669823419588148E-4</v>
      </c>
      <c r="F6" s="112">
        <v>0.15992567973540345</v>
      </c>
      <c r="G6" s="112">
        <v>6.8514240153494874E-2</v>
      </c>
      <c r="H6" s="112">
        <v>11.347760681124397</v>
      </c>
      <c r="I6" s="112">
        <v>6.1819292303150449E-3</v>
      </c>
      <c r="J6" s="82"/>
      <c r="K6" s="82"/>
      <c r="L6" s="82"/>
      <c r="M6" s="82"/>
    </row>
    <row r="7" spans="1:13">
      <c r="A7" s="268"/>
      <c r="B7" s="73">
        <v>120</v>
      </c>
      <c r="C7" s="112">
        <v>4.3689955953397884E-2</v>
      </c>
      <c r="D7" s="112">
        <v>0.46744735992116221</v>
      </c>
      <c r="E7" s="112">
        <v>3.9173850602458582E-4</v>
      </c>
      <c r="F7" s="112">
        <v>0.24966648844319658</v>
      </c>
      <c r="G7" s="112">
        <v>8.1017998911048009E-2</v>
      </c>
      <c r="H7" s="112">
        <v>33.394826528703661</v>
      </c>
      <c r="I7" s="112">
        <v>7.3101241308548672E-3</v>
      </c>
      <c r="J7" s="82"/>
      <c r="K7" s="82"/>
      <c r="L7" s="82"/>
      <c r="M7" s="82"/>
    </row>
    <row r="8" spans="1:13">
      <c r="A8" s="268"/>
      <c r="B8" s="73">
        <v>175</v>
      </c>
      <c r="C8" s="112">
        <v>3.6023154684608628E-2</v>
      </c>
      <c r="D8" s="112">
        <v>0.63034815463312366</v>
      </c>
      <c r="E8" s="112">
        <v>5.7274397999067218E-4</v>
      </c>
      <c r="F8" s="112">
        <v>0.30652652990664653</v>
      </c>
      <c r="G8" s="112">
        <v>8.1297557226803041E-2</v>
      </c>
      <c r="H8" s="112">
        <v>50.902804870404331</v>
      </c>
      <c r="I8" s="112">
        <v>7.3353490732738606E-3</v>
      </c>
      <c r="J8" s="82"/>
      <c r="K8" s="82"/>
      <c r="L8" s="82"/>
      <c r="M8" s="82"/>
    </row>
    <row r="9" spans="1:13">
      <c r="A9" s="268"/>
      <c r="B9" s="73">
        <v>250</v>
      </c>
      <c r="C9" s="112">
        <v>2.9088427954342536E-2</v>
      </c>
      <c r="D9" s="112">
        <v>0.84182054273419638</v>
      </c>
      <c r="E9" s="112">
        <v>8.0986730271663749E-4</v>
      </c>
      <c r="F9" s="112">
        <v>0.21055843242538708</v>
      </c>
      <c r="G9" s="112">
        <v>7.8277754706101627E-2</v>
      </c>
      <c r="H9" s="112">
        <v>71.977225347554125</v>
      </c>
      <c r="I9" s="112">
        <v>7.0628741220007361E-3</v>
      </c>
      <c r="J9" s="82"/>
      <c r="K9" s="82"/>
      <c r="L9" s="82"/>
      <c r="M9" s="82"/>
    </row>
    <row r="10" spans="1:13">
      <c r="A10" s="268"/>
      <c r="B10" s="73">
        <v>500</v>
      </c>
      <c r="C10" s="113">
        <v>3.8897927506608358E-2</v>
      </c>
      <c r="D10" s="113">
        <v>1.0799749312549003</v>
      </c>
      <c r="E10" s="113">
        <v>1.0406255490298018E-3</v>
      </c>
      <c r="F10" s="113">
        <v>0.34712417522482392</v>
      </c>
      <c r="G10" s="113">
        <v>0.1040828387327908</v>
      </c>
      <c r="H10" s="113">
        <v>106.02050023214386</v>
      </c>
      <c r="I10" s="113">
        <v>9.3912260611923714E-3</v>
      </c>
      <c r="J10" s="82"/>
      <c r="K10" s="82"/>
      <c r="L10" s="82"/>
      <c r="M10" s="82"/>
    </row>
    <row r="11" spans="1:13">
      <c r="A11" s="269"/>
      <c r="B11" s="73">
        <v>750</v>
      </c>
      <c r="C11" s="113">
        <v>6.5509575064624348E-2</v>
      </c>
      <c r="D11" s="113">
        <v>1.848764979398662</v>
      </c>
      <c r="E11" s="113">
        <v>1.7668986494167919E-3</v>
      </c>
      <c r="F11" s="113">
        <v>0.57357271429451673</v>
      </c>
      <c r="G11" s="113">
        <v>0.17421540945270575</v>
      </c>
      <c r="H11" s="113">
        <v>175.7281803441501</v>
      </c>
      <c r="I11" s="113">
        <v>1.5719177508701557E-2</v>
      </c>
      <c r="J11" s="82"/>
      <c r="K11" s="82"/>
      <c r="L11" s="82"/>
      <c r="M11" s="82"/>
    </row>
    <row r="12" spans="1:13">
      <c r="A12" s="115" t="s">
        <v>72</v>
      </c>
      <c r="B12" s="116"/>
      <c r="C12" s="117">
        <v>3.5177051053786844E-2</v>
      </c>
      <c r="D12" s="117">
        <v>5.9665072308112048E-4</v>
      </c>
      <c r="E12" s="117">
        <v>0.64524510042231387</v>
      </c>
      <c r="F12" s="117">
        <v>0.27109236284072202</v>
      </c>
      <c r="G12" s="117">
        <v>8.2388908027769409E-2</v>
      </c>
      <c r="H12" s="117">
        <v>54.241042872548739</v>
      </c>
      <c r="I12" s="117">
        <v>7.4338187915011485E-3</v>
      </c>
      <c r="J12" s="82"/>
      <c r="K12" s="82"/>
      <c r="L12" s="82"/>
      <c r="M12" s="82"/>
    </row>
    <row r="13" spans="1:13">
      <c r="A13" s="267" t="s">
        <v>73</v>
      </c>
      <c r="B13" s="73">
        <v>15</v>
      </c>
      <c r="C13" s="74">
        <v>2.9115697052641458E-3</v>
      </c>
      <c r="D13" s="74">
        <v>8.4263385790024915E-5</v>
      </c>
      <c r="E13" s="74">
        <v>3.9809757639339798E-2</v>
      </c>
      <c r="F13" s="74">
        <v>3.306408088459048E-2</v>
      </c>
      <c r="G13" s="74">
        <v>5.6630494179923056E-3</v>
      </c>
      <c r="H13" s="75">
        <v>5.4150772543818286</v>
      </c>
      <c r="I13" s="74">
        <v>5.1096782715228425E-4</v>
      </c>
      <c r="J13" s="82"/>
      <c r="K13" s="82"/>
      <c r="L13" s="82"/>
      <c r="M13" s="82"/>
    </row>
    <row r="14" spans="1:13">
      <c r="A14" s="268"/>
      <c r="B14" s="73">
        <v>25</v>
      </c>
      <c r="C14" s="74">
        <v>4.7945366832515945E-3</v>
      </c>
      <c r="D14" s="74">
        <v>1.128758562706901E-4</v>
      </c>
      <c r="E14" s="74">
        <v>7.5892661951970516E-2</v>
      </c>
      <c r="F14" s="74">
        <v>3.7255340545185534E-2</v>
      </c>
      <c r="G14" s="74">
        <v>1.1375099242657057E-2</v>
      </c>
      <c r="H14" s="75">
        <v>8.8961953622167425</v>
      </c>
      <c r="I14" s="74">
        <v>1.0263567480454641E-3</v>
      </c>
      <c r="J14" s="82"/>
      <c r="K14" s="82"/>
      <c r="L14" s="82"/>
      <c r="M14" s="82"/>
    </row>
    <row r="15" spans="1:13">
      <c r="A15" s="268"/>
      <c r="B15" s="73">
        <v>50</v>
      </c>
      <c r="C15" s="74">
        <v>1.9678929127726532E-2</v>
      </c>
      <c r="D15" s="74">
        <v>1.8500901469747813E-4</v>
      </c>
      <c r="E15" s="74">
        <v>0.15975703485143483</v>
      </c>
      <c r="F15" s="74">
        <v>0.20080774283762384</v>
      </c>
      <c r="G15" s="74">
        <v>8.9498175470055882E-2</v>
      </c>
      <c r="H15" s="75">
        <v>14.311271414459306</v>
      </c>
      <c r="I15" s="74">
        <v>8.0752770476874118E-3</v>
      </c>
      <c r="J15" s="82"/>
      <c r="K15" s="82"/>
      <c r="L15" s="82"/>
      <c r="M15" s="82"/>
    </row>
    <row r="16" spans="1:13">
      <c r="A16" s="268"/>
      <c r="B16" s="73">
        <v>120</v>
      </c>
      <c r="C16" s="74">
        <v>4.5517094028888462E-2</v>
      </c>
      <c r="D16" s="74">
        <v>3.9927885950968427E-4</v>
      </c>
      <c r="E16" s="74">
        <v>0.48082470392982685</v>
      </c>
      <c r="F16" s="74">
        <v>0.25127549070535399</v>
      </c>
      <c r="G16" s="74">
        <v>8.5507711337517334E-2</v>
      </c>
      <c r="H16" s="75">
        <v>34.037617509397613</v>
      </c>
      <c r="I16" s="74">
        <v>7.7152247003393253E-3</v>
      </c>
      <c r="J16" s="82"/>
      <c r="K16" s="82"/>
      <c r="L16" s="82"/>
      <c r="M16" s="82"/>
    </row>
    <row r="17" spans="1:13">
      <c r="A17" s="268"/>
      <c r="B17" s="73">
        <v>175</v>
      </c>
      <c r="C17" s="74">
        <v>4.5801239608550467E-2</v>
      </c>
      <c r="D17" s="74">
        <v>7.0938655264483549E-4</v>
      </c>
      <c r="E17" s="74">
        <v>0.80171330742564872</v>
      </c>
      <c r="F17" s="74">
        <v>0.37004635888695625</v>
      </c>
      <c r="G17" s="74">
        <v>0.10418616862452003</v>
      </c>
      <c r="H17" s="76">
        <v>63.046958416417397</v>
      </c>
      <c r="I17" s="74">
        <v>9.4005503975702533E-3</v>
      </c>
      <c r="J17" s="82"/>
      <c r="K17" s="82"/>
      <c r="L17" s="82"/>
      <c r="M17" s="82"/>
    </row>
    <row r="18" spans="1:13">
      <c r="A18" s="269"/>
      <c r="B18" s="73">
        <v>250</v>
      </c>
      <c r="C18" s="74">
        <v>2.7716145499424315E-2</v>
      </c>
      <c r="D18" s="74">
        <v>8.2689212897734917E-4</v>
      </c>
      <c r="E18" s="74">
        <v>0.86758398592211805</v>
      </c>
      <c r="F18" s="74">
        <v>0.19700593807139216</v>
      </c>
      <c r="G18" s="74">
        <v>7.5285353081696524E-2</v>
      </c>
      <c r="H18" s="76">
        <v>73.490304373016073</v>
      </c>
      <c r="I18" s="74">
        <v>6.7928773031373131E-3</v>
      </c>
      <c r="J18" s="82"/>
      <c r="K18" s="82"/>
      <c r="L18" s="82"/>
      <c r="M18" s="82"/>
    </row>
    <row r="19" spans="1:13">
      <c r="A19" s="115" t="s">
        <v>74</v>
      </c>
      <c r="B19" s="116"/>
      <c r="C19" s="117">
        <v>3.7147255526987881E-2</v>
      </c>
      <c r="D19" s="117">
        <v>4.1531581985680796E-4</v>
      </c>
      <c r="E19" s="117">
        <v>0.46617367731677423</v>
      </c>
      <c r="F19" s="117">
        <v>0.2572770935832312</v>
      </c>
      <c r="G19" s="117">
        <v>8.9059473249878993E-2</v>
      </c>
      <c r="H19" s="117">
        <v>35.626631656194583</v>
      </c>
      <c r="I19" s="117">
        <v>8.0356938903249249E-3</v>
      </c>
      <c r="J19" s="82"/>
      <c r="K19" s="82"/>
      <c r="L19" s="82"/>
      <c r="M19" s="82"/>
    </row>
    <row r="20" spans="1:13">
      <c r="A20" s="267" t="s">
        <v>62</v>
      </c>
      <c r="B20" s="73">
        <v>25</v>
      </c>
      <c r="C20" s="74">
        <v>4.2993834112443046E-3</v>
      </c>
      <c r="D20" s="74">
        <v>9.1296666664729092E-5</v>
      </c>
      <c r="E20" s="74">
        <v>6.5440342513322841E-2</v>
      </c>
      <c r="F20" s="74">
        <v>3.3633537377302694E-2</v>
      </c>
      <c r="G20" s="74">
        <v>1.1508495299417196E-2</v>
      </c>
      <c r="H20" s="75">
        <v>7.1954542544480447</v>
      </c>
      <c r="I20" s="74">
        <v>1.0383929582217567E-3</v>
      </c>
      <c r="J20" s="82"/>
      <c r="K20" s="82"/>
      <c r="L20" s="82"/>
      <c r="M20" s="82"/>
    </row>
    <row r="21" spans="1:13">
      <c r="A21" s="268"/>
      <c r="B21" s="73">
        <v>50</v>
      </c>
      <c r="C21" s="74">
        <v>1.7631372893573291E-2</v>
      </c>
      <c r="D21" s="74">
        <v>1.7794989554385782E-4</v>
      </c>
      <c r="E21" s="74">
        <v>0.14903250407403665</v>
      </c>
      <c r="F21" s="74">
        <v>0.18074298616110065</v>
      </c>
      <c r="G21" s="74">
        <v>7.6387078761989774E-2</v>
      </c>
      <c r="H21" s="75">
        <v>13.765214572120632</v>
      </c>
      <c r="I21" s="74">
        <v>6.8922839284147877E-3</v>
      </c>
      <c r="J21" s="82"/>
      <c r="K21" s="82"/>
      <c r="L21" s="82"/>
      <c r="M21" s="82"/>
    </row>
    <row r="22" spans="1:13">
      <c r="A22" s="268"/>
      <c r="B22" s="73">
        <v>120</v>
      </c>
      <c r="C22" s="74">
        <v>2.8793678975626062E-2</v>
      </c>
      <c r="D22" s="74">
        <v>2.7523820811752497E-4</v>
      </c>
      <c r="E22" s="74">
        <v>0.31658054663341589</v>
      </c>
      <c r="F22" s="74">
        <v>0.17000606424242778</v>
      </c>
      <c r="G22" s="74">
        <v>5.347757660811845E-2</v>
      </c>
      <c r="H22" s="75">
        <v>23.46343734007862</v>
      </c>
      <c r="I22" s="74">
        <v>4.8251946526192422E-3</v>
      </c>
      <c r="J22" s="82"/>
      <c r="K22" s="82"/>
      <c r="L22" s="82"/>
      <c r="M22" s="82"/>
    </row>
    <row r="23" spans="1:13">
      <c r="A23" s="268"/>
      <c r="B23" s="73">
        <v>175</v>
      </c>
      <c r="C23" s="74">
        <v>3.0494211856921132E-2</v>
      </c>
      <c r="D23" s="74">
        <v>5.1744770686997182E-4</v>
      </c>
      <c r="E23" s="74">
        <v>0.5481767178539948</v>
      </c>
      <c r="F23" s="74">
        <v>0.26843480692719468</v>
      </c>
      <c r="G23" s="74">
        <v>6.8627595472196185E-2</v>
      </c>
      <c r="H23" s="76">
        <v>45.988333064299916</v>
      </c>
      <c r="I23" s="74">
        <v>6.1921566825205547E-3</v>
      </c>
      <c r="J23" s="82"/>
      <c r="K23" s="82"/>
      <c r="L23" s="82"/>
      <c r="M23" s="82"/>
    </row>
    <row r="24" spans="1:13">
      <c r="A24" s="268"/>
      <c r="B24" s="73">
        <v>250</v>
      </c>
      <c r="C24" s="74">
        <v>2.9155277207407175E-2</v>
      </c>
      <c r="D24" s="74">
        <v>8.7649295057503588E-4</v>
      </c>
      <c r="E24" s="74">
        <v>0.87589260205192598</v>
      </c>
      <c r="F24" s="74">
        <v>0.21389122874888331</v>
      </c>
      <c r="G24" s="74">
        <v>7.7732271856787244E-2</v>
      </c>
      <c r="H24" s="76">
        <v>77.898614616801964</v>
      </c>
      <c r="I24" s="74">
        <v>7.0136590139017923E-3</v>
      </c>
      <c r="J24" s="82"/>
      <c r="K24" s="82"/>
      <c r="L24" s="82"/>
      <c r="M24" s="82"/>
    </row>
    <row r="25" spans="1:13">
      <c r="A25" s="268"/>
      <c r="B25" s="73">
        <v>500</v>
      </c>
      <c r="C25" s="74">
        <v>5.3371382581919348E-2</v>
      </c>
      <c r="D25" s="74">
        <v>1.7600257158411894E-3</v>
      </c>
      <c r="E25" s="74">
        <v>1.5318521928885238</v>
      </c>
      <c r="F25" s="74">
        <v>0.46619627890952509</v>
      </c>
      <c r="G25" s="74">
        <v>0.13941759834531142</v>
      </c>
      <c r="H25" s="76">
        <v>156.42290018391407</v>
      </c>
      <c r="I25" s="74">
        <v>1.2579426235098116E-2</v>
      </c>
      <c r="J25" s="82"/>
      <c r="K25" s="82"/>
      <c r="L25" s="82"/>
      <c r="M25" s="82"/>
    </row>
    <row r="26" spans="1:13">
      <c r="A26" s="269"/>
      <c r="B26" s="73">
        <v>750</v>
      </c>
      <c r="C26" s="74">
        <v>8.1348741656060763E-2</v>
      </c>
      <c r="D26" s="74">
        <v>2.6400393448571999E-3</v>
      </c>
      <c r="E26" s="74">
        <v>2.375581129318924</v>
      </c>
      <c r="F26" s="74">
        <v>0.69718233698749976</v>
      </c>
      <c r="G26" s="74">
        <v>0.21267838343155268</v>
      </c>
      <c r="H26" s="76">
        <v>234.63438258015915</v>
      </c>
      <c r="I26" s="74">
        <v>1.9189631928703061E-2</v>
      </c>
      <c r="J26" s="82"/>
      <c r="K26" s="82"/>
      <c r="L26" s="82"/>
      <c r="M26" s="82"/>
    </row>
    <row r="27" spans="1:13">
      <c r="A27" s="115" t="s">
        <v>75</v>
      </c>
      <c r="B27" s="116"/>
      <c r="C27" s="117">
        <v>2.8996101994216584E-2</v>
      </c>
      <c r="D27" s="117">
        <v>3.5159903488017939E-4</v>
      </c>
      <c r="E27" s="117">
        <v>0.37663356210363147</v>
      </c>
      <c r="F27" s="117">
        <v>0.18787735830615651</v>
      </c>
      <c r="G27" s="117">
        <v>5.9282609352764803E-2</v>
      </c>
      <c r="H27" s="117">
        <v>30.303160334307702</v>
      </c>
      <c r="I27" s="117">
        <v>5.3489736642256874E-3</v>
      </c>
      <c r="J27" s="82"/>
      <c r="K27" s="82"/>
      <c r="L27" s="82"/>
      <c r="M27" s="82"/>
    </row>
    <row r="28" spans="1:13">
      <c r="J28" s="82"/>
      <c r="K28" s="82"/>
      <c r="L28" s="82"/>
      <c r="M28" s="82"/>
    </row>
    <row r="29" spans="1:13">
      <c r="J29" s="82"/>
      <c r="K29" s="82"/>
      <c r="L29" s="82"/>
      <c r="M29" s="82"/>
    </row>
    <row r="30" spans="1:13">
      <c r="A30" s="264" t="s">
        <v>113</v>
      </c>
      <c r="B30" s="259"/>
      <c r="C30" s="259"/>
      <c r="D30" s="259"/>
      <c r="E30" s="259"/>
      <c r="F30" s="259"/>
      <c r="J30" s="82"/>
      <c r="K30" s="82"/>
      <c r="L30" s="82"/>
      <c r="M30" s="82"/>
    </row>
    <row r="31" spans="1:13">
      <c r="A31" s="265"/>
      <c r="B31" s="260"/>
      <c r="C31" s="260"/>
      <c r="D31" s="260"/>
      <c r="E31" s="260"/>
      <c r="F31" s="260"/>
      <c r="J31" s="82"/>
      <c r="K31" s="82"/>
      <c r="L31" s="82"/>
      <c r="M31" s="82"/>
    </row>
    <row r="32" spans="1:13">
      <c r="A32" s="265"/>
      <c r="B32" s="260"/>
      <c r="C32" s="260"/>
      <c r="D32" s="260"/>
      <c r="E32" s="260"/>
      <c r="F32" s="260"/>
      <c r="J32" s="82"/>
      <c r="K32" s="82"/>
      <c r="L32" s="82"/>
      <c r="M32" s="82"/>
    </row>
    <row r="33" spans="1:13" ht="15" customHeight="1">
      <c r="A33" s="265"/>
      <c r="B33" s="261" t="s">
        <v>131</v>
      </c>
      <c r="C33" s="261"/>
      <c r="D33" s="261"/>
      <c r="E33" s="261"/>
      <c r="F33" s="261"/>
      <c r="J33" s="82"/>
      <c r="K33" s="82"/>
      <c r="L33" s="82"/>
      <c r="M33" s="82"/>
    </row>
    <row r="34" spans="1:13">
      <c r="A34" s="265"/>
      <c r="B34" s="262"/>
      <c r="C34" s="262"/>
      <c r="D34" s="262"/>
      <c r="E34" s="262"/>
      <c r="F34" s="262"/>
      <c r="J34" s="82"/>
      <c r="K34" s="82"/>
      <c r="L34" s="82"/>
      <c r="M34" s="82"/>
    </row>
    <row r="35" spans="1:13">
      <c r="A35" s="265"/>
      <c r="B35" s="262"/>
      <c r="C35" s="262"/>
      <c r="D35" s="262"/>
      <c r="E35" s="262"/>
      <c r="F35" s="262"/>
      <c r="J35" s="82"/>
      <c r="K35" s="82"/>
      <c r="L35" s="82"/>
      <c r="M35" s="82"/>
    </row>
    <row r="36" spans="1:13">
      <c r="A36" s="266"/>
      <c r="B36" s="263"/>
      <c r="C36" s="263"/>
      <c r="D36" s="263"/>
      <c r="E36" s="263"/>
      <c r="F36" s="263"/>
      <c r="J36" s="82"/>
      <c r="K36" s="82"/>
      <c r="L36" s="82"/>
      <c r="M36" s="82"/>
    </row>
    <row r="37" spans="1:13">
      <c r="J37" s="82"/>
      <c r="K37" s="82"/>
      <c r="L37" s="82"/>
      <c r="M37" s="82"/>
    </row>
    <row r="38" spans="1:13">
      <c r="A38" s="1" t="s">
        <v>132</v>
      </c>
      <c r="J38" s="82"/>
      <c r="K38" s="82"/>
      <c r="L38" s="82"/>
      <c r="M38" s="82"/>
    </row>
    <row r="39" spans="1:13">
      <c r="A39" s="1" t="s">
        <v>133</v>
      </c>
      <c r="J39" s="82"/>
      <c r="K39" s="82"/>
      <c r="L39" s="82"/>
      <c r="M39" s="82"/>
    </row>
    <row r="40" spans="1:13">
      <c r="J40" s="82"/>
      <c r="K40" s="82"/>
      <c r="L40" s="82"/>
      <c r="M40" s="82"/>
    </row>
    <row r="41" spans="1:13">
      <c r="J41" s="82"/>
      <c r="K41" s="82"/>
      <c r="L41" s="82"/>
      <c r="M41" s="82"/>
    </row>
    <row r="42" spans="1:13">
      <c r="J42" s="82"/>
      <c r="K42" s="82"/>
      <c r="L42" s="82"/>
      <c r="M42" s="82"/>
    </row>
    <row r="43" spans="1:13">
      <c r="J43" s="82"/>
      <c r="K43" s="82"/>
      <c r="L43" s="82"/>
      <c r="M43" s="82"/>
    </row>
    <row r="44" spans="1:13">
      <c r="J44" s="82"/>
      <c r="K44" s="82"/>
      <c r="L44" s="82"/>
      <c r="M44" s="82"/>
    </row>
    <row r="45" spans="1:13">
      <c r="J45" s="82"/>
      <c r="K45" s="82"/>
      <c r="L45" s="82"/>
      <c r="M45" s="82"/>
    </row>
    <row r="46" spans="1:13">
      <c r="J46" s="82"/>
      <c r="K46" s="82"/>
      <c r="L46" s="82"/>
      <c r="M46" s="82"/>
    </row>
    <row r="47" spans="1:13">
      <c r="J47" s="82"/>
      <c r="K47" s="82"/>
      <c r="L47" s="82"/>
      <c r="M47" s="82"/>
    </row>
    <row r="48" spans="1:13">
      <c r="J48" s="82"/>
      <c r="K48" s="82"/>
      <c r="L48" s="82"/>
      <c r="M48" s="82"/>
    </row>
    <row r="49" spans="10:13">
      <c r="J49" s="82"/>
      <c r="K49" s="82"/>
      <c r="L49" s="82"/>
      <c r="M49" s="82"/>
    </row>
    <row r="50" spans="10:13">
      <c r="J50" s="82"/>
      <c r="K50" s="82"/>
      <c r="L50" s="82"/>
      <c r="M50" s="82"/>
    </row>
    <row r="51" spans="10:13">
      <c r="J51" s="82"/>
      <c r="K51" s="82"/>
      <c r="L51" s="82"/>
      <c r="M51" s="82"/>
    </row>
    <row r="52" spans="10:13">
      <c r="J52" s="82"/>
      <c r="K52" s="82"/>
      <c r="L52" s="82"/>
      <c r="M52" s="82"/>
    </row>
    <row r="53" spans="10:13">
      <c r="J53" s="82"/>
      <c r="K53" s="82"/>
      <c r="L53" s="82"/>
      <c r="M53" s="82"/>
    </row>
    <row r="54" spans="10:13">
      <c r="J54" s="82"/>
      <c r="K54" s="82"/>
      <c r="L54" s="82"/>
      <c r="M54" s="82"/>
    </row>
    <row r="55" spans="10:13">
      <c r="J55" s="82"/>
      <c r="K55" s="82"/>
      <c r="L55" s="82"/>
      <c r="M55" s="82"/>
    </row>
    <row r="56" spans="10:13">
      <c r="J56" s="82"/>
      <c r="K56" s="82"/>
      <c r="L56" s="82"/>
      <c r="M56" s="82"/>
    </row>
    <row r="57" spans="10:13">
      <c r="J57" s="82"/>
      <c r="K57" s="82"/>
      <c r="L57" s="82"/>
      <c r="M57" s="82"/>
    </row>
    <row r="58" spans="10:13">
      <c r="J58" s="82"/>
      <c r="K58" s="82"/>
      <c r="L58" s="82"/>
      <c r="M58" s="82"/>
    </row>
    <row r="59" spans="10:13">
      <c r="J59" s="82"/>
      <c r="K59" s="82"/>
      <c r="L59" s="82"/>
      <c r="M59" s="82"/>
    </row>
    <row r="60" spans="10:13">
      <c r="J60" s="82"/>
      <c r="K60" s="82"/>
      <c r="L60" s="82"/>
      <c r="M60" s="82"/>
    </row>
    <row r="61" spans="10:13">
      <c r="J61" s="82"/>
      <c r="K61" s="82"/>
      <c r="L61" s="82"/>
      <c r="M61" s="82"/>
    </row>
    <row r="62" spans="10:13">
      <c r="J62" s="82"/>
      <c r="K62" s="82"/>
      <c r="L62" s="82"/>
      <c r="M62" s="82"/>
    </row>
    <row r="63" spans="10:13">
      <c r="J63" s="82"/>
      <c r="K63" s="82"/>
      <c r="L63" s="82"/>
      <c r="M63" s="82"/>
    </row>
    <row r="64" spans="10:13">
      <c r="J64" s="82"/>
      <c r="K64" s="82"/>
      <c r="L64" s="82"/>
      <c r="M64" s="82"/>
    </row>
    <row r="65" spans="10:13">
      <c r="J65" s="82"/>
      <c r="K65" s="82"/>
      <c r="L65" s="82"/>
      <c r="M65" s="82"/>
    </row>
    <row r="66" spans="10:13">
      <c r="J66" s="82"/>
      <c r="K66" s="82"/>
      <c r="L66" s="82"/>
      <c r="M66" s="82"/>
    </row>
    <row r="67" spans="10:13">
      <c r="J67" s="82"/>
      <c r="K67" s="82"/>
      <c r="L67" s="82"/>
      <c r="M67" s="82"/>
    </row>
    <row r="68" spans="10:13">
      <c r="J68" s="82"/>
      <c r="K68" s="82"/>
      <c r="L68" s="82"/>
      <c r="M68" s="82"/>
    </row>
    <row r="69" spans="10:13">
      <c r="J69" s="82"/>
      <c r="K69" s="82"/>
      <c r="L69" s="82"/>
      <c r="M69" s="82"/>
    </row>
    <row r="70" spans="10:13">
      <c r="J70" s="82"/>
      <c r="K70" s="82"/>
      <c r="L70" s="82"/>
      <c r="M70" s="82"/>
    </row>
    <row r="71" spans="10:13">
      <c r="J71" s="82"/>
      <c r="K71" s="82"/>
      <c r="L71" s="82"/>
      <c r="M71" s="82"/>
    </row>
    <row r="72" spans="10:13">
      <c r="J72" s="82"/>
      <c r="K72" s="82"/>
      <c r="L72" s="82"/>
      <c r="M72" s="82"/>
    </row>
    <row r="73" spans="10:13">
      <c r="J73" s="82"/>
      <c r="K73" s="82"/>
      <c r="L73" s="82"/>
      <c r="M73" s="82"/>
    </row>
    <row r="74" spans="10:13">
      <c r="J74" s="82"/>
      <c r="K74" s="82"/>
      <c r="L74" s="82"/>
      <c r="M74" s="82"/>
    </row>
    <row r="75" spans="10:13">
      <c r="J75" s="82"/>
      <c r="K75" s="82"/>
      <c r="L75" s="82"/>
      <c r="M75" s="82"/>
    </row>
    <row r="76" spans="10:13">
      <c r="J76" s="82"/>
      <c r="K76" s="82"/>
      <c r="L76" s="82"/>
      <c r="M76" s="82"/>
    </row>
    <row r="77" spans="10:13">
      <c r="J77" s="82"/>
      <c r="K77" s="82"/>
      <c r="L77" s="82"/>
      <c r="M77" s="82"/>
    </row>
    <row r="78" spans="10:13">
      <c r="J78" s="82"/>
      <c r="K78" s="82"/>
      <c r="L78" s="82"/>
      <c r="M78" s="82"/>
    </row>
    <row r="79" spans="10:13">
      <c r="J79" s="82"/>
      <c r="K79" s="82"/>
      <c r="L79" s="82"/>
      <c r="M79" s="82"/>
    </row>
    <row r="80" spans="10:13">
      <c r="J80" s="82"/>
      <c r="K80" s="82"/>
      <c r="L80" s="82"/>
      <c r="M80" s="82"/>
    </row>
    <row r="81" spans="10:13">
      <c r="J81" s="82"/>
      <c r="K81" s="82"/>
      <c r="L81" s="82"/>
      <c r="M81" s="82"/>
    </row>
    <row r="82" spans="10:13">
      <c r="J82" s="82"/>
      <c r="K82" s="82"/>
      <c r="L82" s="82"/>
      <c r="M82" s="82"/>
    </row>
    <row r="83" spans="10:13">
      <c r="J83" s="82"/>
      <c r="K83" s="82"/>
      <c r="L83" s="82"/>
      <c r="M83" s="82"/>
    </row>
    <row r="84" spans="10:13">
      <c r="J84" s="82"/>
      <c r="K84" s="82"/>
      <c r="L84" s="82"/>
      <c r="M84" s="82"/>
    </row>
    <row r="85" spans="10:13">
      <c r="J85" s="82"/>
      <c r="K85" s="82"/>
      <c r="L85" s="82"/>
      <c r="M85" s="82"/>
    </row>
    <row r="86" spans="10:13">
      <c r="J86" s="82"/>
      <c r="K86" s="82"/>
      <c r="L86" s="82"/>
      <c r="M86" s="82"/>
    </row>
    <row r="87" spans="10:13">
      <c r="J87" s="82"/>
      <c r="K87" s="82"/>
      <c r="L87" s="82"/>
      <c r="M87" s="82"/>
    </row>
    <row r="88" spans="10:13">
      <c r="J88" s="82"/>
      <c r="K88" s="82"/>
      <c r="L88" s="82"/>
      <c r="M88" s="82"/>
    </row>
    <row r="89" spans="10:13">
      <c r="J89" s="82"/>
      <c r="K89" s="82"/>
      <c r="L89" s="82"/>
      <c r="M89" s="82"/>
    </row>
    <row r="90" spans="10:13">
      <c r="J90" s="82"/>
      <c r="K90" s="82"/>
      <c r="L90" s="82"/>
      <c r="M90" s="82"/>
    </row>
    <row r="91" spans="10:13">
      <c r="J91" s="82"/>
      <c r="K91" s="82"/>
      <c r="L91" s="82"/>
      <c r="M91" s="82"/>
    </row>
    <row r="92" spans="10:13">
      <c r="J92" s="82"/>
      <c r="K92" s="82"/>
      <c r="L92" s="82"/>
      <c r="M92" s="82"/>
    </row>
    <row r="93" spans="10:13">
      <c r="J93" s="82"/>
      <c r="K93" s="82"/>
      <c r="L93" s="82"/>
      <c r="M93" s="82"/>
    </row>
    <row r="94" spans="10:13">
      <c r="J94" s="82"/>
      <c r="K94" s="82"/>
      <c r="L94" s="82"/>
      <c r="M94" s="82"/>
    </row>
    <row r="95" spans="10:13">
      <c r="J95" s="82"/>
      <c r="K95" s="82"/>
      <c r="L95" s="82"/>
      <c r="M95" s="82"/>
    </row>
    <row r="96" spans="10:13">
      <c r="J96" s="82"/>
      <c r="K96" s="82"/>
      <c r="L96" s="82"/>
      <c r="M96" s="82"/>
    </row>
    <row r="97" spans="10:13">
      <c r="J97" s="82"/>
      <c r="K97" s="82"/>
      <c r="L97" s="82"/>
      <c r="M97" s="82"/>
    </row>
    <row r="98" spans="10:13">
      <c r="J98" s="82"/>
      <c r="K98" s="82"/>
      <c r="L98" s="82"/>
      <c r="M98" s="82"/>
    </row>
    <row r="99" spans="10:13">
      <c r="J99" s="82"/>
      <c r="K99" s="82"/>
      <c r="L99" s="82"/>
      <c r="M99" s="82"/>
    </row>
    <row r="100" spans="10:13">
      <c r="J100" s="82"/>
      <c r="K100" s="82"/>
      <c r="L100" s="82"/>
      <c r="M100" s="82"/>
    </row>
    <row r="101" spans="10:13">
      <c r="J101" s="82"/>
      <c r="K101" s="82"/>
      <c r="L101" s="82"/>
      <c r="M101" s="82"/>
    </row>
    <row r="102" spans="10:13">
      <c r="J102" s="82"/>
      <c r="K102" s="82"/>
      <c r="L102" s="82"/>
      <c r="M102" s="82"/>
    </row>
    <row r="103" spans="10:13">
      <c r="J103" s="82"/>
      <c r="K103" s="82"/>
      <c r="L103" s="82"/>
      <c r="M103" s="82"/>
    </row>
    <row r="104" spans="10:13">
      <c r="J104" s="82"/>
      <c r="K104" s="82"/>
      <c r="L104" s="82"/>
      <c r="M104" s="82"/>
    </row>
    <row r="105" spans="10:13">
      <c r="J105" s="82"/>
      <c r="K105" s="82"/>
      <c r="L105" s="82"/>
      <c r="M105" s="82"/>
    </row>
    <row r="106" spans="10:13">
      <c r="J106" s="82"/>
      <c r="K106" s="82"/>
      <c r="L106" s="82"/>
      <c r="M106" s="82"/>
    </row>
    <row r="107" spans="10:13">
      <c r="J107" s="82"/>
      <c r="K107" s="82"/>
      <c r="L107" s="82"/>
      <c r="M107" s="82"/>
    </row>
    <row r="108" spans="10:13">
      <c r="J108" s="82"/>
      <c r="K108" s="82"/>
      <c r="L108" s="82"/>
      <c r="M108" s="82"/>
    </row>
    <row r="109" spans="10:13">
      <c r="J109" s="82"/>
      <c r="K109" s="82"/>
      <c r="L109" s="82"/>
      <c r="M109" s="82"/>
    </row>
    <row r="110" spans="10:13">
      <c r="J110" s="82"/>
      <c r="K110" s="82"/>
      <c r="L110" s="82"/>
      <c r="M110" s="82"/>
    </row>
    <row r="111" spans="10:13">
      <c r="J111" s="82"/>
      <c r="K111" s="82"/>
      <c r="L111" s="82"/>
      <c r="M111" s="82"/>
    </row>
    <row r="112" spans="10:13">
      <c r="J112" s="82"/>
      <c r="K112" s="82"/>
      <c r="L112" s="82"/>
      <c r="M112" s="82"/>
    </row>
    <row r="113" spans="10:13">
      <c r="J113" s="82"/>
      <c r="K113" s="82"/>
      <c r="L113" s="82"/>
      <c r="M113" s="82"/>
    </row>
    <row r="114" spans="10:13">
      <c r="J114" s="82"/>
      <c r="K114" s="82"/>
      <c r="L114" s="82"/>
      <c r="M114" s="82"/>
    </row>
    <row r="115" spans="10:13">
      <c r="J115" s="82"/>
      <c r="K115" s="82"/>
      <c r="L115" s="82"/>
      <c r="M115" s="82"/>
    </row>
    <row r="116" spans="10:13">
      <c r="J116" s="82"/>
      <c r="K116" s="82"/>
      <c r="L116" s="82"/>
      <c r="M116" s="82"/>
    </row>
    <row r="117" spans="10:13">
      <c r="J117" s="82"/>
      <c r="K117" s="82"/>
      <c r="L117" s="82"/>
      <c r="M117" s="82"/>
    </row>
    <row r="118" spans="10:13">
      <c r="J118" s="82"/>
      <c r="K118" s="82"/>
      <c r="L118" s="82"/>
      <c r="M118" s="82"/>
    </row>
    <row r="119" spans="10:13">
      <c r="J119" s="82"/>
      <c r="K119" s="82"/>
      <c r="L119" s="82"/>
      <c r="M119" s="82"/>
    </row>
    <row r="120" spans="10:13">
      <c r="J120" s="82"/>
      <c r="K120" s="82"/>
      <c r="L120" s="82"/>
      <c r="M120" s="82"/>
    </row>
    <row r="121" spans="10:13">
      <c r="J121" s="82"/>
      <c r="K121" s="82"/>
      <c r="L121" s="82"/>
      <c r="M121" s="82"/>
    </row>
    <row r="122" spans="10:13">
      <c r="J122" s="82"/>
      <c r="K122" s="82"/>
      <c r="L122" s="82"/>
      <c r="M122" s="82"/>
    </row>
    <row r="123" spans="10:13">
      <c r="J123" s="82"/>
      <c r="K123" s="82"/>
      <c r="L123" s="82"/>
      <c r="M123" s="82"/>
    </row>
    <row r="124" spans="10:13">
      <c r="J124" s="82"/>
      <c r="K124" s="82"/>
      <c r="L124" s="82"/>
      <c r="M124" s="82"/>
    </row>
    <row r="125" spans="10:13">
      <c r="J125" s="82"/>
      <c r="K125" s="82"/>
      <c r="L125" s="82"/>
      <c r="M125" s="82"/>
    </row>
    <row r="126" spans="10:13">
      <c r="J126" s="82"/>
      <c r="K126" s="82"/>
      <c r="L126" s="82"/>
      <c r="M126" s="82"/>
    </row>
    <row r="127" spans="10:13">
      <c r="J127" s="82"/>
      <c r="K127" s="82"/>
      <c r="L127" s="82"/>
      <c r="M127" s="82"/>
    </row>
    <row r="128" spans="10:13">
      <c r="J128" s="82"/>
      <c r="K128" s="82"/>
      <c r="L128" s="82"/>
      <c r="M128" s="82"/>
    </row>
    <row r="129" spans="10:13">
      <c r="J129" s="82"/>
      <c r="K129" s="82"/>
      <c r="L129" s="82"/>
      <c r="M129" s="82"/>
    </row>
    <row r="130" spans="10:13">
      <c r="J130" s="82"/>
      <c r="K130" s="82"/>
      <c r="L130" s="82"/>
      <c r="M130" s="82"/>
    </row>
    <row r="131" spans="10:13">
      <c r="J131" s="82"/>
      <c r="K131" s="82"/>
      <c r="L131" s="82"/>
      <c r="M131" s="82"/>
    </row>
    <row r="132" spans="10:13">
      <c r="J132" s="82"/>
      <c r="K132" s="82"/>
      <c r="L132" s="82"/>
      <c r="M132" s="82"/>
    </row>
    <row r="133" spans="10:13">
      <c r="J133" s="82"/>
      <c r="K133" s="82"/>
      <c r="L133" s="82"/>
      <c r="M133" s="82"/>
    </row>
    <row r="134" spans="10:13">
      <c r="J134" s="82"/>
      <c r="K134" s="82"/>
      <c r="L134" s="82"/>
      <c r="M134" s="82"/>
    </row>
    <row r="135" spans="10:13">
      <c r="J135" s="82"/>
      <c r="K135" s="82"/>
      <c r="L135" s="82"/>
      <c r="M135" s="82"/>
    </row>
    <row r="136" spans="10:13">
      <c r="J136" s="82"/>
      <c r="K136" s="82"/>
      <c r="L136" s="82"/>
      <c r="M136" s="82"/>
    </row>
    <row r="137" spans="10:13">
      <c r="J137" s="82"/>
      <c r="K137" s="82"/>
      <c r="L137" s="82"/>
      <c r="M137" s="82"/>
    </row>
    <row r="138" spans="10:13">
      <c r="J138" s="82"/>
      <c r="K138" s="82"/>
      <c r="L138" s="82"/>
      <c r="M138" s="82"/>
    </row>
    <row r="139" spans="10:13">
      <c r="J139" s="82"/>
      <c r="K139" s="82"/>
      <c r="L139" s="82"/>
      <c r="M139" s="82"/>
    </row>
    <row r="140" spans="10:13">
      <c r="J140" s="82"/>
      <c r="K140" s="82"/>
      <c r="L140" s="82"/>
      <c r="M140" s="82"/>
    </row>
    <row r="141" spans="10:13">
      <c r="J141" s="82"/>
      <c r="K141" s="82"/>
      <c r="L141" s="82"/>
      <c r="M141" s="82"/>
    </row>
    <row r="142" spans="10:13">
      <c r="J142" s="82"/>
      <c r="K142" s="82"/>
      <c r="L142" s="82"/>
      <c r="M142" s="82"/>
    </row>
    <row r="143" spans="10:13">
      <c r="J143" s="82"/>
      <c r="K143" s="82"/>
      <c r="L143" s="82"/>
      <c r="M143" s="82"/>
    </row>
    <row r="144" spans="10:13">
      <c r="J144" s="82"/>
      <c r="K144" s="82"/>
      <c r="L144" s="82"/>
      <c r="M144" s="82"/>
    </row>
    <row r="145" spans="10:13">
      <c r="J145" s="82"/>
      <c r="K145" s="82"/>
      <c r="L145" s="82"/>
      <c r="M145" s="82"/>
    </row>
    <row r="146" spans="10:13">
      <c r="J146" s="82"/>
      <c r="K146" s="82"/>
      <c r="L146" s="82"/>
      <c r="M146" s="82"/>
    </row>
    <row r="147" spans="10:13">
      <c r="J147" s="82"/>
      <c r="K147" s="82"/>
      <c r="L147" s="82"/>
      <c r="M147" s="82"/>
    </row>
    <row r="148" spans="10:13">
      <c r="J148" s="82"/>
      <c r="K148" s="82"/>
      <c r="L148" s="82"/>
      <c r="M148" s="82"/>
    </row>
    <row r="149" spans="10:13">
      <c r="J149" s="82"/>
      <c r="K149" s="82"/>
      <c r="L149" s="82"/>
      <c r="M149" s="82"/>
    </row>
    <row r="150" spans="10:13">
      <c r="J150" s="82"/>
      <c r="K150" s="82"/>
      <c r="L150" s="82"/>
      <c r="M150" s="82"/>
    </row>
    <row r="151" spans="10:13">
      <c r="J151" s="82"/>
      <c r="K151" s="82"/>
      <c r="L151" s="82"/>
      <c r="M151" s="82"/>
    </row>
    <row r="152" spans="10:13">
      <c r="J152" s="82"/>
      <c r="K152" s="82"/>
      <c r="L152" s="82"/>
      <c r="M152" s="82"/>
    </row>
    <row r="153" spans="10:13">
      <c r="J153" s="82"/>
      <c r="K153" s="82"/>
      <c r="L153" s="82"/>
      <c r="M153" s="82"/>
    </row>
    <row r="154" spans="10:13">
      <c r="J154" s="82"/>
      <c r="K154" s="82"/>
      <c r="L154" s="82"/>
      <c r="M154" s="82"/>
    </row>
    <row r="155" spans="10:13">
      <c r="J155" s="82"/>
      <c r="K155" s="82"/>
      <c r="L155" s="82"/>
      <c r="M155" s="82"/>
    </row>
    <row r="156" spans="10:13">
      <c r="J156" s="82"/>
      <c r="K156" s="82"/>
      <c r="L156" s="82"/>
      <c r="M156" s="82"/>
    </row>
    <row r="157" spans="10:13">
      <c r="J157" s="82"/>
      <c r="K157" s="82"/>
      <c r="L157" s="82"/>
      <c r="M157" s="82"/>
    </row>
    <row r="158" spans="10:13">
      <c r="J158" s="82"/>
      <c r="K158" s="82"/>
      <c r="L158" s="82"/>
      <c r="M158" s="82"/>
    </row>
    <row r="159" spans="10:13">
      <c r="J159" s="82"/>
      <c r="K159" s="82"/>
      <c r="L159" s="82"/>
      <c r="M159" s="82"/>
    </row>
    <row r="160" spans="10:13">
      <c r="J160" s="82"/>
      <c r="K160" s="82"/>
      <c r="L160" s="82"/>
      <c r="M160" s="82"/>
    </row>
    <row r="161" spans="10:13">
      <c r="J161" s="82"/>
      <c r="K161" s="82"/>
      <c r="L161" s="82"/>
      <c r="M161" s="82"/>
    </row>
    <row r="162" spans="10:13">
      <c r="J162" s="82"/>
      <c r="K162" s="82"/>
      <c r="L162" s="82"/>
      <c r="M162" s="82"/>
    </row>
    <row r="163" spans="10:13">
      <c r="J163" s="82"/>
      <c r="K163" s="82"/>
      <c r="L163" s="82"/>
      <c r="M163" s="82"/>
    </row>
    <row r="164" spans="10:13">
      <c r="J164" s="82"/>
      <c r="K164" s="82"/>
      <c r="L164" s="82"/>
      <c r="M164" s="82"/>
    </row>
    <row r="165" spans="10:13">
      <c r="J165" s="82"/>
      <c r="K165" s="82"/>
      <c r="L165" s="82"/>
      <c r="M165" s="82"/>
    </row>
    <row r="166" spans="10:13">
      <c r="J166" s="82"/>
      <c r="K166" s="82"/>
      <c r="L166" s="82"/>
      <c r="M166" s="82"/>
    </row>
    <row r="167" spans="10:13">
      <c r="J167" s="82"/>
      <c r="K167" s="82"/>
      <c r="L167" s="82"/>
      <c r="M167" s="82"/>
    </row>
    <row r="168" spans="10:13">
      <c r="J168" s="82"/>
      <c r="K168" s="82"/>
      <c r="L168" s="82"/>
      <c r="M168" s="82"/>
    </row>
    <row r="169" spans="10:13">
      <c r="J169" s="82"/>
      <c r="K169" s="82"/>
      <c r="L169" s="82"/>
      <c r="M169" s="82"/>
    </row>
    <row r="170" spans="10:13">
      <c r="J170" s="82"/>
      <c r="K170" s="82"/>
      <c r="L170" s="82"/>
      <c r="M170" s="82"/>
    </row>
    <row r="171" spans="10:13">
      <c r="J171" s="82"/>
      <c r="K171" s="82"/>
      <c r="L171" s="82"/>
      <c r="M171" s="82"/>
    </row>
    <row r="172" spans="10:13">
      <c r="J172" s="82"/>
      <c r="K172" s="82"/>
      <c r="L172" s="82"/>
      <c r="M172" s="82"/>
    </row>
    <row r="173" spans="10:13">
      <c r="J173" s="82"/>
      <c r="K173" s="82"/>
      <c r="L173" s="82"/>
      <c r="M173" s="82"/>
    </row>
    <row r="174" spans="10:13">
      <c r="J174" s="82"/>
      <c r="K174" s="82"/>
      <c r="L174" s="82"/>
      <c r="M174" s="82"/>
    </row>
    <row r="175" spans="10:13">
      <c r="J175" s="82"/>
      <c r="K175" s="82"/>
      <c r="L175" s="82"/>
      <c r="M175" s="82"/>
    </row>
    <row r="176" spans="10:13">
      <c r="J176" s="82"/>
      <c r="K176" s="82"/>
      <c r="L176" s="82"/>
      <c r="M176" s="82"/>
    </row>
    <row r="177" spans="10:13">
      <c r="J177" s="82"/>
      <c r="K177" s="82"/>
      <c r="L177" s="82"/>
      <c r="M177" s="82"/>
    </row>
    <row r="178" spans="10:13">
      <c r="J178" s="82"/>
      <c r="K178" s="82"/>
      <c r="L178" s="82"/>
      <c r="M178" s="82"/>
    </row>
    <row r="179" spans="10:13">
      <c r="J179" s="82"/>
      <c r="K179" s="82"/>
      <c r="L179" s="82"/>
      <c r="M179" s="82"/>
    </row>
    <row r="180" spans="10:13">
      <c r="J180" s="82"/>
      <c r="K180" s="82"/>
      <c r="L180" s="82"/>
      <c r="M180" s="82"/>
    </row>
    <row r="181" spans="10:13">
      <c r="J181" s="82"/>
      <c r="K181" s="82"/>
      <c r="L181" s="82"/>
      <c r="M181" s="82"/>
    </row>
    <row r="182" spans="10:13">
      <c r="J182" s="82"/>
      <c r="K182" s="82"/>
      <c r="L182" s="82"/>
      <c r="M182" s="82"/>
    </row>
    <row r="183" spans="10:13">
      <c r="J183" s="82"/>
      <c r="K183" s="82"/>
      <c r="L183" s="82"/>
      <c r="M183" s="82"/>
    </row>
    <row r="184" spans="10:13">
      <c r="J184" s="82"/>
      <c r="K184" s="82"/>
      <c r="L184" s="82"/>
      <c r="M184" s="82"/>
    </row>
    <row r="185" spans="10:13">
      <c r="J185" s="82"/>
      <c r="K185" s="82"/>
      <c r="L185" s="82"/>
      <c r="M185" s="82"/>
    </row>
    <row r="186" spans="10:13">
      <c r="J186" s="82"/>
      <c r="K186" s="82"/>
      <c r="L186" s="82"/>
      <c r="M186" s="82"/>
    </row>
    <row r="187" spans="10:13">
      <c r="J187" s="82"/>
      <c r="K187" s="82"/>
      <c r="L187" s="82"/>
      <c r="M187" s="82"/>
    </row>
    <row r="188" spans="10:13">
      <c r="J188" s="82"/>
      <c r="K188" s="82"/>
      <c r="L188" s="82"/>
      <c r="M188" s="82"/>
    </row>
    <row r="189" spans="10:13">
      <c r="J189" s="82"/>
      <c r="K189" s="82"/>
      <c r="L189" s="82"/>
      <c r="M189" s="82"/>
    </row>
    <row r="190" spans="10:13">
      <c r="J190" s="82"/>
      <c r="K190" s="82"/>
      <c r="L190" s="82"/>
      <c r="M190" s="82"/>
    </row>
    <row r="191" spans="10:13">
      <c r="J191" s="82"/>
      <c r="K191" s="82"/>
      <c r="L191" s="82"/>
      <c r="M191" s="82"/>
    </row>
    <row r="192" spans="10:13">
      <c r="J192" s="82"/>
      <c r="K192" s="82"/>
      <c r="L192" s="82"/>
      <c r="M192" s="82"/>
    </row>
    <row r="193" spans="10:13">
      <c r="J193" s="82"/>
      <c r="K193" s="82"/>
      <c r="L193" s="82"/>
      <c r="M193" s="82"/>
    </row>
    <row r="194" spans="10:13">
      <c r="J194" s="82"/>
      <c r="K194" s="82"/>
      <c r="L194" s="82"/>
      <c r="M194" s="82"/>
    </row>
    <row r="195" spans="10:13">
      <c r="J195" s="82"/>
      <c r="K195" s="82"/>
      <c r="L195" s="82"/>
      <c r="M195" s="82"/>
    </row>
    <row r="196" spans="10:13">
      <c r="J196" s="82"/>
      <c r="K196" s="82"/>
      <c r="L196" s="82"/>
      <c r="M196" s="82"/>
    </row>
    <row r="197" spans="10:13">
      <c r="J197" s="82"/>
      <c r="K197" s="82"/>
      <c r="L197" s="82"/>
      <c r="M197" s="82"/>
    </row>
    <row r="198" spans="10:13">
      <c r="J198" s="82"/>
      <c r="K198" s="82"/>
      <c r="L198" s="82"/>
      <c r="M198" s="82"/>
    </row>
    <row r="199" spans="10:13">
      <c r="J199" s="82"/>
      <c r="K199" s="82"/>
      <c r="L199" s="82"/>
      <c r="M199" s="82"/>
    </row>
    <row r="200" spans="10:13">
      <c r="J200" s="82"/>
      <c r="K200" s="82"/>
      <c r="L200" s="82"/>
      <c r="M200" s="82"/>
    </row>
    <row r="201" spans="10:13">
      <c r="J201" s="82"/>
      <c r="K201" s="82"/>
      <c r="L201" s="82"/>
      <c r="M201" s="82"/>
    </row>
    <row r="202" spans="10:13">
      <c r="J202" s="82"/>
      <c r="K202" s="82"/>
      <c r="L202" s="82"/>
      <c r="M202" s="82"/>
    </row>
    <row r="203" spans="10:13">
      <c r="J203" s="82"/>
      <c r="K203" s="82"/>
      <c r="L203" s="82"/>
      <c r="M203" s="82"/>
    </row>
    <row r="204" spans="10:13">
      <c r="J204" s="82"/>
      <c r="K204" s="82"/>
      <c r="L204" s="82"/>
      <c r="M204" s="82"/>
    </row>
    <row r="205" spans="10:13">
      <c r="J205" s="82"/>
      <c r="K205" s="82"/>
      <c r="L205" s="82"/>
      <c r="M205" s="82"/>
    </row>
    <row r="206" spans="10:13">
      <c r="J206" s="82"/>
      <c r="K206" s="82"/>
      <c r="L206" s="82"/>
      <c r="M206" s="82"/>
    </row>
    <row r="207" spans="10:13">
      <c r="J207" s="82"/>
      <c r="K207" s="82"/>
      <c r="L207" s="82"/>
      <c r="M207" s="82"/>
    </row>
    <row r="208" spans="10:13">
      <c r="J208" s="82"/>
      <c r="K208" s="82"/>
      <c r="L208" s="82"/>
      <c r="M208" s="82"/>
    </row>
    <row r="209" spans="10:13">
      <c r="J209" s="82"/>
      <c r="K209" s="82"/>
      <c r="L209" s="82"/>
      <c r="M209" s="82"/>
    </row>
    <row r="210" spans="10:13">
      <c r="J210" s="82"/>
      <c r="K210" s="82"/>
      <c r="L210" s="82"/>
      <c r="M210" s="82"/>
    </row>
    <row r="211" spans="10:13">
      <c r="J211" s="82"/>
      <c r="K211" s="82"/>
      <c r="L211" s="82"/>
      <c r="M211" s="82"/>
    </row>
    <row r="212" spans="10:13">
      <c r="J212" s="82"/>
      <c r="K212" s="82"/>
      <c r="L212" s="82"/>
      <c r="M212" s="82"/>
    </row>
    <row r="213" spans="10:13">
      <c r="J213" s="82"/>
      <c r="K213" s="82"/>
      <c r="L213" s="82"/>
      <c r="M213" s="82"/>
    </row>
    <row r="214" spans="10:13">
      <c r="J214" s="82"/>
      <c r="K214" s="82"/>
      <c r="L214" s="82"/>
      <c r="M214" s="82"/>
    </row>
    <row r="215" spans="10:13">
      <c r="J215" s="82"/>
      <c r="K215" s="82"/>
      <c r="L215" s="82"/>
      <c r="M215" s="82"/>
    </row>
    <row r="216" spans="10:13">
      <c r="J216" s="82"/>
      <c r="K216" s="82"/>
      <c r="L216" s="82"/>
      <c r="M216" s="82"/>
    </row>
    <row r="217" spans="10:13">
      <c r="J217" s="82"/>
      <c r="K217" s="82"/>
      <c r="L217" s="82"/>
      <c r="M217" s="82"/>
    </row>
    <row r="218" spans="10:13">
      <c r="J218" s="82"/>
      <c r="K218" s="82"/>
      <c r="L218" s="82"/>
      <c r="M218" s="82"/>
    </row>
    <row r="219" spans="10:13">
      <c r="J219" s="82"/>
      <c r="K219" s="82"/>
      <c r="L219" s="82"/>
      <c r="M219" s="82"/>
    </row>
    <row r="220" spans="10:13">
      <c r="J220" s="82"/>
      <c r="K220" s="82"/>
      <c r="L220" s="82"/>
      <c r="M220" s="82"/>
    </row>
    <row r="221" spans="10:13">
      <c r="J221" s="82"/>
      <c r="K221" s="82"/>
      <c r="L221" s="82"/>
      <c r="M221" s="82"/>
    </row>
    <row r="222" spans="10:13">
      <c r="J222" s="82"/>
      <c r="K222" s="82"/>
      <c r="L222" s="82"/>
      <c r="M222" s="82"/>
    </row>
    <row r="223" spans="10:13">
      <c r="J223" s="82"/>
      <c r="K223" s="82"/>
      <c r="L223" s="82"/>
      <c r="M223" s="82"/>
    </row>
    <row r="224" spans="10:13">
      <c r="J224" s="82"/>
      <c r="K224" s="82"/>
      <c r="L224" s="82"/>
      <c r="M224" s="82"/>
    </row>
    <row r="225" spans="10:13">
      <c r="J225" s="82"/>
      <c r="K225" s="82"/>
      <c r="L225" s="82"/>
      <c r="M225" s="82"/>
    </row>
    <row r="226" spans="10:13">
      <c r="J226" s="82"/>
      <c r="K226" s="82"/>
      <c r="L226" s="82"/>
      <c r="M226" s="82"/>
    </row>
    <row r="227" spans="10:13">
      <c r="J227" s="82"/>
      <c r="K227" s="82"/>
      <c r="L227" s="82"/>
      <c r="M227" s="82"/>
    </row>
    <row r="228" spans="10:13">
      <c r="J228" s="82"/>
      <c r="K228" s="82"/>
      <c r="L228" s="82"/>
      <c r="M228" s="82"/>
    </row>
    <row r="229" spans="10:13">
      <c r="J229" s="82"/>
      <c r="K229" s="82"/>
      <c r="L229" s="82"/>
      <c r="M229" s="82"/>
    </row>
    <row r="230" spans="10:13">
      <c r="J230" s="82"/>
      <c r="K230" s="82"/>
      <c r="L230" s="82"/>
      <c r="M230" s="82"/>
    </row>
    <row r="231" spans="10:13">
      <c r="J231" s="82"/>
      <c r="K231" s="82"/>
      <c r="L231" s="82"/>
      <c r="M231" s="82"/>
    </row>
    <row r="232" spans="10:13">
      <c r="J232" s="82"/>
      <c r="K232" s="82"/>
      <c r="L232" s="82"/>
      <c r="M232" s="82"/>
    </row>
    <row r="233" spans="10:13">
      <c r="J233" s="82"/>
      <c r="K233" s="82"/>
      <c r="L233" s="82"/>
      <c r="M233" s="82"/>
    </row>
    <row r="234" spans="10:13">
      <c r="J234" s="82"/>
      <c r="K234" s="82"/>
      <c r="L234" s="82"/>
      <c r="M234" s="82"/>
    </row>
    <row r="235" spans="10:13">
      <c r="J235" s="82"/>
      <c r="K235" s="82"/>
      <c r="L235" s="82"/>
      <c r="M235" s="82"/>
    </row>
    <row r="236" spans="10:13">
      <c r="J236" s="82"/>
      <c r="K236" s="82"/>
      <c r="L236" s="82"/>
      <c r="M236" s="82"/>
    </row>
    <row r="237" spans="10:13">
      <c r="J237" s="82"/>
      <c r="K237" s="82"/>
      <c r="L237" s="82"/>
      <c r="M237" s="82"/>
    </row>
    <row r="238" spans="10:13">
      <c r="J238" s="82"/>
      <c r="K238" s="82"/>
      <c r="L238" s="82"/>
      <c r="M238" s="82"/>
    </row>
    <row r="239" spans="10:13">
      <c r="J239" s="82"/>
      <c r="K239" s="82"/>
      <c r="L239" s="82"/>
      <c r="M239" s="82"/>
    </row>
    <row r="240" spans="10:13">
      <c r="J240" s="82"/>
      <c r="K240" s="82"/>
      <c r="L240" s="82"/>
      <c r="M240" s="82"/>
    </row>
    <row r="241" spans="10:13">
      <c r="J241" s="82"/>
      <c r="K241" s="82"/>
      <c r="L241" s="82"/>
      <c r="M241" s="82"/>
    </row>
    <row r="242" spans="10:13">
      <c r="J242" s="82"/>
      <c r="K242" s="82"/>
      <c r="L242" s="82"/>
      <c r="M242" s="82"/>
    </row>
    <row r="243" spans="10:13">
      <c r="J243" s="82"/>
      <c r="K243" s="82"/>
      <c r="L243" s="82"/>
      <c r="M243" s="82"/>
    </row>
    <row r="244" spans="10:13">
      <c r="J244" s="82"/>
      <c r="K244" s="82"/>
      <c r="L244" s="82"/>
      <c r="M244" s="82"/>
    </row>
    <row r="245" spans="10:13">
      <c r="J245" s="82"/>
      <c r="K245" s="82"/>
      <c r="L245" s="82"/>
      <c r="M245" s="82"/>
    </row>
    <row r="246" spans="10:13">
      <c r="J246" s="82"/>
      <c r="K246" s="82"/>
      <c r="L246" s="82"/>
      <c r="M246" s="82"/>
    </row>
  </sheetData>
  <sheetProtection algorithmName="SHA-512" hashValue="fjvODRQB3IlwOwPXh3tHx23u7moDu5m8+789u51GExSLjLIDalJhY+C9Z0marAHAPbImkq5z2/CdOmpfFf1Pvg==" saltValue="3KVkF5PgrNqsNQUBIsNJ6A==" spinCount="100000" sheet="1" objects="1" scenarios="1"/>
  <mergeCells count="8">
    <mergeCell ref="B3:I3"/>
    <mergeCell ref="A3:A4"/>
    <mergeCell ref="B30:F32"/>
    <mergeCell ref="B33:F36"/>
    <mergeCell ref="A30:A36"/>
    <mergeCell ref="A5:A11"/>
    <mergeCell ref="A13:A18"/>
    <mergeCell ref="A20:A26"/>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25" sqref="G25"/>
    </sheetView>
  </sheetViews>
  <sheetFormatPr defaultRowHeight="15" customHeight="1"/>
  <cols>
    <col min="1" max="1" width="24.42578125" style="105" customWidth="1"/>
    <col min="2" max="2" width="18.85546875" style="105" customWidth="1"/>
    <col min="3" max="3" width="18.28515625" style="105" customWidth="1"/>
    <col min="4" max="4" width="17.140625" style="105" customWidth="1"/>
    <col min="5" max="5" width="17.28515625" style="105" customWidth="1"/>
    <col min="6" max="6" width="18.28515625" style="105" customWidth="1"/>
    <col min="7" max="7" width="16.5703125" style="105" customWidth="1"/>
    <col min="8" max="16384" width="9.140625" style="105"/>
  </cols>
  <sheetData>
    <row r="1" spans="1:7" ht="15" customHeight="1">
      <c r="A1" s="1" t="s">
        <v>218</v>
      </c>
      <c r="B1" s="1"/>
      <c r="C1" s="1"/>
      <c r="D1" s="1"/>
      <c r="E1" s="1"/>
      <c r="F1" s="1"/>
      <c r="G1" s="1"/>
    </row>
    <row r="2" spans="1:7" ht="15" customHeight="1">
      <c r="A2" s="270" t="s">
        <v>118</v>
      </c>
      <c r="B2" s="271"/>
      <c r="C2" s="271"/>
      <c r="D2" s="271"/>
      <c r="E2" s="271"/>
      <c r="F2" s="271"/>
      <c r="G2" s="271"/>
    </row>
    <row r="3" spans="1:7" ht="15" customHeight="1">
      <c r="A3" s="240" t="s">
        <v>119</v>
      </c>
      <c r="B3" s="240"/>
      <c r="C3" s="240"/>
      <c r="D3" s="240"/>
      <c r="E3" s="240"/>
      <c r="F3" s="240"/>
      <c r="G3" s="240"/>
    </row>
    <row r="4" spans="1:7" ht="15" customHeight="1">
      <c r="A4" s="188" t="s">
        <v>120</v>
      </c>
      <c r="B4" s="189" t="s">
        <v>69</v>
      </c>
      <c r="C4" s="189" t="s">
        <v>83</v>
      </c>
      <c r="D4" s="189" t="s">
        <v>121</v>
      </c>
      <c r="E4" s="189" t="s">
        <v>83</v>
      </c>
      <c r="F4" s="189" t="s">
        <v>122</v>
      </c>
      <c r="G4" s="189" t="s">
        <v>83</v>
      </c>
    </row>
    <row r="5" spans="1:7" ht="15" customHeight="1">
      <c r="A5" s="101" t="s">
        <v>123</v>
      </c>
      <c r="B5" s="102">
        <v>2.7000000000000001E-3</v>
      </c>
      <c r="C5" s="102" t="s">
        <v>90</v>
      </c>
      <c r="D5" s="102">
        <v>1.1999999999999999E-3</v>
      </c>
      <c r="E5" s="102" t="s">
        <v>87</v>
      </c>
      <c r="F5" s="102" t="s">
        <v>91</v>
      </c>
      <c r="G5" s="67"/>
    </row>
    <row r="6" spans="1:7" ht="15" customHeight="1">
      <c r="A6" s="103" t="s">
        <v>207</v>
      </c>
      <c r="B6" s="13">
        <v>5.9999999999999995E-4</v>
      </c>
      <c r="C6" s="13" t="s">
        <v>90</v>
      </c>
      <c r="D6" s="13">
        <v>2.7E-4</v>
      </c>
      <c r="E6" s="13" t="s">
        <v>87</v>
      </c>
      <c r="F6" s="13">
        <v>5.0000000000000002E-5</v>
      </c>
      <c r="G6" s="68" t="s">
        <v>90</v>
      </c>
    </row>
    <row r="7" spans="1:7" ht="15" customHeight="1">
      <c r="A7" s="33" t="s">
        <v>124</v>
      </c>
      <c r="B7" s="104">
        <v>1.2500000000000001E-2</v>
      </c>
      <c r="C7" s="104" t="s">
        <v>90</v>
      </c>
      <c r="D7" s="104">
        <v>4.3E-3</v>
      </c>
      <c r="E7" s="104" t="s">
        <v>87</v>
      </c>
      <c r="F7" s="104" t="s">
        <v>91</v>
      </c>
      <c r="G7" s="67"/>
    </row>
    <row r="8" spans="1:7" ht="15" customHeight="1">
      <c r="A8" s="1" t="s">
        <v>208</v>
      </c>
      <c r="B8" s="68">
        <v>1.1000000000000001E-3</v>
      </c>
      <c r="C8" s="68" t="s">
        <v>90</v>
      </c>
      <c r="D8" s="68">
        <v>3.6999999999999999E-4</v>
      </c>
      <c r="E8" s="68" t="s">
        <v>87</v>
      </c>
      <c r="F8" s="13">
        <v>2.5000000000000001E-5</v>
      </c>
      <c r="G8" s="68" t="s">
        <v>90</v>
      </c>
    </row>
    <row r="9" spans="1:7" ht="15" customHeight="1">
      <c r="D9" s="106"/>
    </row>
    <row r="10" spans="1:7" ht="15" customHeight="1">
      <c r="D10" s="106"/>
    </row>
    <row r="12" spans="1:7" ht="15" customHeight="1">
      <c r="F12" s="106"/>
    </row>
    <row r="14" spans="1:7" ht="15" customHeight="1">
      <c r="D14" s="107"/>
      <c r="F14" s="106"/>
    </row>
    <row r="15" spans="1:7" ht="15" customHeight="1">
      <c r="D15" s="107"/>
      <c r="F15" s="106"/>
    </row>
  </sheetData>
  <sheetProtection algorithmName="SHA-512" hashValue="mSi2UeF/ilRIgLPzbYvOfCRjKADYMZJB874E0+MOd/jK5TiVhbWuReSr9CuFhK+XHAtD0Gk4+RXZ36jquxOx8A==" saltValue="QH1+gp1lEcud9reswPNjDw==" spinCount="100000" sheet="1" objects="1" scenarios="1"/>
  <mergeCells count="2">
    <mergeCell ref="A2:G2"/>
    <mergeCell ref="A3:G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workbookViewId="0">
      <selection activeCell="E29" sqref="E29"/>
    </sheetView>
  </sheetViews>
  <sheetFormatPr defaultRowHeight="15" customHeight="1"/>
  <cols>
    <col min="1" max="1" width="28.7109375" style="1" customWidth="1"/>
    <col min="2" max="7" width="9.140625" style="1"/>
    <col min="8" max="8" width="28.42578125" style="1" customWidth="1"/>
    <col min="9" max="16384" width="9.140625" style="1"/>
  </cols>
  <sheetData>
    <row r="1" spans="1:13" ht="15" customHeight="1">
      <c r="A1" s="128" t="s">
        <v>154</v>
      </c>
      <c r="B1" s="128" t="s">
        <v>155</v>
      </c>
      <c r="C1" s="128"/>
      <c r="D1" s="128"/>
      <c r="H1" s="128" t="s">
        <v>154</v>
      </c>
      <c r="I1" s="128" t="s">
        <v>162</v>
      </c>
      <c r="J1" s="128"/>
      <c r="K1" s="128"/>
    </row>
    <row r="2" spans="1:13" ht="15" customHeight="1">
      <c r="A2" s="272" t="s">
        <v>228</v>
      </c>
      <c r="B2" s="272"/>
      <c r="C2" s="272"/>
      <c r="D2" s="272"/>
      <c r="E2" s="272"/>
      <c r="F2" s="272"/>
      <c r="H2" s="272" t="s">
        <v>228</v>
      </c>
      <c r="I2" s="272"/>
      <c r="J2" s="272"/>
      <c r="K2" s="272"/>
      <c r="L2" s="272"/>
      <c r="M2" s="272"/>
    </row>
    <row r="3" spans="1:13" ht="15" customHeight="1">
      <c r="A3" s="129" t="s">
        <v>137</v>
      </c>
      <c r="B3" s="111" t="s">
        <v>138</v>
      </c>
      <c r="C3" s="129" t="s">
        <v>139</v>
      </c>
      <c r="D3" s="129" t="s">
        <v>140</v>
      </c>
      <c r="E3" s="129" t="s">
        <v>141</v>
      </c>
      <c r="F3" s="129" t="s">
        <v>45</v>
      </c>
      <c r="H3" s="129" t="s">
        <v>137</v>
      </c>
      <c r="I3" s="111" t="s">
        <v>138</v>
      </c>
      <c r="J3" s="129" t="s">
        <v>139</v>
      </c>
      <c r="K3" s="129" t="s">
        <v>140</v>
      </c>
      <c r="L3" s="129" t="s">
        <v>141</v>
      </c>
      <c r="M3" s="129" t="s">
        <v>45</v>
      </c>
    </row>
    <row r="4" spans="1:13" ht="15" customHeight="1">
      <c r="A4" s="273" t="s">
        <v>136</v>
      </c>
      <c r="B4" s="111" t="s">
        <v>142</v>
      </c>
      <c r="C4" s="130">
        <v>36.92</v>
      </c>
      <c r="D4" s="130">
        <v>30.79</v>
      </c>
      <c r="E4" s="130">
        <v>38.35</v>
      </c>
      <c r="F4" s="132">
        <f t="shared" ref="F4:F9" si="0">AVERAGE(C4:E4)</f>
        <v>35.353333333333332</v>
      </c>
      <c r="H4" s="273" t="s">
        <v>136</v>
      </c>
      <c r="I4" s="111" t="s">
        <v>142</v>
      </c>
      <c r="J4" s="130">
        <v>33.409999999999997</v>
      </c>
      <c r="K4" s="130">
        <v>36.369999999999997</v>
      </c>
      <c r="L4" s="130">
        <v>34.75</v>
      </c>
      <c r="M4" s="132">
        <f t="shared" ref="M4:M9" si="1">AVERAGE(J4:L4)</f>
        <v>34.843333333333334</v>
      </c>
    </row>
    <row r="5" spans="1:13" ht="15" customHeight="1">
      <c r="A5" s="273"/>
      <c r="B5" s="111" t="s">
        <v>143</v>
      </c>
      <c r="C5" s="130">
        <v>2.0699999999999998</v>
      </c>
      <c r="D5" s="130">
        <v>1.73</v>
      </c>
      <c r="E5" s="130">
        <v>2.17</v>
      </c>
      <c r="F5" s="130">
        <f t="shared" si="0"/>
        <v>1.99</v>
      </c>
      <c r="H5" s="273"/>
      <c r="I5" s="111" t="s">
        <v>143</v>
      </c>
      <c r="J5" s="130">
        <v>1.59</v>
      </c>
      <c r="K5" s="130">
        <v>1.72</v>
      </c>
      <c r="L5" s="130">
        <v>1.66</v>
      </c>
      <c r="M5" s="132">
        <f t="shared" si="1"/>
        <v>1.6566666666666665</v>
      </c>
    </row>
    <row r="6" spans="1:13" ht="15" customHeight="1">
      <c r="A6" s="273" t="s">
        <v>144</v>
      </c>
      <c r="B6" s="111" t="s">
        <v>142</v>
      </c>
      <c r="C6" s="129">
        <v>57.54</v>
      </c>
      <c r="D6" s="129">
        <v>65.760000000000005</v>
      </c>
      <c r="E6" s="129">
        <v>36.99</v>
      </c>
      <c r="F6" s="132">
        <f t="shared" si="0"/>
        <v>53.430000000000007</v>
      </c>
      <c r="H6" s="273" t="s">
        <v>144</v>
      </c>
      <c r="I6" s="111" t="s">
        <v>142</v>
      </c>
      <c r="J6" s="129">
        <v>24.66</v>
      </c>
      <c r="K6" s="129">
        <v>26.72</v>
      </c>
      <c r="L6" s="129">
        <v>28.77</v>
      </c>
      <c r="M6" s="132">
        <f t="shared" si="1"/>
        <v>26.716666666666665</v>
      </c>
    </row>
    <row r="7" spans="1:13" ht="15" customHeight="1">
      <c r="A7" s="273"/>
      <c r="B7" s="111" t="s">
        <v>143</v>
      </c>
      <c r="C7" s="129">
        <v>3.23</v>
      </c>
      <c r="D7" s="129">
        <v>3.7</v>
      </c>
      <c r="E7" s="129">
        <v>2.1</v>
      </c>
      <c r="F7" s="132">
        <f t="shared" si="0"/>
        <v>3.01</v>
      </c>
      <c r="H7" s="273"/>
      <c r="I7" s="111" t="s">
        <v>143</v>
      </c>
      <c r="J7" s="129">
        <v>1.17</v>
      </c>
      <c r="K7" s="129">
        <v>1.27</v>
      </c>
      <c r="L7" s="129">
        <v>1.38</v>
      </c>
      <c r="M7" s="132">
        <f t="shared" si="1"/>
        <v>1.2733333333333332</v>
      </c>
    </row>
    <row r="8" spans="1:13" ht="15" customHeight="1">
      <c r="A8" s="129" t="s">
        <v>145</v>
      </c>
      <c r="B8" s="129" t="s">
        <v>146</v>
      </c>
      <c r="C8" s="131">
        <v>78667</v>
      </c>
      <c r="D8" s="131">
        <v>78764</v>
      </c>
      <c r="E8" s="131">
        <v>79392</v>
      </c>
      <c r="F8" s="131">
        <f t="shared" si="0"/>
        <v>78941</v>
      </c>
      <c r="H8" s="129" t="s">
        <v>145</v>
      </c>
      <c r="I8" s="129" t="s">
        <v>146</v>
      </c>
      <c r="J8" s="131">
        <v>65524</v>
      </c>
      <c r="K8" s="131">
        <v>65554</v>
      </c>
      <c r="L8" s="131">
        <v>66437</v>
      </c>
      <c r="M8" s="131">
        <f t="shared" si="1"/>
        <v>65838.333333333328</v>
      </c>
    </row>
    <row r="9" spans="1:13" ht="15" customHeight="1">
      <c r="A9" s="129" t="s">
        <v>147</v>
      </c>
      <c r="B9" s="129" t="s">
        <v>148</v>
      </c>
      <c r="C9" s="131">
        <v>56171</v>
      </c>
      <c r="D9" s="131">
        <v>56306</v>
      </c>
      <c r="E9" s="131">
        <v>56706</v>
      </c>
      <c r="F9" s="131">
        <f t="shared" si="0"/>
        <v>56394.333333333336</v>
      </c>
      <c r="H9" s="129" t="s">
        <v>147</v>
      </c>
      <c r="I9" s="129" t="s">
        <v>148</v>
      </c>
      <c r="J9" s="131">
        <v>47483</v>
      </c>
      <c r="K9" s="131">
        <v>47372</v>
      </c>
      <c r="L9" s="131">
        <v>47908</v>
      </c>
      <c r="M9" s="131">
        <f t="shared" si="1"/>
        <v>47587.666666666664</v>
      </c>
    </row>
    <row r="10" spans="1:13" ht="15" customHeight="1">
      <c r="A10" s="273" t="s">
        <v>149</v>
      </c>
      <c r="B10" s="273"/>
      <c r="C10" s="273"/>
      <c r="D10" s="273"/>
      <c r="E10" s="273"/>
      <c r="F10" s="273"/>
      <c r="H10" s="273" t="s">
        <v>149</v>
      </c>
      <c r="I10" s="273"/>
      <c r="J10" s="273"/>
      <c r="K10" s="273"/>
      <c r="L10" s="273"/>
      <c r="M10" s="273"/>
    </row>
    <row r="11" spans="1:13" ht="15" customHeight="1">
      <c r="A11" s="129" t="s">
        <v>137</v>
      </c>
      <c r="B11" s="111" t="s">
        <v>138</v>
      </c>
      <c r="C11" s="129" t="s">
        <v>139</v>
      </c>
      <c r="D11" s="129" t="s">
        <v>140</v>
      </c>
      <c r="E11" s="129" t="s">
        <v>141</v>
      </c>
      <c r="F11" s="129" t="s">
        <v>45</v>
      </c>
      <c r="H11" s="129" t="s">
        <v>137</v>
      </c>
      <c r="I11" s="111" t="s">
        <v>138</v>
      </c>
      <c r="J11" s="129" t="s">
        <v>139</v>
      </c>
      <c r="K11" s="129" t="s">
        <v>140</v>
      </c>
      <c r="L11" s="129" t="s">
        <v>141</v>
      </c>
      <c r="M11" s="129" t="s">
        <v>45</v>
      </c>
    </row>
    <row r="12" spans="1:13" ht="15" customHeight="1">
      <c r="A12" s="129" t="s">
        <v>150</v>
      </c>
      <c r="B12" s="129" t="s">
        <v>151</v>
      </c>
      <c r="C12" s="129">
        <v>78.67</v>
      </c>
      <c r="D12" s="129">
        <v>79.33</v>
      </c>
      <c r="E12" s="129">
        <v>79.92</v>
      </c>
      <c r="F12" s="133">
        <f>AVERAGE(C12:E12)</f>
        <v>79.306666666666672</v>
      </c>
      <c r="H12" s="129" t="s">
        <v>150</v>
      </c>
      <c r="I12" s="129" t="s">
        <v>151</v>
      </c>
      <c r="J12" s="129">
        <v>77.92</v>
      </c>
      <c r="K12" s="129">
        <v>78.58</v>
      </c>
      <c r="L12" s="129">
        <v>79.17</v>
      </c>
      <c r="M12" s="133">
        <f>AVERAGE(J12:L12)</f>
        <v>78.556666666666672</v>
      </c>
    </row>
    <row r="13" spans="1:13" ht="15" customHeight="1">
      <c r="A13" s="129" t="s">
        <v>152</v>
      </c>
      <c r="B13" s="129" t="s">
        <v>153</v>
      </c>
      <c r="C13" s="129">
        <v>21.79</v>
      </c>
      <c r="D13" s="129">
        <v>21.82</v>
      </c>
      <c r="E13" s="129">
        <v>21.99</v>
      </c>
      <c r="F13" s="133">
        <f>AVERAGE(C13:E13)</f>
        <v>21.866666666666664</v>
      </c>
      <c r="H13" s="129" t="s">
        <v>152</v>
      </c>
      <c r="I13" s="129" t="s">
        <v>153</v>
      </c>
      <c r="J13" s="129">
        <v>18.149999999999999</v>
      </c>
      <c r="K13" s="129">
        <v>18.16</v>
      </c>
      <c r="L13" s="129">
        <v>18.41</v>
      </c>
      <c r="M13" s="133">
        <f>AVERAGE(J13:L13)</f>
        <v>18.239999999999998</v>
      </c>
    </row>
    <row r="16" spans="1:13" ht="15" customHeight="1">
      <c r="A16" s="128" t="s">
        <v>156</v>
      </c>
      <c r="B16" s="128" t="s">
        <v>157</v>
      </c>
      <c r="C16" s="128"/>
      <c r="D16" s="128"/>
      <c r="H16" s="128" t="s">
        <v>156</v>
      </c>
      <c r="I16" s="128" t="s">
        <v>163</v>
      </c>
      <c r="J16" s="128"/>
      <c r="K16" s="128"/>
    </row>
    <row r="17" spans="1:13" ht="15" customHeight="1">
      <c r="A17" s="272" t="s">
        <v>228</v>
      </c>
      <c r="B17" s="272"/>
      <c r="C17" s="272"/>
      <c r="D17" s="272"/>
      <c r="E17" s="272"/>
      <c r="F17" s="272"/>
      <c r="H17" s="272" t="s">
        <v>228</v>
      </c>
      <c r="I17" s="272"/>
      <c r="J17" s="272"/>
      <c r="K17" s="272"/>
      <c r="L17" s="272"/>
      <c r="M17" s="272"/>
    </row>
    <row r="18" spans="1:13" ht="15" customHeight="1">
      <c r="A18" s="129" t="s">
        <v>137</v>
      </c>
      <c r="B18" s="111" t="s">
        <v>138</v>
      </c>
      <c r="C18" s="129" t="s">
        <v>139</v>
      </c>
      <c r="D18" s="129" t="s">
        <v>140</v>
      </c>
      <c r="E18" s="129" t="s">
        <v>141</v>
      </c>
      <c r="F18" s="129" t="s">
        <v>45</v>
      </c>
      <c r="H18" s="129" t="s">
        <v>137</v>
      </c>
      <c r="I18" s="111" t="s">
        <v>138</v>
      </c>
      <c r="J18" s="129" t="s">
        <v>139</v>
      </c>
      <c r="K18" s="129" t="s">
        <v>140</v>
      </c>
      <c r="L18" s="129" t="s">
        <v>141</v>
      </c>
      <c r="M18" s="129" t="s">
        <v>45</v>
      </c>
    </row>
    <row r="19" spans="1:13" ht="15" customHeight="1">
      <c r="A19" s="273" t="s">
        <v>136</v>
      </c>
      <c r="B19" s="111" t="s">
        <v>142</v>
      </c>
      <c r="C19" s="130">
        <v>40.380000000000003</v>
      </c>
      <c r="D19" s="130">
        <v>40.770000000000003</v>
      </c>
      <c r="E19" s="130">
        <v>40.049999999999997</v>
      </c>
      <c r="F19" s="132">
        <f t="shared" ref="F19:F24" si="2">AVERAGE(C19:E19)</f>
        <v>40.4</v>
      </c>
      <c r="H19" s="273" t="s">
        <v>136</v>
      </c>
      <c r="I19" s="111" t="s">
        <v>142</v>
      </c>
      <c r="J19" s="130">
        <v>38.880000000000003</v>
      </c>
      <c r="K19" s="130">
        <v>39.369999999999997</v>
      </c>
      <c r="L19" s="130">
        <v>38.96</v>
      </c>
      <c r="M19" s="132">
        <f t="shared" ref="M19:M24" si="3">AVERAGE(J19:L19)</f>
        <v>39.07</v>
      </c>
    </row>
    <row r="20" spans="1:13" ht="15" customHeight="1">
      <c r="A20" s="273"/>
      <c r="B20" s="111" t="s">
        <v>143</v>
      </c>
      <c r="C20" s="130">
        <v>2.97</v>
      </c>
      <c r="D20" s="130">
        <v>2.83</v>
      </c>
      <c r="E20" s="130">
        <v>2.84</v>
      </c>
      <c r="F20" s="130">
        <f t="shared" si="2"/>
        <v>2.8800000000000003</v>
      </c>
      <c r="H20" s="273"/>
      <c r="I20" s="111" t="s">
        <v>143</v>
      </c>
      <c r="J20" s="130">
        <v>2.86</v>
      </c>
      <c r="K20" s="130">
        <v>2.76</v>
      </c>
      <c r="L20" s="130">
        <v>2.81</v>
      </c>
      <c r="M20" s="130">
        <f t="shared" si="3"/>
        <v>2.81</v>
      </c>
    </row>
    <row r="21" spans="1:13" ht="15" customHeight="1">
      <c r="A21" s="273" t="s">
        <v>144</v>
      </c>
      <c r="B21" s="111" t="s">
        <v>142</v>
      </c>
      <c r="C21" s="129">
        <v>73.98</v>
      </c>
      <c r="D21" s="129">
        <v>39.049999999999997</v>
      </c>
      <c r="E21" s="129">
        <v>41.1</v>
      </c>
      <c r="F21" s="132">
        <f t="shared" si="2"/>
        <v>51.376666666666665</v>
      </c>
      <c r="H21" s="273" t="s">
        <v>144</v>
      </c>
      <c r="I21" s="111" t="s">
        <v>142</v>
      </c>
      <c r="J21" s="129">
        <v>67.819999999999993</v>
      </c>
      <c r="K21" s="129">
        <v>61.65</v>
      </c>
      <c r="L21" s="129">
        <v>59.6</v>
      </c>
      <c r="M21" s="132">
        <f t="shared" si="3"/>
        <v>63.023333333333333</v>
      </c>
    </row>
    <row r="22" spans="1:13" ht="15" customHeight="1">
      <c r="A22" s="273"/>
      <c r="B22" s="111" t="s">
        <v>143</v>
      </c>
      <c r="C22" s="129">
        <v>5.45</v>
      </c>
      <c r="D22" s="129">
        <v>2.71</v>
      </c>
      <c r="E22" s="129">
        <v>2.92</v>
      </c>
      <c r="F22" s="132">
        <f t="shared" si="2"/>
        <v>3.6933333333333334</v>
      </c>
      <c r="H22" s="273"/>
      <c r="I22" s="111" t="s">
        <v>143</v>
      </c>
      <c r="J22" s="129">
        <v>4.99</v>
      </c>
      <c r="K22" s="129">
        <v>4.32</v>
      </c>
      <c r="L22" s="129">
        <v>4.3</v>
      </c>
      <c r="M22" s="132">
        <f t="shared" si="3"/>
        <v>4.5366666666666662</v>
      </c>
    </row>
    <row r="23" spans="1:13" ht="15" customHeight="1">
      <c r="A23" s="129" t="s">
        <v>145</v>
      </c>
      <c r="B23" s="129" t="s">
        <v>146</v>
      </c>
      <c r="C23" s="131">
        <v>104799</v>
      </c>
      <c r="D23" s="131">
        <v>99152</v>
      </c>
      <c r="E23" s="131">
        <v>101557</v>
      </c>
      <c r="F23" s="131">
        <f t="shared" si="2"/>
        <v>101836</v>
      </c>
      <c r="H23" s="129" t="s">
        <v>145</v>
      </c>
      <c r="I23" s="129" t="s">
        <v>146</v>
      </c>
      <c r="J23" s="131">
        <v>102756</v>
      </c>
      <c r="K23" s="131">
        <v>98212</v>
      </c>
      <c r="L23" s="131">
        <v>101470</v>
      </c>
      <c r="M23" s="131">
        <f t="shared" si="3"/>
        <v>100812.66666666667</v>
      </c>
    </row>
    <row r="24" spans="1:13" ht="15" customHeight="1">
      <c r="A24" s="129" t="s">
        <v>147</v>
      </c>
      <c r="B24" s="129" t="s">
        <v>148</v>
      </c>
      <c r="C24" s="131">
        <v>73651</v>
      </c>
      <c r="D24" s="131">
        <v>69485</v>
      </c>
      <c r="E24" s="131">
        <v>71024</v>
      </c>
      <c r="F24" s="131">
        <f t="shared" si="2"/>
        <v>71386.666666666672</v>
      </c>
      <c r="H24" s="129" t="s">
        <v>147</v>
      </c>
      <c r="I24" s="129" t="s">
        <v>148</v>
      </c>
      <c r="J24" s="131">
        <v>73533</v>
      </c>
      <c r="K24" s="131">
        <v>70092</v>
      </c>
      <c r="L24" s="131">
        <v>101470</v>
      </c>
      <c r="M24" s="131">
        <f t="shared" si="3"/>
        <v>81698.333333333328</v>
      </c>
    </row>
    <row r="25" spans="1:13" ht="15" customHeight="1">
      <c r="A25" s="273" t="s">
        <v>149</v>
      </c>
      <c r="B25" s="273"/>
      <c r="C25" s="273"/>
      <c r="D25" s="273"/>
      <c r="E25" s="273"/>
      <c r="F25" s="273"/>
      <c r="H25" s="273" t="s">
        <v>149</v>
      </c>
      <c r="I25" s="273"/>
      <c r="J25" s="273"/>
      <c r="K25" s="273"/>
      <c r="L25" s="273"/>
      <c r="M25" s="273"/>
    </row>
    <row r="26" spans="1:13" ht="15" customHeight="1">
      <c r="A26" s="129" t="s">
        <v>137</v>
      </c>
      <c r="B26" s="111" t="s">
        <v>138</v>
      </c>
      <c r="C26" s="129" t="s">
        <v>139</v>
      </c>
      <c r="D26" s="129" t="s">
        <v>140</v>
      </c>
      <c r="E26" s="129" t="s">
        <v>141</v>
      </c>
      <c r="F26" s="129" t="s">
        <v>45</v>
      </c>
      <c r="H26" s="129" t="s">
        <v>137</v>
      </c>
      <c r="I26" s="111" t="s">
        <v>138</v>
      </c>
      <c r="J26" s="129" t="s">
        <v>139</v>
      </c>
      <c r="K26" s="129" t="s">
        <v>140</v>
      </c>
      <c r="L26" s="129" t="s">
        <v>141</v>
      </c>
      <c r="M26" s="129" t="s">
        <v>45</v>
      </c>
    </row>
    <row r="27" spans="1:13" ht="15" customHeight="1">
      <c r="A27" s="129" t="s">
        <v>150</v>
      </c>
      <c r="B27" s="129" t="s">
        <v>151</v>
      </c>
      <c r="C27" s="129">
        <v>84.17</v>
      </c>
      <c r="D27" s="129">
        <v>85.17</v>
      </c>
      <c r="E27" s="129">
        <v>86.17</v>
      </c>
      <c r="F27" s="133">
        <f>AVERAGE(C27:E27)</f>
        <v>85.17</v>
      </c>
      <c r="H27" s="129" t="s">
        <v>150</v>
      </c>
      <c r="I27" s="129" t="s">
        <v>151</v>
      </c>
      <c r="J27" s="129">
        <v>85.25</v>
      </c>
      <c r="K27" s="129">
        <v>86.25</v>
      </c>
      <c r="L27" s="129">
        <v>87.25</v>
      </c>
      <c r="M27" s="133">
        <f>AVERAGE(J27:L27)</f>
        <v>86.25</v>
      </c>
    </row>
    <row r="28" spans="1:13" ht="15" customHeight="1">
      <c r="A28" s="129" t="s">
        <v>152</v>
      </c>
      <c r="B28" s="129" t="s">
        <v>153</v>
      </c>
      <c r="C28" s="129">
        <v>29.03</v>
      </c>
      <c r="D28" s="129">
        <v>27.46</v>
      </c>
      <c r="E28" s="129">
        <v>28.13</v>
      </c>
      <c r="F28" s="133">
        <f>AVERAGE(C28:E28)</f>
        <v>28.206666666666667</v>
      </c>
      <c r="H28" s="129" t="s">
        <v>152</v>
      </c>
      <c r="I28" s="129" t="s">
        <v>153</v>
      </c>
      <c r="J28" s="129">
        <v>28.46</v>
      </c>
      <c r="K28" s="129">
        <v>27.2</v>
      </c>
      <c r="L28" s="129">
        <v>28.11</v>
      </c>
      <c r="M28" s="133">
        <f>AVERAGE(J28:L28)</f>
        <v>27.923333333333332</v>
      </c>
    </row>
    <row r="31" spans="1:13" ht="15" customHeight="1">
      <c r="A31" s="128" t="s">
        <v>158</v>
      </c>
      <c r="B31" s="128" t="s">
        <v>155</v>
      </c>
      <c r="C31" s="128"/>
      <c r="D31" s="128"/>
      <c r="H31" s="128" t="s">
        <v>158</v>
      </c>
      <c r="I31" s="128" t="s">
        <v>164</v>
      </c>
      <c r="J31" s="128"/>
      <c r="K31" s="128"/>
    </row>
    <row r="32" spans="1:13" ht="15" customHeight="1">
      <c r="A32" s="272" t="s">
        <v>228</v>
      </c>
      <c r="B32" s="272"/>
      <c r="C32" s="272"/>
      <c r="D32" s="272"/>
      <c r="E32" s="272"/>
      <c r="F32" s="272"/>
      <c r="H32" s="272" t="s">
        <v>228</v>
      </c>
      <c r="I32" s="272"/>
      <c r="J32" s="272"/>
      <c r="K32" s="272"/>
      <c r="L32" s="272"/>
      <c r="M32" s="272"/>
    </row>
    <row r="33" spans="1:13" ht="15" customHeight="1">
      <c r="A33" s="129" t="s">
        <v>137</v>
      </c>
      <c r="B33" s="111" t="s">
        <v>138</v>
      </c>
      <c r="C33" s="129" t="s">
        <v>139</v>
      </c>
      <c r="D33" s="129" t="s">
        <v>140</v>
      </c>
      <c r="E33" s="129" t="s">
        <v>141</v>
      </c>
      <c r="F33" s="129" t="s">
        <v>45</v>
      </c>
      <c r="H33" s="129" t="s">
        <v>137</v>
      </c>
      <c r="I33" s="111" t="s">
        <v>138</v>
      </c>
      <c r="J33" s="129" t="s">
        <v>139</v>
      </c>
      <c r="K33" s="129" t="s">
        <v>140</v>
      </c>
      <c r="L33" s="129" t="s">
        <v>141</v>
      </c>
      <c r="M33" s="129" t="s">
        <v>45</v>
      </c>
    </row>
    <row r="34" spans="1:13" ht="15" customHeight="1">
      <c r="A34" s="273" t="s">
        <v>136</v>
      </c>
      <c r="B34" s="111" t="s">
        <v>142</v>
      </c>
      <c r="C34" s="130">
        <v>20.7</v>
      </c>
      <c r="D34" s="130">
        <v>18.11</v>
      </c>
      <c r="E34" s="130">
        <v>30.2</v>
      </c>
      <c r="F34" s="132">
        <f t="shared" ref="F34:F39" si="4">AVERAGE(C34:E34)</f>
        <v>23.003333333333334</v>
      </c>
      <c r="H34" s="273" t="s">
        <v>136</v>
      </c>
      <c r="I34" s="111" t="s">
        <v>142</v>
      </c>
      <c r="J34" s="130">
        <v>30.47</v>
      </c>
      <c r="K34" s="130">
        <v>27.85</v>
      </c>
      <c r="L34" s="130">
        <v>31.75</v>
      </c>
      <c r="M34" s="132">
        <f t="shared" ref="M34:M39" si="5">AVERAGE(J34:L34)</f>
        <v>30.02333333333333</v>
      </c>
    </row>
    <row r="35" spans="1:13" ht="15" customHeight="1">
      <c r="A35" s="273"/>
      <c r="B35" s="111" t="s">
        <v>143</v>
      </c>
      <c r="C35" s="130">
        <v>0.16</v>
      </c>
      <c r="D35" s="130">
        <v>0.13</v>
      </c>
      <c r="E35" s="130">
        <v>0.21</v>
      </c>
      <c r="F35" s="132">
        <f t="shared" si="4"/>
        <v>0.16666666666666666</v>
      </c>
      <c r="H35" s="273"/>
      <c r="I35" s="111" t="s">
        <v>143</v>
      </c>
      <c r="J35" s="130">
        <v>0.13</v>
      </c>
      <c r="K35" s="130">
        <v>0.12</v>
      </c>
      <c r="L35" s="130">
        <v>0.13</v>
      </c>
      <c r="M35" s="132">
        <f t="shared" si="5"/>
        <v>0.12666666666666668</v>
      </c>
    </row>
    <row r="36" spans="1:13" ht="15" customHeight="1">
      <c r="A36" s="273" t="s">
        <v>144</v>
      </c>
      <c r="B36" s="111" t="s">
        <v>142</v>
      </c>
      <c r="C36" s="129">
        <v>273.04000000000002</v>
      </c>
      <c r="D36" s="129">
        <v>297.75</v>
      </c>
      <c r="E36" s="129">
        <v>301.77999999999997</v>
      </c>
      <c r="F36" s="132">
        <f t="shared" si="4"/>
        <v>290.85666666666663</v>
      </c>
      <c r="H36" s="273" t="s">
        <v>144</v>
      </c>
      <c r="I36" s="111" t="s">
        <v>142</v>
      </c>
      <c r="J36" s="129">
        <v>295.92</v>
      </c>
      <c r="K36" s="129">
        <v>292.88</v>
      </c>
      <c r="L36" s="129">
        <v>289.49</v>
      </c>
      <c r="M36" s="132">
        <f t="shared" si="5"/>
        <v>292.76333333333332</v>
      </c>
    </row>
    <row r="37" spans="1:13" ht="15" customHeight="1">
      <c r="A37" s="273"/>
      <c r="B37" s="111" t="s">
        <v>143</v>
      </c>
      <c r="C37" s="129">
        <v>2.06</v>
      </c>
      <c r="D37" s="129">
        <v>2.2000000000000002</v>
      </c>
      <c r="E37" s="129">
        <v>2.1</v>
      </c>
      <c r="F37" s="132">
        <f t="shared" si="4"/>
        <v>2.1199999999999997</v>
      </c>
      <c r="H37" s="273"/>
      <c r="I37" s="111" t="s">
        <v>143</v>
      </c>
      <c r="J37" s="129">
        <v>1.31</v>
      </c>
      <c r="K37" s="129">
        <v>1.25</v>
      </c>
      <c r="L37" s="129">
        <v>1.2</v>
      </c>
      <c r="M37" s="132">
        <f t="shared" si="5"/>
        <v>1.2533333333333332</v>
      </c>
    </row>
    <row r="38" spans="1:13" ht="15" customHeight="1">
      <c r="A38" s="129" t="s">
        <v>145</v>
      </c>
      <c r="B38" s="129" t="s">
        <v>146</v>
      </c>
      <c r="C38" s="131">
        <v>68199</v>
      </c>
      <c r="D38" s="131">
        <v>68555</v>
      </c>
      <c r="E38" s="131">
        <v>69732</v>
      </c>
      <c r="F38" s="131">
        <f t="shared" si="4"/>
        <v>68828.666666666672</v>
      </c>
      <c r="H38" s="129" t="s">
        <v>145</v>
      </c>
      <c r="I38" s="129" t="s">
        <v>146</v>
      </c>
      <c r="J38" s="131">
        <v>69582</v>
      </c>
      <c r="K38" s="131">
        <v>70015</v>
      </c>
      <c r="L38" s="131">
        <v>71185</v>
      </c>
      <c r="M38" s="131">
        <f t="shared" si="5"/>
        <v>70260.666666666672</v>
      </c>
    </row>
    <row r="39" spans="1:13" ht="15" customHeight="1">
      <c r="A39" s="129" t="s">
        <v>147</v>
      </c>
      <c r="B39" s="129" t="s">
        <v>148</v>
      </c>
      <c r="C39" s="131">
        <v>32261</v>
      </c>
      <c r="D39" s="131">
        <v>32500</v>
      </c>
      <c r="E39" s="131">
        <v>32987</v>
      </c>
      <c r="F39" s="131">
        <f t="shared" si="4"/>
        <v>32582.666666666668</v>
      </c>
      <c r="H39" s="129" t="s">
        <v>147</v>
      </c>
      <c r="I39" s="129" t="s">
        <v>148</v>
      </c>
      <c r="J39" s="131">
        <v>31849</v>
      </c>
      <c r="K39" s="131">
        <v>31974</v>
      </c>
      <c r="L39" s="131">
        <v>32440</v>
      </c>
      <c r="M39" s="131">
        <f t="shared" si="5"/>
        <v>32087.666666666668</v>
      </c>
    </row>
    <row r="40" spans="1:13" ht="15" customHeight="1">
      <c r="A40" s="273" t="s">
        <v>149</v>
      </c>
      <c r="B40" s="273"/>
      <c r="C40" s="273"/>
      <c r="D40" s="273"/>
      <c r="E40" s="273"/>
      <c r="F40" s="273"/>
      <c r="H40" s="273" t="s">
        <v>149</v>
      </c>
      <c r="I40" s="273"/>
      <c r="J40" s="273"/>
      <c r="K40" s="273"/>
      <c r="L40" s="273"/>
      <c r="M40" s="273"/>
    </row>
    <row r="41" spans="1:13" ht="15" customHeight="1">
      <c r="A41" s="129" t="s">
        <v>137</v>
      </c>
      <c r="B41" s="111" t="s">
        <v>138</v>
      </c>
      <c r="C41" s="129" t="s">
        <v>139</v>
      </c>
      <c r="D41" s="129" t="s">
        <v>140</v>
      </c>
      <c r="E41" s="129" t="s">
        <v>141</v>
      </c>
      <c r="F41" s="129" t="s">
        <v>45</v>
      </c>
      <c r="H41" s="129" t="s">
        <v>137</v>
      </c>
      <c r="I41" s="111" t="s">
        <v>138</v>
      </c>
      <c r="J41" s="129" t="s">
        <v>139</v>
      </c>
      <c r="K41" s="129" t="s">
        <v>140</v>
      </c>
      <c r="L41" s="129" t="s">
        <v>141</v>
      </c>
      <c r="M41" s="129" t="s">
        <v>45</v>
      </c>
    </row>
    <row r="42" spans="1:13" ht="15" customHeight="1">
      <c r="A42" s="129" t="s">
        <v>150</v>
      </c>
      <c r="B42" s="129" t="s">
        <v>151</v>
      </c>
      <c r="C42" s="129">
        <v>299.07</v>
      </c>
      <c r="D42" s="129">
        <v>299.73</v>
      </c>
      <c r="E42" s="129">
        <v>300.32</v>
      </c>
      <c r="F42" s="133">
        <f>AVERAGE(C42:E42)</f>
        <v>299.70666666666665</v>
      </c>
      <c r="H42" s="129" t="s">
        <v>150</v>
      </c>
      <c r="I42" s="129" t="s">
        <v>151</v>
      </c>
      <c r="J42" s="129">
        <v>317.67</v>
      </c>
      <c r="K42" s="129">
        <v>318.33</v>
      </c>
      <c r="L42" s="129">
        <v>318.92</v>
      </c>
      <c r="M42" s="133">
        <f>AVERAGE(J42:L42)</f>
        <v>318.30666666666667</v>
      </c>
    </row>
    <row r="43" spans="1:13" ht="15" customHeight="1">
      <c r="A43" s="129" t="s">
        <v>152</v>
      </c>
      <c r="B43" s="129" t="s">
        <v>153</v>
      </c>
      <c r="C43" s="129">
        <v>18.239999999999998</v>
      </c>
      <c r="D43" s="129">
        <v>18.329999999999998</v>
      </c>
      <c r="E43" s="129">
        <v>18.649999999999999</v>
      </c>
      <c r="F43" s="133">
        <f>AVERAGE(C43:E43)</f>
        <v>18.406666666666663</v>
      </c>
      <c r="H43" s="129" t="s">
        <v>152</v>
      </c>
      <c r="I43" s="129" t="s">
        <v>153</v>
      </c>
      <c r="J43" s="129">
        <v>18.61</v>
      </c>
      <c r="K43" s="129">
        <v>18.72</v>
      </c>
      <c r="L43" s="129">
        <v>19.04</v>
      </c>
      <c r="M43" s="133">
        <f>AVERAGE(J43:L43)</f>
        <v>18.79</v>
      </c>
    </row>
    <row r="46" spans="1:13" ht="15" customHeight="1">
      <c r="A46" s="128" t="s">
        <v>160</v>
      </c>
      <c r="B46" s="128" t="s">
        <v>159</v>
      </c>
      <c r="C46" s="128"/>
      <c r="D46" s="128"/>
      <c r="H46" s="128" t="s">
        <v>160</v>
      </c>
      <c r="I46" s="128" t="s">
        <v>164</v>
      </c>
      <c r="J46" s="128"/>
      <c r="K46" s="128"/>
    </row>
    <row r="47" spans="1:13" ht="15" customHeight="1">
      <c r="A47" s="272" t="s">
        <v>228</v>
      </c>
      <c r="B47" s="272"/>
      <c r="C47" s="272"/>
      <c r="D47" s="272"/>
      <c r="E47" s="272"/>
      <c r="F47" s="272"/>
      <c r="H47" s="272" t="s">
        <v>228</v>
      </c>
      <c r="I47" s="272"/>
      <c r="J47" s="272"/>
      <c r="K47" s="272"/>
      <c r="L47" s="272"/>
      <c r="M47" s="272"/>
    </row>
    <row r="48" spans="1:13" ht="15" customHeight="1">
      <c r="A48" s="129" t="s">
        <v>137</v>
      </c>
      <c r="B48" s="111" t="s">
        <v>138</v>
      </c>
      <c r="C48" s="129" t="s">
        <v>139</v>
      </c>
      <c r="D48" s="129" t="s">
        <v>140</v>
      </c>
      <c r="E48" s="129" t="s">
        <v>141</v>
      </c>
      <c r="F48" s="129" t="s">
        <v>45</v>
      </c>
      <c r="H48" s="129" t="s">
        <v>137</v>
      </c>
      <c r="I48" s="111" t="s">
        <v>138</v>
      </c>
      <c r="J48" s="129" t="s">
        <v>139</v>
      </c>
      <c r="K48" s="129" t="s">
        <v>140</v>
      </c>
      <c r="L48" s="129" t="s">
        <v>141</v>
      </c>
      <c r="M48" s="129" t="s">
        <v>45</v>
      </c>
    </row>
    <row r="49" spans="1:13" ht="15" customHeight="1">
      <c r="A49" s="273" t="s">
        <v>136</v>
      </c>
      <c r="B49" s="111" t="s">
        <v>142</v>
      </c>
      <c r="C49" s="130">
        <v>17.63</v>
      </c>
      <c r="D49" s="130">
        <v>25.09</v>
      </c>
      <c r="E49" s="130">
        <v>25.7</v>
      </c>
      <c r="F49" s="132">
        <f t="shared" ref="F49:F54" si="6">AVERAGE(C49:E49)</f>
        <v>22.806666666666668</v>
      </c>
      <c r="H49" s="273" t="s">
        <v>136</v>
      </c>
      <c r="I49" s="111" t="s">
        <v>142</v>
      </c>
      <c r="J49" s="130">
        <v>18.239999999999998</v>
      </c>
      <c r="K49" s="130">
        <v>15.94</v>
      </c>
      <c r="L49" s="130">
        <v>16.09</v>
      </c>
      <c r="M49" s="132">
        <f t="shared" ref="M49:M54" si="7">AVERAGE(J49:L49)</f>
        <v>16.756666666666664</v>
      </c>
    </row>
    <row r="50" spans="1:13" ht="15" customHeight="1">
      <c r="A50" s="273"/>
      <c r="B50" s="111" t="s">
        <v>143</v>
      </c>
      <c r="C50" s="130">
        <v>0.09</v>
      </c>
      <c r="D50" s="130">
        <v>0.13</v>
      </c>
      <c r="E50" s="130">
        <v>0.12</v>
      </c>
      <c r="F50" s="132">
        <f t="shared" si="6"/>
        <v>0.11333333333333333</v>
      </c>
      <c r="H50" s="273"/>
      <c r="I50" s="111" t="s">
        <v>143</v>
      </c>
      <c r="J50" s="130">
        <v>7.0000000000000007E-2</v>
      </c>
      <c r="K50" s="130">
        <v>0.06</v>
      </c>
      <c r="L50" s="130">
        <v>0.06</v>
      </c>
      <c r="M50" s="132">
        <f t="shared" si="7"/>
        <v>6.3333333333333339E-2</v>
      </c>
    </row>
    <row r="51" spans="1:13" ht="15" customHeight="1">
      <c r="A51" s="273" t="s">
        <v>144</v>
      </c>
      <c r="B51" s="111" t="s">
        <v>142</v>
      </c>
      <c r="C51" s="129">
        <v>194.22</v>
      </c>
      <c r="D51" s="129">
        <v>204.44</v>
      </c>
      <c r="E51" s="129">
        <v>215.8</v>
      </c>
      <c r="F51" s="132">
        <f t="shared" si="6"/>
        <v>204.82000000000002</v>
      </c>
      <c r="H51" s="273" t="s">
        <v>144</v>
      </c>
      <c r="I51" s="111" t="s">
        <v>142</v>
      </c>
      <c r="J51" s="129">
        <v>234.3</v>
      </c>
      <c r="K51" s="129">
        <v>216.87</v>
      </c>
      <c r="L51" s="129">
        <v>246.6</v>
      </c>
      <c r="M51" s="132">
        <f t="shared" si="7"/>
        <v>232.59</v>
      </c>
    </row>
    <row r="52" spans="1:13" ht="15" customHeight="1">
      <c r="A52" s="273"/>
      <c r="B52" s="111" t="s">
        <v>143</v>
      </c>
      <c r="C52" s="129">
        <v>1.01</v>
      </c>
      <c r="D52" s="129">
        <v>1.02</v>
      </c>
      <c r="E52" s="129">
        <v>1.04</v>
      </c>
      <c r="F52" s="132">
        <f t="shared" si="6"/>
        <v>1.0233333333333334</v>
      </c>
      <c r="H52" s="273"/>
      <c r="I52" s="111" t="s">
        <v>143</v>
      </c>
      <c r="J52" s="129">
        <v>0.89</v>
      </c>
      <c r="K52" s="129">
        <v>0.8</v>
      </c>
      <c r="L52" s="129">
        <v>0.86</v>
      </c>
      <c r="M52" s="132">
        <f t="shared" si="7"/>
        <v>0.85</v>
      </c>
    </row>
    <row r="53" spans="1:13" ht="15" customHeight="1">
      <c r="A53" s="129" t="s">
        <v>145</v>
      </c>
      <c r="B53" s="129" t="s">
        <v>146</v>
      </c>
      <c r="C53" s="131">
        <v>43521</v>
      </c>
      <c r="D53" s="131">
        <v>43804</v>
      </c>
      <c r="E53" s="131">
        <v>44511</v>
      </c>
      <c r="F53" s="131">
        <f t="shared" si="6"/>
        <v>43945.333333333336</v>
      </c>
      <c r="H53" s="129" t="s">
        <v>145</v>
      </c>
      <c r="I53" s="129" t="s">
        <v>146</v>
      </c>
      <c r="J53" s="131">
        <v>45314</v>
      </c>
      <c r="K53" s="131">
        <v>45555</v>
      </c>
      <c r="L53" s="131">
        <v>46307</v>
      </c>
      <c r="M53" s="131">
        <f t="shared" si="7"/>
        <v>45725.333333333336</v>
      </c>
    </row>
    <row r="54" spans="1:13" ht="15" customHeight="1">
      <c r="A54" s="129" t="s">
        <v>147</v>
      </c>
      <c r="B54" s="129" t="s">
        <v>148</v>
      </c>
      <c r="C54" s="131">
        <v>23485</v>
      </c>
      <c r="D54" s="131">
        <v>23653</v>
      </c>
      <c r="E54" s="131">
        <v>24040</v>
      </c>
      <c r="F54" s="131">
        <f t="shared" si="6"/>
        <v>23726</v>
      </c>
      <c r="H54" s="129" t="s">
        <v>147</v>
      </c>
      <c r="I54" s="129" t="s">
        <v>148</v>
      </c>
      <c r="J54" s="131">
        <v>22915</v>
      </c>
      <c r="K54" s="131">
        <v>22982</v>
      </c>
      <c r="L54" s="131">
        <v>23361</v>
      </c>
      <c r="M54" s="131">
        <f t="shared" si="7"/>
        <v>23086</v>
      </c>
    </row>
    <row r="55" spans="1:13" ht="15" customHeight="1">
      <c r="A55" s="273" t="s">
        <v>149</v>
      </c>
      <c r="B55" s="273"/>
      <c r="C55" s="273"/>
      <c r="D55" s="273"/>
      <c r="E55" s="273"/>
      <c r="F55" s="273"/>
      <c r="H55" s="273" t="s">
        <v>149</v>
      </c>
      <c r="I55" s="273"/>
      <c r="J55" s="273"/>
      <c r="K55" s="273"/>
      <c r="L55" s="273"/>
      <c r="M55" s="273"/>
    </row>
    <row r="56" spans="1:13" ht="15" customHeight="1">
      <c r="A56" s="129" t="s">
        <v>137</v>
      </c>
      <c r="B56" s="111" t="s">
        <v>138</v>
      </c>
      <c r="C56" s="129" t="s">
        <v>139</v>
      </c>
      <c r="D56" s="129" t="s">
        <v>140</v>
      </c>
      <c r="E56" s="129" t="s">
        <v>141</v>
      </c>
      <c r="F56" s="129" t="s">
        <v>45</v>
      </c>
      <c r="H56" s="129" t="s">
        <v>137</v>
      </c>
      <c r="I56" s="111" t="s">
        <v>138</v>
      </c>
      <c r="J56" s="129" t="s">
        <v>139</v>
      </c>
      <c r="K56" s="129" t="s">
        <v>140</v>
      </c>
      <c r="L56" s="129" t="s">
        <v>141</v>
      </c>
      <c r="M56" s="129" t="s">
        <v>45</v>
      </c>
    </row>
    <row r="57" spans="1:13" ht="15" customHeight="1">
      <c r="A57" s="129" t="s">
        <v>150</v>
      </c>
      <c r="B57" s="129" t="s">
        <v>151</v>
      </c>
      <c r="C57" s="129">
        <v>231.09</v>
      </c>
      <c r="D57" s="129">
        <v>231.76</v>
      </c>
      <c r="E57" s="129">
        <v>232.34</v>
      </c>
      <c r="F57" s="133">
        <f>AVERAGE(C57:E57)</f>
        <v>231.73000000000002</v>
      </c>
      <c r="H57" s="129" t="s">
        <v>150</v>
      </c>
      <c r="I57" s="129" t="s">
        <v>151</v>
      </c>
      <c r="J57" s="129">
        <v>261.58</v>
      </c>
      <c r="K57" s="129">
        <v>262.25</v>
      </c>
      <c r="L57" s="129">
        <v>262.83</v>
      </c>
      <c r="M57" s="133">
        <f>AVERAGE(J57:L57)</f>
        <v>262.21999999999997</v>
      </c>
    </row>
    <row r="58" spans="1:13" ht="15" customHeight="1">
      <c r="A58" s="129" t="s">
        <v>152</v>
      </c>
      <c r="B58" s="129" t="s">
        <v>153</v>
      </c>
      <c r="C58" s="129">
        <v>17.059999999999999</v>
      </c>
      <c r="D58" s="129">
        <v>17.170000000000002</v>
      </c>
      <c r="E58" s="129">
        <v>17.440000000000001</v>
      </c>
      <c r="F58" s="133">
        <f>AVERAGE(C58:E58)</f>
        <v>17.223333333333333</v>
      </c>
      <c r="H58" s="129" t="s">
        <v>152</v>
      </c>
      <c r="I58" s="129" t="s">
        <v>153</v>
      </c>
      <c r="J58" s="129">
        <v>17.760000000000002</v>
      </c>
      <c r="K58" s="129">
        <v>17.850000000000001</v>
      </c>
      <c r="L58" s="129">
        <v>18.149999999999999</v>
      </c>
      <c r="M58" s="133">
        <f>AVERAGE(J58:L58)</f>
        <v>17.919999999999998</v>
      </c>
    </row>
    <row r="61" spans="1:13" ht="15" customHeight="1">
      <c r="A61" s="128" t="s">
        <v>161</v>
      </c>
      <c r="B61" s="128" t="s">
        <v>157</v>
      </c>
      <c r="C61" s="128"/>
      <c r="D61" s="128"/>
      <c r="H61" s="128" t="s">
        <v>161</v>
      </c>
      <c r="I61" s="128" t="s">
        <v>157</v>
      </c>
      <c r="J61" s="128"/>
      <c r="K61" s="128"/>
    </row>
    <row r="62" spans="1:13" ht="15" customHeight="1">
      <c r="A62" s="272" t="s">
        <v>228</v>
      </c>
      <c r="B62" s="272"/>
      <c r="C62" s="272"/>
      <c r="D62" s="272"/>
      <c r="E62" s="272"/>
      <c r="F62" s="272"/>
      <c r="H62" s="272" t="s">
        <v>228</v>
      </c>
      <c r="I62" s="272"/>
      <c r="J62" s="272"/>
      <c r="K62" s="272"/>
      <c r="L62" s="272"/>
      <c r="M62" s="272"/>
    </row>
    <row r="63" spans="1:13" ht="15" customHeight="1">
      <c r="A63" s="129" t="s">
        <v>137</v>
      </c>
      <c r="B63" s="111" t="s">
        <v>138</v>
      </c>
      <c r="C63" s="129" t="s">
        <v>139</v>
      </c>
      <c r="D63" s="129" t="s">
        <v>140</v>
      </c>
      <c r="E63" s="129" t="s">
        <v>141</v>
      </c>
      <c r="F63" s="129" t="s">
        <v>45</v>
      </c>
      <c r="H63" s="129" t="s">
        <v>137</v>
      </c>
      <c r="I63" s="111" t="s">
        <v>138</v>
      </c>
      <c r="J63" s="129" t="s">
        <v>139</v>
      </c>
      <c r="K63" s="129" t="s">
        <v>140</v>
      </c>
      <c r="L63" s="129" t="s">
        <v>141</v>
      </c>
      <c r="M63" s="129" t="s">
        <v>45</v>
      </c>
    </row>
    <row r="64" spans="1:13" ht="15" customHeight="1">
      <c r="A64" s="273" t="s">
        <v>136</v>
      </c>
      <c r="B64" s="111" t="s">
        <v>142</v>
      </c>
      <c r="C64" s="130">
        <v>74.91</v>
      </c>
      <c r="D64" s="130">
        <v>72.03</v>
      </c>
      <c r="E64" s="130">
        <v>81.27</v>
      </c>
      <c r="F64" s="132">
        <f t="shared" ref="F64:F69" si="8">AVERAGE(C64:E64)</f>
        <v>76.069999999999993</v>
      </c>
      <c r="H64" s="273" t="s">
        <v>136</v>
      </c>
      <c r="I64" s="111" t="s">
        <v>142</v>
      </c>
      <c r="J64" s="130">
        <v>63.31</v>
      </c>
      <c r="K64" s="130">
        <v>64.900000000000006</v>
      </c>
      <c r="L64" s="130">
        <v>73.12</v>
      </c>
      <c r="M64" s="132">
        <f t="shared" ref="M64:M69" si="9">AVERAGE(J64:L64)</f>
        <v>67.11</v>
      </c>
    </row>
    <row r="65" spans="1:13" ht="15" customHeight="1">
      <c r="A65" s="273"/>
      <c r="B65" s="111" t="s">
        <v>143</v>
      </c>
      <c r="C65" s="130">
        <v>0.39</v>
      </c>
      <c r="D65" s="130">
        <v>0.37</v>
      </c>
      <c r="E65" s="130">
        <v>0.39</v>
      </c>
      <c r="F65" s="132">
        <f t="shared" si="8"/>
        <v>0.3833333333333333</v>
      </c>
      <c r="H65" s="273"/>
      <c r="I65" s="111" t="s">
        <v>143</v>
      </c>
      <c r="J65" s="130">
        <v>0.35</v>
      </c>
      <c r="K65" s="130">
        <v>0.34</v>
      </c>
      <c r="L65" s="130">
        <v>0.38</v>
      </c>
      <c r="M65" s="132">
        <f t="shared" si="9"/>
        <v>0.35666666666666663</v>
      </c>
    </row>
    <row r="66" spans="1:13" ht="15" customHeight="1">
      <c r="A66" s="273" t="s">
        <v>144</v>
      </c>
      <c r="B66" s="111" t="s">
        <v>142</v>
      </c>
      <c r="C66" s="129">
        <v>255.43</v>
      </c>
      <c r="D66" s="129">
        <v>243.61</v>
      </c>
      <c r="E66" s="129">
        <v>272.56</v>
      </c>
      <c r="F66" s="132">
        <f t="shared" si="8"/>
        <v>257.2</v>
      </c>
      <c r="H66" s="273" t="s">
        <v>144</v>
      </c>
      <c r="I66" s="111" t="s">
        <v>142</v>
      </c>
      <c r="J66" s="129">
        <v>133.81</v>
      </c>
      <c r="K66" s="129">
        <v>151.32</v>
      </c>
      <c r="L66" s="129">
        <v>161.06</v>
      </c>
      <c r="M66" s="132">
        <f t="shared" si="9"/>
        <v>148.72999999999999</v>
      </c>
    </row>
    <row r="67" spans="1:13" ht="15" customHeight="1">
      <c r="A67" s="273"/>
      <c r="B67" s="111" t="s">
        <v>143</v>
      </c>
      <c r="C67" s="129">
        <v>1.32</v>
      </c>
      <c r="D67" s="129">
        <v>1.24</v>
      </c>
      <c r="E67" s="129">
        <v>1.31</v>
      </c>
      <c r="F67" s="132">
        <f t="shared" si="8"/>
        <v>1.29</v>
      </c>
      <c r="H67" s="273"/>
      <c r="I67" s="111" t="s">
        <v>143</v>
      </c>
      <c r="J67" s="129">
        <v>0.75</v>
      </c>
      <c r="K67" s="129">
        <v>0.8</v>
      </c>
      <c r="L67" s="129">
        <v>0.83</v>
      </c>
      <c r="M67" s="132">
        <f t="shared" si="9"/>
        <v>0.79333333333333333</v>
      </c>
    </row>
    <row r="68" spans="1:13" ht="15" customHeight="1">
      <c r="A68" s="129" t="s">
        <v>145</v>
      </c>
      <c r="B68" s="129" t="s">
        <v>146</v>
      </c>
      <c r="C68" s="131">
        <v>38852</v>
      </c>
      <c r="D68" s="131">
        <v>39614</v>
      </c>
      <c r="E68" s="131">
        <v>39015</v>
      </c>
      <c r="F68" s="131">
        <f t="shared" si="8"/>
        <v>39160.333333333336</v>
      </c>
      <c r="H68" s="129" t="s">
        <v>145</v>
      </c>
      <c r="I68" s="129" t="s">
        <v>146</v>
      </c>
      <c r="J68" s="131">
        <v>38391</v>
      </c>
      <c r="K68" s="131">
        <v>38665</v>
      </c>
      <c r="L68" s="131">
        <v>39473</v>
      </c>
      <c r="M68" s="131">
        <f t="shared" si="9"/>
        <v>38843</v>
      </c>
    </row>
    <row r="69" spans="1:13" ht="15" customHeight="1">
      <c r="A69" s="129" t="s">
        <v>147</v>
      </c>
      <c r="B69" s="129" t="s">
        <v>148</v>
      </c>
      <c r="C69" s="131">
        <v>22149</v>
      </c>
      <c r="D69" s="131">
        <v>22316</v>
      </c>
      <c r="E69" s="131">
        <v>22783</v>
      </c>
      <c r="F69" s="131">
        <f t="shared" si="8"/>
        <v>22416</v>
      </c>
      <c r="H69" s="129" t="s">
        <v>147</v>
      </c>
      <c r="I69" s="129" t="s">
        <v>148</v>
      </c>
      <c r="J69" s="131">
        <v>21495</v>
      </c>
      <c r="K69" s="131">
        <v>21637</v>
      </c>
      <c r="L69" s="131">
        <v>22093</v>
      </c>
      <c r="M69" s="131">
        <f t="shared" si="9"/>
        <v>21741.666666666668</v>
      </c>
    </row>
    <row r="70" spans="1:13" ht="15" customHeight="1">
      <c r="A70" s="273" t="s">
        <v>149</v>
      </c>
      <c r="B70" s="273"/>
      <c r="C70" s="273"/>
      <c r="D70" s="273"/>
      <c r="E70" s="273"/>
      <c r="F70" s="273"/>
      <c r="H70" s="273" t="s">
        <v>149</v>
      </c>
      <c r="I70" s="273"/>
      <c r="J70" s="273"/>
      <c r="K70" s="273"/>
      <c r="L70" s="273"/>
      <c r="M70" s="273"/>
    </row>
    <row r="71" spans="1:13" ht="15" customHeight="1">
      <c r="A71" s="129" t="s">
        <v>137</v>
      </c>
      <c r="B71" s="111" t="s">
        <v>138</v>
      </c>
      <c r="C71" s="129" t="s">
        <v>139</v>
      </c>
      <c r="D71" s="129" t="s">
        <v>140</v>
      </c>
      <c r="E71" s="129" t="s">
        <v>141</v>
      </c>
      <c r="F71" s="129" t="s">
        <v>45</v>
      </c>
      <c r="H71" s="129" t="s">
        <v>137</v>
      </c>
      <c r="I71" s="111" t="s">
        <v>138</v>
      </c>
      <c r="J71" s="129" t="s">
        <v>139</v>
      </c>
      <c r="K71" s="129" t="s">
        <v>140</v>
      </c>
      <c r="L71" s="129" t="s">
        <v>141</v>
      </c>
      <c r="M71" s="129" t="s">
        <v>45</v>
      </c>
    </row>
    <row r="72" spans="1:13" ht="15" customHeight="1">
      <c r="A72" s="129" t="s">
        <v>150</v>
      </c>
      <c r="B72" s="129" t="s">
        <v>151</v>
      </c>
      <c r="C72" s="129">
        <v>199.7</v>
      </c>
      <c r="D72" s="129">
        <v>200.37</v>
      </c>
      <c r="E72" s="129">
        <v>200.95</v>
      </c>
      <c r="F72" s="133">
        <f>AVERAGE(C72:E72)</f>
        <v>200.34</v>
      </c>
      <c r="H72" s="129" t="s">
        <v>150</v>
      </c>
      <c r="I72" s="129" t="s">
        <v>151</v>
      </c>
      <c r="J72" s="129">
        <v>212.83</v>
      </c>
      <c r="K72" s="129">
        <v>213.5</v>
      </c>
      <c r="L72" s="129">
        <v>214.08</v>
      </c>
      <c r="M72" s="133">
        <f>AVERAGE(J72:L72)</f>
        <v>213.47000000000003</v>
      </c>
    </row>
    <row r="73" spans="1:13" ht="15" customHeight="1">
      <c r="A73" s="129" t="s">
        <v>152</v>
      </c>
      <c r="B73" s="129" t="s">
        <v>153</v>
      </c>
      <c r="C73" s="129">
        <v>15.12</v>
      </c>
      <c r="D73" s="129">
        <v>15.23</v>
      </c>
      <c r="E73" s="129">
        <v>15.52</v>
      </c>
      <c r="F73" s="133">
        <f>AVERAGE(C73:E73)</f>
        <v>15.290000000000001</v>
      </c>
      <c r="H73" s="129" t="s">
        <v>152</v>
      </c>
      <c r="I73" s="129" t="s">
        <v>153</v>
      </c>
      <c r="J73" s="129">
        <v>15.04</v>
      </c>
      <c r="K73" s="129">
        <v>15.15</v>
      </c>
      <c r="L73" s="129">
        <v>15.47</v>
      </c>
      <c r="M73" s="133">
        <f>AVERAGE(J73:L73)</f>
        <v>15.219999999999999</v>
      </c>
    </row>
  </sheetData>
  <sheetProtection algorithmName="SHA-512" hashValue="O+wcKhS1Nr/P2MN79J9cV7J4Tm/wGJMTlG0TJo8IWlXxWeW8O955JIRebKNk8fVJPV3uTWcVFssP7hTUZYtubA==" saltValue="7z/qhBT4t9z+U4Pd6ZW4nQ==" spinCount="100000" sheet="1" objects="1" scenarios="1"/>
  <mergeCells count="40">
    <mergeCell ref="H70:M70"/>
    <mergeCell ref="H49:H50"/>
    <mergeCell ref="H51:H52"/>
    <mergeCell ref="H55:M55"/>
    <mergeCell ref="H62:M62"/>
    <mergeCell ref="H64:H65"/>
    <mergeCell ref="H66:H67"/>
    <mergeCell ref="H17:M17"/>
    <mergeCell ref="H19:H20"/>
    <mergeCell ref="H21:H22"/>
    <mergeCell ref="H25:M25"/>
    <mergeCell ref="H32:M32"/>
    <mergeCell ref="H34:H35"/>
    <mergeCell ref="A64:A65"/>
    <mergeCell ref="A66:A67"/>
    <mergeCell ref="A70:F70"/>
    <mergeCell ref="H2:M2"/>
    <mergeCell ref="H4:H5"/>
    <mergeCell ref="H6:H7"/>
    <mergeCell ref="H10:M10"/>
    <mergeCell ref="H36:H37"/>
    <mergeCell ref="H40:M40"/>
    <mergeCell ref="H47:M47"/>
    <mergeCell ref="A40:F40"/>
    <mergeCell ref="A47:F47"/>
    <mergeCell ref="A49:A50"/>
    <mergeCell ref="A51:A52"/>
    <mergeCell ref="A55:F55"/>
    <mergeCell ref="A62:F62"/>
    <mergeCell ref="A19:A20"/>
    <mergeCell ref="A21:A22"/>
    <mergeCell ref="A25:F25"/>
    <mergeCell ref="A32:F32"/>
    <mergeCell ref="A34:A35"/>
    <mergeCell ref="A36:A37"/>
    <mergeCell ref="A2:F2"/>
    <mergeCell ref="A4:A5"/>
    <mergeCell ref="A6:A7"/>
    <mergeCell ref="A10:F10"/>
    <mergeCell ref="A17:F17"/>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workbookViewId="0">
      <selection activeCell="L30" sqref="L30"/>
    </sheetView>
  </sheetViews>
  <sheetFormatPr defaultRowHeight="15" customHeight="1"/>
  <cols>
    <col min="1" max="1" width="27.85546875" style="2" customWidth="1"/>
    <col min="2" max="2" width="11.85546875" style="2" customWidth="1"/>
    <col min="3" max="3" width="13.140625" style="2" customWidth="1"/>
    <col min="4" max="6" width="12.7109375" style="2" customWidth="1"/>
    <col min="7" max="9" width="12.28515625" style="2" customWidth="1"/>
    <col min="10" max="12" width="11.140625" style="2" customWidth="1"/>
    <col min="13" max="13" width="10.140625" style="2" customWidth="1"/>
    <col min="14" max="19" width="9.140625" style="2"/>
    <col min="20" max="20" width="9.7109375" style="2" customWidth="1"/>
    <col min="21" max="21" width="11.28515625" style="2" customWidth="1"/>
    <col min="22" max="16384" width="9.140625" style="2"/>
  </cols>
  <sheetData>
    <row r="1" spans="1:12" ht="15" customHeight="1">
      <c r="A1" s="1" t="s">
        <v>221</v>
      </c>
    </row>
    <row r="3" spans="1:12" ht="15" customHeight="1">
      <c r="A3" s="2" t="s">
        <v>227</v>
      </c>
      <c r="B3" s="90">
        <f>385454.52*0.9</f>
        <v>346909.06800000003</v>
      </c>
    </row>
    <row r="4" spans="1:12" ht="15" customHeight="1">
      <c r="A4" s="276" t="s">
        <v>36</v>
      </c>
      <c r="B4" s="280" t="s">
        <v>223</v>
      </c>
      <c r="C4" s="280" t="s">
        <v>224</v>
      </c>
      <c r="D4" s="276" t="s">
        <v>51</v>
      </c>
      <c r="E4" s="279" t="s">
        <v>116</v>
      </c>
      <c r="F4" s="279" t="s">
        <v>225</v>
      </c>
      <c r="G4" s="282" t="s">
        <v>50</v>
      </c>
      <c r="H4" s="278"/>
      <c r="I4" s="283"/>
      <c r="J4" s="277" t="s">
        <v>35</v>
      </c>
      <c r="K4" s="278"/>
      <c r="L4" s="278"/>
    </row>
    <row r="5" spans="1:12" ht="15" customHeight="1">
      <c r="A5" s="276"/>
      <c r="B5" s="281"/>
      <c r="C5" s="281"/>
      <c r="D5" s="276"/>
      <c r="E5" s="279"/>
      <c r="F5" s="279"/>
      <c r="G5" s="88" t="s">
        <v>69</v>
      </c>
      <c r="H5" s="88" t="s">
        <v>226</v>
      </c>
      <c r="I5" s="177" t="s">
        <v>115</v>
      </c>
      <c r="J5" s="191" t="s">
        <v>69</v>
      </c>
      <c r="K5" s="191" t="s">
        <v>226</v>
      </c>
      <c r="L5" s="192" t="s">
        <v>115</v>
      </c>
    </row>
    <row r="6" spans="1:12" ht="15" customHeight="1">
      <c r="A6" s="81" t="s">
        <v>37</v>
      </c>
      <c r="B6" s="149">
        <v>-20.179189000000001</v>
      </c>
      <c r="C6" s="149">
        <v>-40.239609000000002</v>
      </c>
      <c r="D6" s="91">
        <f>(B3*0.43)/8760</f>
        <v>17.028641465753424</v>
      </c>
      <c r="E6" s="68" t="s">
        <v>117</v>
      </c>
      <c r="F6" s="68">
        <v>50</v>
      </c>
      <c r="G6" s="83">
        <f>'FE-Brit e Pen'!$B$5</f>
        <v>2.7000000000000001E-3</v>
      </c>
      <c r="H6" s="83">
        <f>'FE-Brit e Pen'!$D$5</f>
        <v>1.1999999999999999E-3</v>
      </c>
      <c r="I6" s="83">
        <f>('FE-Brit e Pen'!F6/'FE-Brit e Pen'!D6)*'FE-Brit e Pen'!D5</f>
        <v>2.2222222222222223E-4</v>
      </c>
      <c r="J6" s="172">
        <f>$D6*G6*(1-F6/100)</f>
        <v>2.2988665978767125E-2</v>
      </c>
      <c r="K6" s="172">
        <f>$D6*H6*(1-F6/100)</f>
        <v>1.0217184879452054E-2</v>
      </c>
      <c r="L6" s="197">
        <f>$D6*I6*(1-F6/100)</f>
        <v>1.8920712739726028E-3</v>
      </c>
    </row>
    <row r="7" spans="1:12" ht="15" customHeight="1">
      <c r="A7" s="81" t="s">
        <v>38</v>
      </c>
      <c r="B7" s="149">
        <v>-20.178908</v>
      </c>
      <c r="C7" s="149">
        <v>-40.239722</v>
      </c>
      <c r="D7" s="91">
        <f>(B3*0.57)/8760</f>
        <v>22.572850315068493</v>
      </c>
      <c r="E7" s="68" t="s">
        <v>117</v>
      </c>
      <c r="F7" s="68">
        <v>50</v>
      </c>
      <c r="G7" s="83">
        <f>'FE-Brit e Pen'!$B$5</f>
        <v>2.7000000000000001E-3</v>
      </c>
      <c r="H7" s="83">
        <f>'FE-Brit e Pen'!$D$5</f>
        <v>1.1999999999999999E-3</v>
      </c>
      <c r="I7" s="83">
        <f>('FE-Brit e Pen'!F6/'FE-Brit e Pen'!D6)*'FE-Brit e Pen'!D5</f>
        <v>2.2222222222222223E-4</v>
      </c>
      <c r="J7" s="172">
        <f>$D7*G7*(1-F7/100)</f>
        <v>3.0473347925342467E-2</v>
      </c>
      <c r="K7" s="172">
        <f>$D7*H7*(1-F7/100)</f>
        <v>1.3543710189041094E-2</v>
      </c>
      <c r="L7" s="197">
        <f t="shared" ref="L7:L8" si="0">$D7*I7*(1-F7/100)</f>
        <v>2.5080944794520551E-3</v>
      </c>
    </row>
    <row r="8" spans="1:12" ht="15" customHeight="1">
      <c r="A8" s="60" t="s">
        <v>39</v>
      </c>
      <c r="B8" s="149">
        <v>-20.178725</v>
      </c>
      <c r="C8" s="149">
        <v>-40.240036000000003</v>
      </c>
      <c r="D8" s="84">
        <f>D6+D7</f>
        <v>39.601491780821917</v>
      </c>
      <c r="E8" s="68" t="s">
        <v>117</v>
      </c>
      <c r="F8" s="68">
        <v>50</v>
      </c>
      <c r="G8" s="86">
        <f>'FE-Brit e Pen'!$B$7</f>
        <v>1.2500000000000001E-2</v>
      </c>
      <c r="H8" s="86">
        <f>'FE-Brit e Pen'!$D$7</f>
        <v>4.3E-3</v>
      </c>
      <c r="I8" s="86">
        <f>('FE-Brit e Pen'!F8/'FE-Brit e Pen'!D8)*'FE-Brit e Pen'!D7</f>
        <v>2.9054054054054054E-4</v>
      </c>
      <c r="J8" s="85">
        <f>$D8*G8*(1-F8/100)</f>
        <v>0.247509323630137</v>
      </c>
      <c r="K8" s="85">
        <f>$D8*H8*(1-F8/100)</f>
        <v>8.5143207328767123E-2</v>
      </c>
      <c r="L8" s="197">
        <f t="shared" si="0"/>
        <v>5.7529194141058863E-3</v>
      </c>
    </row>
    <row r="9" spans="1:12" ht="15" customHeight="1">
      <c r="A9" s="274" t="s">
        <v>222</v>
      </c>
      <c r="B9" s="275"/>
      <c r="C9" s="275"/>
      <c r="D9" s="275"/>
      <c r="E9" s="275"/>
      <c r="F9" s="275"/>
      <c r="G9" s="275"/>
      <c r="H9" s="275"/>
      <c r="I9" s="195"/>
      <c r="J9" s="196">
        <f>SUM(J6:J8)</f>
        <v>0.3009713375342466</v>
      </c>
      <c r="K9" s="196">
        <f t="shared" ref="K9:L9" si="1">SUM(K6:K8)</f>
        <v>0.10890410239726027</v>
      </c>
      <c r="L9" s="196">
        <f t="shared" si="1"/>
        <v>1.0153085167530544E-2</v>
      </c>
    </row>
    <row r="11" spans="1:12" ht="15" customHeight="1">
      <c r="E11" s="48"/>
      <c r="F11" s="48"/>
    </row>
    <row r="12" spans="1:12" ht="15" customHeight="1">
      <c r="E12" s="48"/>
      <c r="F12" s="48"/>
    </row>
    <row r="13" spans="1:12" ht="15" customHeight="1">
      <c r="E13" s="48"/>
      <c r="F13" s="48"/>
    </row>
    <row r="15" spans="1:12" ht="15" customHeight="1">
      <c r="J15" s="45"/>
    </row>
    <row r="25" spans="11:11" ht="15" customHeight="1">
      <c r="K25" s="89"/>
    </row>
  </sheetData>
  <sheetProtection algorithmName="SHA-512" hashValue="r3Wt5zksPDqfqePWdSnmxNv+Y48afqiYhRCmQVCuuu6kQZj4+h6vgTsBKRbLMWqKX+oBw/BJH15Ac1dQ78dNUA==" saltValue="YFa47lIUVgSiGhTsnsqxeg==" spinCount="100000" sheet="1" objects="1" scenarios="1"/>
  <mergeCells count="9">
    <mergeCell ref="A9:H9"/>
    <mergeCell ref="A4:A5"/>
    <mergeCell ref="D4:D5"/>
    <mergeCell ref="J4:L4"/>
    <mergeCell ref="F4:F5"/>
    <mergeCell ref="E4:E5"/>
    <mergeCell ref="B4:B5"/>
    <mergeCell ref="C4:C5"/>
    <mergeCell ref="G4:I4"/>
  </mergeCells>
  <pageMargins left="0.511811024" right="0.511811024" top="0.78740157499999996" bottom="0.78740157499999996" header="0.31496062000000002" footer="0.31496062000000002"/>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6"/>
  <sheetViews>
    <sheetView workbookViewId="0">
      <pane xSplit="1" ySplit="9" topLeftCell="Q10" activePane="bottomRight" state="frozen"/>
      <selection pane="topRight" activeCell="B1" sqref="B1"/>
      <selection pane="bottomLeft" activeCell="A10" sqref="A10"/>
      <selection pane="bottomRight" activeCell="AH24" sqref="AH24"/>
    </sheetView>
  </sheetViews>
  <sheetFormatPr defaultRowHeight="15" customHeight="1"/>
  <cols>
    <col min="1" max="1" width="28.140625" style="3" customWidth="1"/>
    <col min="2" max="2" width="17.140625" style="3" customWidth="1"/>
    <col min="3" max="3" width="11" style="3" customWidth="1"/>
    <col min="4" max="4" width="12" style="3" customWidth="1"/>
    <col min="5" max="6" width="10.140625" style="3" customWidth="1"/>
    <col min="7" max="7" width="9" style="3" customWidth="1"/>
    <col min="8" max="8" width="12.85546875" style="3" customWidth="1"/>
    <col min="9" max="9" width="12.140625" style="3" customWidth="1"/>
    <col min="10" max="10" width="10.28515625" style="3" customWidth="1"/>
    <col min="11" max="11" width="15.42578125" style="3" customWidth="1"/>
    <col min="12" max="12" width="14" style="37" customWidth="1"/>
    <col min="13" max="26" width="7" style="37" customWidth="1"/>
    <col min="27" max="29" width="7.42578125" style="3" customWidth="1"/>
    <col min="30" max="30" width="8.140625" style="3" customWidth="1"/>
    <col min="31" max="31" width="7.42578125" style="38" customWidth="1"/>
    <col min="32" max="32" width="7.42578125" style="3" customWidth="1"/>
    <col min="33" max="33" width="7.42578125" style="38" customWidth="1"/>
    <col min="34" max="34" width="10" style="38" bestFit="1" customWidth="1"/>
    <col min="35" max="35" width="9.140625" style="3"/>
    <col min="36" max="36" width="10" style="3" bestFit="1" customWidth="1"/>
    <col min="37" max="16384" width="9.140625" style="3"/>
  </cols>
  <sheetData>
    <row r="1" spans="1:40" ht="15" customHeight="1">
      <c r="A1" s="26" t="s">
        <v>41</v>
      </c>
      <c r="B1" s="198">
        <v>1.2</v>
      </c>
      <c r="C1" s="26"/>
      <c r="D1" s="295" t="s">
        <v>55</v>
      </c>
      <c r="E1" s="295"/>
      <c r="H1" s="295" t="s">
        <v>56</v>
      </c>
      <c r="I1" s="295"/>
      <c r="L1" s="137"/>
      <c r="M1" s="4" t="s">
        <v>166</v>
      </c>
      <c r="N1" s="162"/>
      <c r="O1" s="162"/>
      <c r="P1" s="162"/>
      <c r="Q1" s="162"/>
      <c r="R1" s="162"/>
      <c r="S1" s="162"/>
      <c r="T1" s="162"/>
      <c r="U1" s="162"/>
      <c r="V1" s="162"/>
      <c r="W1" s="162"/>
      <c r="X1" s="162"/>
      <c r="Y1" s="162"/>
      <c r="Z1" s="162"/>
      <c r="AA1" s="30"/>
    </row>
    <row r="2" spans="1:40" ht="15" customHeight="1">
      <c r="A2" s="27" t="s">
        <v>57</v>
      </c>
      <c r="B2" s="199">
        <v>62.3</v>
      </c>
      <c r="C2" s="27"/>
      <c r="D2" s="193" t="s">
        <v>43</v>
      </c>
      <c r="E2" s="206">
        <v>43000</v>
      </c>
      <c r="H2" s="193" t="s">
        <v>43</v>
      </c>
      <c r="I2" s="203">
        <v>11.94</v>
      </c>
      <c r="L2" s="176"/>
      <c r="M2" s="2" t="s">
        <v>167</v>
      </c>
      <c r="N2" s="162"/>
      <c r="O2" s="162"/>
      <c r="P2" s="162"/>
      <c r="Q2" s="162"/>
      <c r="R2" s="162"/>
      <c r="S2" s="162"/>
      <c r="T2" s="162"/>
      <c r="U2" s="162"/>
      <c r="V2" s="162"/>
      <c r="W2" s="162"/>
      <c r="X2" s="162"/>
      <c r="Y2" s="162"/>
      <c r="Z2" s="162"/>
      <c r="AA2" s="30"/>
    </row>
    <row r="3" spans="1:40" ht="15" customHeight="1">
      <c r="A3" s="15" t="s">
        <v>42</v>
      </c>
      <c r="B3" s="200">
        <f>B1*B2/100</f>
        <v>0.74759999999999993</v>
      </c>
      <c r="C3" s="15"/>
      <c r="D3" s="193" t="s">
        <v>44</v>
      </c>
      <c r="E3" s="206">
        <v>35000</v>
      </c>
      <c r="H3" s="193" t="s">
        <v>44</v>
      </c>
      <c r="I3" s="203">
        <v>9.7200000000000006</v>
      </c>
      <c r="N3" s="163"/>
      <c r="O3" s="163"/>
      <c r="P3" s="163"/>
      <c r="Q3" s="163"/>
      <c r="R3" s="163"/>
      <c r="S3" s="163"/>
      <c r="T3" s="163"/>
      <c r="U3" s="163"/>
      <c r="V3" s="163"/>
      <c r="W3" s="163"/>
      <c r="X3" s="163"/>
      <c r="Y3" s="163"/>
      <c r="Z3" s="163"/>
      <c r="AA3" s="30"/>
      <c r="AC3" s="2"/>
    </row>
    <row r="4" spans="1:40" ht="15" customHeight="1">
      <c r="A4" s="11" t="s">
        <v>54</v>
      </c>
      <c r="B4" s="198">
        <v>70</v>
      </c>
      <c r="C4" s="11"/>
      <c r="D4" s="204" t="s">
        <v>45</v>
      </c>
      <c r="E4" s="207">
        <f>AVERAGE(E2:E3)</f>
        <v>39000</v>
      </c>
      <c r="H4" s="204" t="s">
        <v>45</v>
      </c>
      <c r="I4" s="205">
        <f>AVERAGE(I2:I3)</f>
        <v>10.83</v>
      </c>
      <c r="N4" s="162"/>
      <c r="O4" s="162"/>
      <c r="P4" s="162"/>
      <c r="Q4" s="162"/>
      <c r="R4" s="162"/>
      <c r="S4" s="162"/>
      <c r="T4" s="162"/>
      <c r="U4" s="162"/>
      <c r="V4" s="162"/>
      <c r="W4" s="162"/>
      <c r="X4" s="162"/>
      <c r="Y4" s="162"/>
      <c r="Z4" s="162"/>
      <c r="AA4" s="30"/>
      <c r="AC4" s="2"/>
    </row>
    <row r="5" spans="1:40" ht="15" customHeight="1">
      <c r="A5" s="15" t="s">
        <v>93</v>
      </c>
      <c r="B5" s="201">
        <f>((B4*10^-6)/B3)*100</f>
        <v>9.3632958801498131E-3</v>
      </c>
      <c r="L5" s="162"/>
      <c r="M5" s="2"/>
    </row>
    <row r="6" spans="1:40" ht="15" customHeight="1">
      <c r="A6" s="15" t="s">
        <v>206</v>
      </c>
      <c r="B6" s="202">
        <f>32121/(30*24)</f>
        <v>44.612499999999997</v>
      </c>
      <c r="L6" s="162"/>
      <c r="AC6" s="2"/>
    </row>
    <row r="8" spans="1:40" s="152" customFormat="1" ht="15" customHeight="1">
      <c r="A8" s="297" t="s">
        <v>24</v>
      </c>
      <c r="B8" s="287" t="s">
        <v>0</v>
      </c>
      <c r="C8" s="280" t="s">
        <v>223</v>
      </c>
      <c r="D8" s="280" t="s">
        <v>224</v>
      </c>
      <c r="E8" s="280" t="s">
        <v>229</v>
      </c>
      <c r="F8" s="280" t="s">
        <v>230</v>
      </c>
      <c r="G8" s="280" t="s">
        <v>233</v>
      </c>
      <c r="H8" s="280" t="s">
        <v>231</v>
      </c>
      <c r="I8" s="280" t="s">
        <v>232</v>
      </c>
      <c r="J8" s="280" t="s">
        <v>234</v>
      </c>
      <c r="K8" s="280" t="s">
        <v>235</v>
      </c>
      <c r="L8" s="280" t="s">
        <v>165</v>
      </c>
      <c r="M8" s="276" t="s">
        <v>189</v>
      </c>
      <c r="N8" s="276"/>
      <c r="O8" s="276"/>
      <c r="P8" s="276"/>
      <c r="Q8" s="276"/>
      <c r="R8" s="276"/>
      <c r="S8" s="276"/>
      <c r="T8" s="276" t="s">
        <v>200</v>
      </c>
      <c r="U8" s="276"/>
      <c r="V8" s="276"/>
      <c r="W8" s="276"/>
      <c r="X8" s="276"/>
      <c r="Y8" s="276"/>
      <c r="Z8" s="276"/>
      <c r="AA8" s="276" t="s">
        <v>199</v>
      </c>
      <c r="AB8" s="276"/>
      <c r="AC8" s="276"/>
      <c r="AD8" s="276"/>
      <c r="AE8" s="276"/>
      <c r="AF8" s="276"/>
      <c r="AG8" s="276"/>
      <c r="AH8" s="284" t="s">
        <v>134</v>
      </c>
      <c r="AI8" s="285"/>
      <c r="AJ8" s="285"/>
      <c r="AK8" s="285"/>
      <c r="AL8" s="285"/>
      <c r="AM8" s="285"/>
      <c r="AN8" s="286"/>
    </row>
    <row r="9" spans="1:40" s="152" customFormat="1" ht="15" customHeight="1">
      <c r="A9" s="298"/>
      <c r="B9" s="288"/>
      <c r="C9" s="281"/>
      <c r="D9" s="281"/>
      <c r="E9" s="281"/>
      <c r="F9" s="281"/>
      <c r="G9" s="281"/>
      <c r="H9" s="296"/>
      <c r="I9" s="281"/>
      <c r="J9" s="281"/>
      <c r="K9" s="281"/>
      <c r="L9" s="281"/>
      <c r="M9" s="191" t="s">
        <v>69</v>
      </c>
      <c r="N9" s="191" t="s">
        <v>226</v>
      </c>
      <c r="O9" s="192" t="s">
        <v>115</v>
      </c>
      <c r="P9" s="155" t="s">
        <v>95</v>
      </c>
      <c r="Q9" s="155" t="s">
        <v>96</v>
      </c>
      <c r="R9" s="155" t="s">
        <v>21</v>
      </c>
      <c r="S9" s="155" t="s">
        <v>26</v>
      </c>
      <c r="T9" s="191" t="s">
        <v>69</v>
      </c>
      <c r="U9" s="191" t="s">
        <v>226</v>
      </c>
      <c r="V9" s="192" t="s">
        <v>115</v>
      </c>
      <c r="W9" s="157" t="s">
        <v>95</v>
      </c>
      <c r="X9" s="157" t="s">
        <v>96</v>
      </c>
      <c r="Y9" s="157" t="s">
        <v>21</v>
      </c>
      <c r="Z9" s="157" t="s">
        <v>26</v>
      </c>
      <c r="AA9" s="191" t="s">
        <v>69</v>
      </c>
      <c r="AB9" s="191" t="s">
        <v>226</v>
      </c>
      <c r="AC9" s="192" t="s">
        <v>115</v>
      </c>
      <c r="AD9" s="154" t="s">
        <v>95</v>
      </c>
      <c r="AE9" s="154" t="s">
        <v>96</v>
      </c>
      <c r="AF9" s="154" t="s">
        <v>21</v>
      </c>
      <c r="AG9" s="154" t="s">
        <v>26</v>
      </c>
      <c r="AH9" s="145" t="s">
        <v>69</v>
      </c>
      <c r="AI9" s="146" t="s">
        <v>105</v>
      </c>
      <c r="AJ9" s="146" t="s">
        <v>106</v>
      </c>
      <c r="AK9" s="145" t="s">
        <v>95</v>
      </c>
      <c r="AL9" s="145" t="s">
        <v>96</v>
      </c>
      <c r="AM9" s="145" t="s">
        <v>21</v>
      </c>
      <c r="AN9" s="145" t="s">
        <v>26</v>
      </c>
    </row>
    <row r="10" spans="1:40" s="2" customFormat="1" ht="15" customHeight="1">
      <c r="A10" s="50" t="s">
        <v>1</v>
      </c>
      <c r="B10" s="50" t="s">
        <v>2</v>
      </c>
      <c r="C10" s="148">
        <v>-20.184930000000001</v>
      </c>
      <c r="D10" s="148">
        <v>-40.242966000000003</v>
      </c>
      <c r="E10" s="52">
        <v>28.7</v>
      </c>
      <c r="F10" s="53">
        <v>1.1000000000000001</v>
      </c>
      <c r="G10" s="138">
        <f>AVERAGE('Monitoramento Manual'!F12,'Monitoramento Manual'!M12)</f>
        <v>78.931666666666672</v>
      </c>
      <c r="H10" s="138">
        <f>AVERAGE('Monitoramento Manual'!F8,'Monitoramento Manual'!M8)</f>
        <v>72389.666666666657</v>
      </c>
      <c r="I10" s="51">
        <f t="shared" ref="I10:I26" si="0">(H10*273.15)/(273.15+G10)</f>
        <v>56160.940264805977</v>
      </c>
      <c r="J10" s="54">
        <f>'Potência Térmica'!B4</f>
        <v>24.37527478058799</v>
      </c>
      <c r="K10" s="54">
        <f>('Potência Térmica'!B28+'Potência Térmica'!B29)/2</f>
        <v>1663.5606803385499</v>
      </c>
      <c r="L10" s="53"/>
      <c r="M10" s="160"/>
      <c r="N10" s="160"/>
      <c r="O10" s="160"/>
      <c r="P10" s="160"/>
      <c r="Q10" s="160"/>
      <c r="R10" s="160"/>
      <c r="S10" s="160"/>
      <c r="T10" s="160">
        <f>'FE-Combustão'!C12</f>
        <v>121.6</v>
      </c>
      <c r="U10" s="160"/>
      <c r="V10" s="160"/>
      <c r="W10" s="160">
        <f>'FE-Combustão'!D5</f>
        <v>1600</v>
      </c>
      <c r="X10" s="160">
        <f>'FE-Combustão'!C10</f>
        <v>9.6</v>
      </c>
      <c r="Y10" s="160">
        <f>'FE-Combustão'!D6</f>
        <v>1344</v>
      </c>
      <c r="Z10" s="160">
        <f>'FE-Combustão'!C11</f>
        <v>88</v>
      </c>
      <c r="AA10" s="156">
        <f>'FE-Combustão'!E27</f>
        <v>107.712</v>
      </c>
      <c r="AB10" s="55"/>
      <c r="AC10" s="55"/>
      <c r="AD10" s="55">
        <f>'FE-Combustão'!E18</f>
        <v>5222.4000000000015</v>
      </c>
      <c r="AE10" s="55" t="str">
        <f>'FE-Combustão'!E25</f>
        <v>15340,8*S</v>
      </c>
      <c r="AF10" s="55">
        <f>'FE-Combustão'!E19</f>
        <v>1338.2399999999998</v>
      </c>
      <c r="AG10" s="55">
        <f>'FE-Combustão'!E26</f>
        <v>34.272000000000006</v>
      </c>
      <c r="AH10" s="136">
        <f>AVERAGE('Monitoramento Manual'!F5,'Monitoramento Manual'!M5)</f>
        <v>1.8233333333333333</v>
      </c>
      <c r="AI10" s="55">
        <f>AH10</f>
        <v>1.8233333333333333</v>
      </c>
      <c r="AJ10" s="55">
        <f>AH10</f>
        <v>1.8233333333333333</v>
      </c>
      <c r="AK10" s="136">
        <f>AVERAGE('Monitoramento Manual'!F7,'Monitoramento Manual'!M7)</f>
        <v>2.1416666666666666</v>
      </c>
      <c r="AL10" s="55">
        <f>((X10*J10)/10^6)+((15340.8*B5*K10)/10^6)</f>
        <v>0.23918860642944442</v>
      </c>
      <c r="AM10" s="55">
        <f>((Y10*J10)/10^6)+((AF10*K10)/10^6)</f>
        <v>2.2590038141613706</v>
      </c>
      <c r="AN10" s="55">
        <f>((Z10*J10)/10^6)+((AG10*K10)/10^6)</f>
        <v>5.9158575817254533E-2</v>
      </c>
    </row>
    <row r="11" spans="1:40" s="2" customFormat="1" ht="15" customHeight="1">
      <c r="A11" s="50" t="s">
        <v>3</v>
      </c>
      <c r="B11" s="50" t="s">
        <v>2</v>
      </c>
      <c r="C11" s="148">
        <v>-20.184926000000001</v>
      </c>
      <c r="D11" s="148">
        <v>-40.243462999999998</v>
      </c>
      <c r="E11" s="56">
        <v>24</v>
      </c>
      <c r="F11" s="53">
        <v>1.7</v>
      </c>
      <c r="G11" s="138">
        <f>AVERAGE('Monitoramento Manual'!F27,'Monitoramento Manual'!M27)</f>
        <v>85.710000000000008</v>
      </c>
      <c r="H11" s="138">
        <f>AVERAGE('Monitoramento Manual'!F23,'Monitoramento Manual'!M23)</f>
        <v>101324.33333333334</v>
      </c>
      <c r="I11" s="57">
        <f t="shared" si="0"/>
        <v>77124.064119712421</v>
      </c>
      <c r="J11" s="54">
        <f>'Potência Térmica'!B5</f>
        <v>110.63134622397821</v>
      </c>
      <c r="K11" s="54">
        <f>('Potência Térmica'!B28+'Potência Térmica'!B29)/2</f>
        <v>1663.5606803385499</v>
      </c>
      <c r="L11" s="53"/>
      <c r="M11" s="160"/>
      <c r="N11" s="160"/>
      <c r="O11" s="160"/>
      <c r="P11" s="160"/>
      <c r="Q11" s="160"/>
      <c r="R11" s="160"/>
      <c r="S11" s="160"/>
      <c r="T11" s="160">
        <f>'FE-Combustão'!C12</f>
        <v>121.6</v>
      </c>
      <c r="U11" s="160"/>
      <c r="V11" s="160"/>
      <c r="W11" s="160">
        <f>'FE-Combustão'!D5</f>
        <v>1600</v>
      </c>
      <c r="X11" s="160">
        <f>'FE-Combustão'!C10</f>
        <v>9.6</v>
      </c>
      <c r="Y11" s="160">
        <f>'FE-Combustão'!D6</f>
        <v>1344</v>
      </c>
      <c r="Z11" s="160">
        <f>'FE-Combustão'!C11</f>
        <v>88</v>
      </c>
      <c r="AA11" s="156">
        <f>'FE-Combustão'!E27</f>
        <v>107.712</v>
      </c>
      <c r="AB11" s="55"/>
      <c r="AC11" s="55"/>
      <c r="AD11" s="55">
        <f>'FE-Combustão'!E18</f>
        <v>5222.4000000000015</v>
      </c>
      <c r="AE11" s="55" t="str">
        <f>'FE-Combustão'!E25</f>
        <v>15340,8*S</v>
      </c>
      <c r="AF11" s="55">
        <f>'FE-Combustão'!E19</f>
        <v>1338.2399999999998</v>
      </c>
      <c r="AG11" s="55">
        <f>'FE-Combustão'!E26</f>
        <v>34.272000000000006</v>
      </c>
      <c r="AH11" s="136">
        <f>AVERAGE('Monitoramento Manual'!F20,'Monitoramento Manual'!M20)</f>
        <v>2.8450000000000002</v>
      </c>
      <c r="AI11" s="55">
        <f>AH11</f>
        <v>2.8450000000000002</v>
      </c>
      <c r="AJ11" s="55">
        <f>AH11</f>
        <v>2.8450000000000002</v>
      </c>
      <c r="AK11" s="136">
        <f>AVERAGE('Monitoramento Manual'!F22,'Monitoramento Manual'!M22)</f>
        <v>4.1150000000000002</v>
      </c>
      <c r="AL11" s="55">
        <f>((X11*J11)/10^6)+((15340.8*B5*K11)/10^6)</f>
        <v>0.24001666471530098</v>
      </c>
      <c r="AM11" s="55">
        <f>((Y11*J11)/10^6)+((AF11*K11)/10^6)</f>
        <v>2.3749319741812873</v>
      </c>
      <c r="AN11" s="55">
        <f>((Z11*J11)/10^6)+((AG11*K11)/10^6)</f>
        <v>6.6749110104272869E-2</v>
      </c>
    </row>
    <row r="12" spans="1:40" s="2" customFormat="1" ht="15" customHeight="1">
      <c r="A12" s="50" t="s">
        <v>4</v>
      </c>
      <c r="B12" s="50" t="s">
        <v>5</v>
      </c>
      <c r="C12" s="148">
        <v>-20.185029</v>
      </c>
      <c r="D12" s="148">
        <v>-40.243053000000003</v>
      </c>
      <c r="E12" s="56">
        <v>15</v>
      </c>
      <c r="F12" s="53">
        <v>0.7</v>
      </c>
      <c r="G12" s="175">
        <v>25</v>
      </c>
      <c r="H12" s="175">
        <v>21000</v>
      </c>
      <c r="I12" s="57">
        <f>(H12*273.15)/(273.15+G12)</f>
        <v>19239.141371792721</v>
      </c>
      <c r="J12" s="54"/>
      <c r="K12" s="58"/>
      <c r="L12" s="135">
        <v>30</v>
      </c>
      <c r="M12" s="160"/>
      <c r="N12" s="161"/>
      <c r="O12" s="161"/>
      <c r="P12" s="161"/>
      <c r="Q12" s="161"/>
      <c r="R12" s="161"/>
      <c r="S12" s="161"/>
      <c r="T12" s="161"/>
      <c r="U12" s="161"/>
      <c r="V12" s="161"/>
      <c r="W12" s="161"/>
      <c r="X12" s="161"/>
      <c r="Y12" s="161"/>
      <c r="Z12" s="161"/>
      <c r="AA12" s="55"/>
      <c r="AB12" s="55"/>
      <c r="AC12" s="55"/>
      <c r="AD12" s="59"/>
      <c r="AE12" s="59"/>
      <c r="AF12" s="59"/>
      <c r="AG12" s="59"/>
      <c r="AH12" s="55">
        <f>(L12*I12)/10^6</f>
        <v>0.57717424115378169</v>
      </c>
      <c r="AI12" s="55">
        <f>AH12</f>
        <v>0.57717424115378169</v>
      </c>
      <c r="AJ12" s="55">
        <f>AH12</f>
        <v>0.57717424115378169</v>
      </c>
      <c r="AK12" s="59" t="s">
        <v>40</v>
      </c>
      <c r="AL12" s="59" t="s">
        <v>40</v>
      </c>
      <c r="AM12" s="59" t="s">
        <v>40</v>
      </c>
      <c r="AN12" s="59" t="s">
        <v>40</v>
      </c>
    </row>
    <row r="13" spans="1:40" s="2" customFormat="1" ht="15" customHeight="1">
      <c r="A13" s="50" t="s">
        <v>6</v>
      </c>
      <c r="B13" s="50" t="s">
        <v>5</v>
      </c>
      <c r="C13" s="148">
        <v>-20.184964999999998</v>
      </c>
      <c r="D13" s="148">
        <v>-40.243099999999998</v>
      </c>
      <c r="E13" s="56">
        <v>14</v>
      </c>
      <c r="F13" s="53">
        <v>0.85</v>
      </c>
      <c r="G13" s="175">
        <v>25</v>
      </c>
      <c r="H13" s="175">
        <v>38000</v>
      </c>
      <c r="I13" s="57">
        <f t="shared" si="0"/>
        <v>34813.684387053501</v>
      </c>
      <c r="J13" s="58"/>
      <c r="K13" s="58"/>
      <c r="L13" s="135">
        <v>30</v>
      </c>
      <c r="M13" s="160"/>
      <c r="N13" s="161"/>
      <c r="O13" s="161"/>
      <c r="P13" s="161"/>
      <c r="Q13" s="161"/>
      <c r="R13" s="161"/>
      <c r="S13" s="161"/>
      <c r="T13" s="161"/>
      <c r="U13" s="161"/>
      <c r="V13" s="161"/>
      <c r="W13" s="161"/>
      <c r="X13" s="161"/>
      <c r="Y13" s="161"/>
      <c r="Z13" s="161"/>
      <c r="AA13" s="55"/>
      <c r="AB13" s="55"/>
      <c r="AC13" s="55"/>
      <c r="AD13" s="59"/>
      <c r="AE13" s="59"/>
      <c r="AF13" s="59"/>
      <c r="AG13" s="59"/>
      <c r="AH13" s="55">
        <f>(L13*I13)/10^6</f>
        <v>1.044410531611605</v>
      </c>
      <c r="AI13" s="55">
        <f t="shared" ref="AI13:AI16" si="1">AH13</f>
        <v>1.044410531611605</v>
      </c>
      <c r="AJ13" s="55">
        <f t="shared" ref="AJ13:AJ16" si="2">AH13</f>
        <v>1.044410531611605</v>
      </c>
      <c r="AK13" s="59" t="s">
        <v>40</v>
      </c>
      <c r="AL13" s="59" t="s">
        <v>40</v>
      </c>
      <c r="AM13" s="59" t="s">
        <v>40</v>
      </c>
      <c r="AN13" s="59" t="s">
        <v>40</v>
      </c>
    </row>
    <row r="14" spans="1:40" s="2" customFormat="1" ht="15" customHeight="1">
      <c r="A14" s="50" t="s">
        <v>10</v>
      </c>
      <c r="B14" s="50" t="s">
        <v>5</v>
      </c>
      <c r="C14" s="148">
        <v>-20.185001</v>
      </c>
      <c r="D14" s="148">
        <v>-40.243071</v>
      </c>
      <c r="E14" s="54">
        <v>15</v>
      </c>
      <c r="F14" s="53">
        <v>0.9</v>
      </c>
      <c r="G14" s="175">
        <v>25</v>
      </c>
      <c r="H14" s="175">
        <v>48000</v>
      </c>
      <c r="I14" s="57">
        <f t="shared" si="0"/>
        <v>43975.180278383363</v>
      </c>
      <c r="J14" s="58"/>
      <c r="K14" s="58"/>
      <c r="L14" s="135">
        <v>30</v>
      </c>
      <c r="M14" s="160"/>
      <c r="N14" s="161"/>
      <c r="O14" s="161"/>
      <c r="P14" s="161"/>
      <c r="Q14" s="161"/>
      <c r="R14" s="161"/>
      <c r="S14" s="161"/>
      <c r="T14" s="161"/>
      <c r="U14" s="161"/>
      <c r="V14" s="161"/>
      <c r="W14" s="161"/>
      <c r="X14" s="161"/>
      <c r="Y14" s="161"/>
      <c r="Z14" s="161"/>
      <c r="AA14" s="55"/>
      <c r="AB14" s="55"/>
      <c r="AC14" s="55"/>
      <c r="AD14" s="59"/>
      <c r="AE14" s="59"/>
      <c r="AF14" s="59"/>
      <c r="AG14" s="59"/>
      <c r="AH14" s="55">
        <f>(L14*I14)/10^6</f>
        <v>1.3192554083515009</v>
      </c>
      <c r="AI14" s="55">
        <f t="shared" si="1"/>
        <v>1.3192554083515009</v>
      </c>
      <c r="AJ14" s="55">
        <f t="shared" si="2"/>
        <v>1.3192554083515009</v>
      </c>
      <c r="AK14" s="59" t="s">
        <v>40</v>
      </c>
      <c r="AL14" s="59" t="s">
        <v>40</v>
      </c>
      <c r="AM14" s="59" t="s">
        <v>40</v>
      </c>
      <c r="AN14" s="59" t="s">
        <v>40</v>
      </c>
    </row>
    <row r="15" spans="1:40" s="2" customFormat="1" ht="15" customHeight="1">
      <c r="A15" s="50" t="s">
        <v>11</v>
      </c>
      <c r="B15" s="50" t="s">
        <v>5</v>
      </c>
      <c r="C15" s="148">
        <v>-20.184190999999998</v>
      </c>
      <c r="D15" s="148">
        <v>-40.241428999999997</v>
      </c>
      <c r="E15" s="54">
        <v>13</v>
      </c>
      <c r="F15" s="53">
        <v>0.55000000000000004</v>
      </c>
      <c r="G15" s="175">
        <v>25</v>
      </c>
      <c r="H15" s="175">
        <v>13000</v>
      </c>
      <c r="I15" s="57">
        <f t="shared" si="0"/>
        <v>11909.944658728828</v>
      </c>
      <c r="J15" s="58"/>
      <c r="K15" s="58"/>
      <c r="L15" s="135">
        <v>30</v>
      </c>
      <c r="M15" s="160"/>
      <c r="N15" s="161"/>
      <c r="O15" s="161"/>
      <c r="P15" s="161"/>
      <c r="Q15" s="161"/>
      <c r="R15" s="161"/>
      <c r="S15" s="161"/>
      <c r="T15" s="161"/>
      <c r="U15" s="161"/>
      <c r="V15" s="161"/>
      <c r="W15" s="161"/>
      <c r="X15" s="161"/>
      <c r="Y15" s="161"/>
      <c r="Z15" s="161"/>
      <c r="AA15" s="55"/>
      <c r="AB15" s="55"/>
      <c r="AC15" s="55"/>
      <c r="AD15" s="59"/>
      <c r="AE15" s="59"/>
      <c r="AF15" s="59"/>
      <c r="AG15" s="59"/>
      <c r="AH15" s="55">
        <f>(L15*I15)/10^6</f>
        <v>0.35729833976186481</v>
      </c>
      <c r="AI15" s="55">
        <f t="shared" si="1"/>
        <v>0.35729833976186481</v>
      </c>
      <c r="AJ15" s="55">
        <f t="shared" si="2"/>
        <v>0.35729833976186481</v>
      </c>
      <c r="AK15" s="59" t="s">
        <v>40</v>
      </c>
      <c r="AL15" s="59" t="s">
        <v>40</v>
      </c>
      <c r="AM15" s="59" t="s">
        <v>40</v>
      </c>
      <c r="AN15" s="59" t="s">
        <v>40</v>
      </c>
    </row>
    <row r="16" spans="1:40" s="2" customFormat="1" ht="15" customHeight="1">
      <c r="A16" s="50" t="s">
        <v>58</v>
      </c>
      <c r="B16" s="50" t="s">
        <v>5</v>
      </c>
      <c r="C16" s="148">
        <v>-20.184785000000002</v>
      </c>
      <c r="D16" s="148">
        <v>-40.243003000000002</v>
      </c>
      <c r="E16" s="54">
        <v>15</v>
      </c>
      <c r="F16" s="53">
        <v>0.75</v>
      </c>
      <c r="G16" s="175">
        <v>25</v>
      </c>
      <c r="H16" s="175">
        <v>21000</v>
      </c>
      <c r="I16" s="57">
        <f t="shared" si="0"/>
        <v>19239.141371792721</v>
      </c>
      <c r="J16" s="58"/>
      <c r="K16" s="58"/>
      <c r="L16" s="135">
        <v>30</v>
      </c>
      <c r="M16" s="160"/>
      <c r="N16" s="161"/>
      <c r="O16" s="161"/>
      <c r="P16" s="161"/>
      <c r="Q16" s="161"/>
      <c r="R16" s="161"/>
      <c r="S16" s="161"/>
      <c r="T16" s="161"/>
      <c r="U16" s="161"/>
      <c r="V16" s="161"/>
      <c r="W16" s="161"/>
      <c r="X16" s="161"/>
      <c r="Y16" s="161"/>
      <c r="Z16" s="161"/>
      <c r="AA16" s="55"/>
      <c r="AB16" s="55"/>
      <c r="AC16" s="55"/>
      <c r="AD16" s="59"/>
      <c r="AE16" s="59"/>
      <c r="AF16" s="59"/>
      <c r="AG16" s="59"/>
      <c r="AH16" s="55">
        <f>(L16*I16)/10^6</f>
        <v>0.57717424115378169</v>
      </c>
      <c r="AI16" s="55">
        <f t="shared" si="1"/>
        <v>0.57717424115378169</v>
      </c>
      <c r="AJ16" s="55">
        <f t="shared" si="2"/>
        <v>0.57717424115378169</v>
      </c>
      <c r="AK16" s="59" t="s">
        <v>40</v>
      </c>
      <c r="AL16" s="59" t="s">
        <v>40</v>
      </c>
      <c r="AM16" s="59" t="s">
        <v>40</v>
      </c>
      <c r="AN16" s="59" t="s">
        <v>40</v>
      </c>
    </row>
    <row r="17" spans="1:40" s="2" customFormat="1" ht="15" customHeight="1">
      <c r="A17" s="50" t="s">
        <v>12</v>
      </c>
      <c r="B17" s="50" t="s">
        <v>13</v>
      </c>
      <c r="C17" s="148">
        <v>-20.184514</v>
      </c>
      <c r="D17" s="148">
        <v>-40.241709</v>
      </c>
      <c r="E17" s="158">
        <v>12.7</v>
      </c>
      <c r="F17" s="53">
        <v>1.1499999999999999</v>
      </c>
      <c r="G17" s="138">
        <f>AVERAGE('Monitoramento Manual'!F42,'Monitoramento Manual'!M42)</f>
        <v>309.00666666666666</v>
      </c>
      <c r="H17" s="138">
        <f>AVERAGE('Monitoramento Manual'!F38,'Monitoramento Manual'!M38)</f>
        <v>69544.666666666672</v>
      </c>
      <c r="I17" s="57">
        <f t="shared" si="0"/>
        <v>32630.607511151065</v>
      </c>
      <c r="J17" s="158">
        <v>731.17522831050223</v>
      </c>
      <c r="K17" s="158"/>
      <c r="L17" s="53"/>
      <c r="M17" s="160"/>
      <c r="O17" s="160"/>
      <c r="P17" s="160"/>
      <c r="Q17" s="160">
        <f>'FE-Fábrica Ceramica'!C20</f>
        <v>4.4475655430711615E-2</v>
      </c>
      <c r="R17" s="160">
        <f>'FE-Fábrica Ceramica'!G20</f>
        <v>1.65</v>
      </c>
      <c r="S17" s="160">
        <f>'FE-Fábrica Ceramica'!I20</f>
        <v>0.215</v>
      </c>
      <c r="T17" s="160">
        <f>'FE-Combustão'!C12</f>
        <v>121.6</v>
      </c>
      <c r="U17" s="160"/>
      <c r="V17" s="160"/>
      <c r="W17" s="160">
        <f>'FE-Combustão'!D5</f>
        <v>1600</v>
      </c>
      <c r="X17" s="160">
        <f>'FE-Combustão'!C10</f>
        <v>9.6</v>
      </c>
      <c r="Y17" s="160">
        <f>'FE-Combustão'!D6</f>
        <v>1344</v>
      </c>
      <c r="Z17" s="160">
        <f>'FE-Combustão'!C11</f>
        <v>88</v>
      </c>
      <c r="AA17" s="168"/>
      <c r="AB17" s="169"/>
      <c r="AC17" s="169"/>
      <c r="AD17" s="156"/>
      <c r="AE17" s="169"/>
      <c r="AF17" s="169"/>
      <c r="AG17" s="169"/>
      <c r="AH17" s="170">
        <f>AVERAGE('Monitoramento Manual'!F35,'Monitoramento Manual'!M35)</f>
        <v>0.14666666666666667</v>
      </c>
      <c r="AI17" s="55">
        <f>AH17</f>
        <v>0.14666666666666667</v>
      </c>
      <c r="AJ17" s="55">
        <f>AH17</f>
        <v>0.14666666666666667</v>
      </c>
      <c r="AK17" s="136">
        <f>AVERAGE('Monitoramento Manual'!F37,'Monitoramento Manual'!M37)</f>
        <v>1.6866666666666665</v>
      </c>
      <c r="AL17" s="169">
        <f>Q17*B6*(J17/(SUM(J17:J20)))</f>
        <v>0.62818734434436785</v>
      </c>
      <c r="AM17" s="169">
        <f>R17*B6*(J17/(SUM(J17:J20)))</f>
        <v>23.305089225339891</v>
      </c>
      <c r="AN17" s="169">
        <f>S17*B6*(J17/(SUM(J17:J20)))</f>
        <v>3.0367237475442894</v>
      </c>
    </row>
    <row r="18" spans="1:40" s="2" customFormat="1" ht="15" customHeight="1">
      <c r="A18" s="50" t="s">
        <v>14</v>
      </c>
      <c r="B18" s="50" t="s">
        <v>13</v>
      </c>
      <c r="C18" s="148">
        <v>-20.184605000000001</v>
      </c>
      <c r="D18" s="148">
        <v>-40.241661999999998</v>
      </c>
      <c r="E18" s="158">
        <v>12.5</v>
      </c>
      <c r="F18" s="53">
        <v>0.95</v>
      </c>
      <c r="G18" s="138">
        <f>AVERAGE('Monitoramento Manual'!F57,'Monitoramento Manual'!M57)</f>
        <v>246.97499999999999</v>
      </c>
      <c r="H18" s="138">
        <f>AVERAGE('Monitoramento Manual'!F53,'Monitoramento Manual'!M53)</f>
        <v>44835.333333333336</v>
      </c>
      <c r="I18" s="57">
        <f t="shared" si="0"/>
        <v>23545.823215573178</v>
      </c>
      <c r="J18" s="158">
        <v>520.11484018264844</v>
      </c>
      <c r="K18" s="158"/>
      <c r="L18" s="53"/>
      <c r="M18" s="160"/>
      <c r="N18" s="160"/>
      <c r="O18" s="160"/>
      <c r="P18" s="160"/>
      <c r="Q18" s="160">
        <f>'FE-Fábrica Ceramica'!C20</f>
        <v>4.4475655430711615E-2</v>
      </c>
      <c r="R18" s="160">
        <f>'FE-Fábrica Ceramica'!G20</f>
        <v>1.65</v>
      </c>
      <c r="S18" s="160">
        <f>'FE-Fábrica Ceramica'!I20</f>
        <v>0.215</v>
      </c>
      <c r="T18" s="160">
        <f>'FE-Combustão'!C12</f>
        <v>121.6</v>
      </c>
      <c r="U18" s="160"/>
      <c r="V18" s="160"/>
      <c r="W18" s="160">
        <f>'FE-Combustão'!D5</f>
        <v>1600</v>
      </c>
      <c r="X18" s="160">
        <f>'FE-Combustão'!C10</f>
        <v>9.6</v>
      </c>
      <c r="Y18" s="160">
        <f>'FE-Combustão'!D6</f>
        <v>1344</v>
      </c>
      <c r="Z18" s="160">
        <f>'FE-Combustão'!C11</f>
        <v>88</v>
      </c>
      <c r="AA18" s="168"/>
      <c r="AB18" s="169"/>
      <c r="AC18" s="169"/>
      <c r="AD18" s="156"/>
      <c r="AE18" s="169"/>
      <c r="AF18" s="169"/>
      <c r="AG18" s="169"/>
      <c r="AH18" s="170">
        <f>AVERAGE('Monitoramento Manual'!F50,'Monitoramento Manual'!M50)</f>
        <v>8.8333333333333333E-2</v>
      </c>
      <c r="AI18" s="55">
        <f t="shared" ref="AI18:AI26" si="3">AH18</f>
        <v>8.8333333333333333E-2</v>
      </c>
      <c r="AJ18" s="55">
        <f t="shared" ref="AJ18:AJ26" si="4">AH18</f>
        <v>8.8333333333333333E-2</v>
      </c>
      <c r="AK18" s="136">
        <f>AVERAGE('Monitoramento Manual'!F52,'Monitoramento Manual'!M52)</f>
        <v>0.93666666666666676</v>
      </c>
      <c r="AL18" s="169">
        <f>Q18*B6*(J18/(SUM(J17:J20)))</f>
        <v>0.44685534678656219</v>
      </c>
      <c r="AM18" s="169">
        <f>R18*B6*(J18/(SUM(J17:J20)))</f>
        <v>16.577862991732204</v>
      </c>
      <c r="AN18" s="169">
        <f>S18*B6*(J18/(SUM(J17:J20)))</f>
        <v>2.1601457837711662</v>
      </c>
    </row>
    <row r="19" spans="1:40" s="2" customFormat="1" ht="15" customHeight="1">
      <c r="A19" s="50" t="s">
        <v>15</v>
      </c>
      <c r="B19" s="50" t="s">
        <v>16</v>
      </c>
      <c r="C19" s="148">
        <v>-20.184429000000002</v>
      </c>
      <c r="D19" s="148">
        <v>-40.242167000000002</v>
      </c>
      <c r="E19" s="158">
        <v>17</v>
      </c>
      <c r="F19" s="53">
        <v>0.95</v>
      </c>
      <c r="G19" s="138">
        <f>AVERAGE('Monitoramento Manual'!F72,'Monitoramento Manual'!M72)</f>
        <v>206.90500000000003</v>
      </c>
      <c r="H19" s="138">
        <f>AVERAGE('Monitoramento Manual'!F68,'Monitoramento Manual'!M68)</f>
        <v>39001.666666666672</v>
      </c>
      <c r="I19" s="57">
        <f t="shared" si="0"/>
        <v>22191.843122142254</v>
      </c>
      <c r="J19" s="291">
        <v>1058.1739726027397</v>
      </c>
      <c r="K19" s="58"/>
      <c r="L19" s="53"/>
      <c r="M19" s="160"/>
      <c r="N19" s="160"/>
      <c r="O19" s="160"/>
      <c r="P19" s="160"/>
      <c r="Q19" s="160">
        <f>'FE-Fábrica Ceramica'!C20</f>
        <v>4.4475655430711615E-2</v>
      </c>
      <c r="R19" s="160">
        <f>'FE-Fábrica Ceramica'!G20</f>
        <v>1.65</v>
      </c>
      <c r="S19" s="160">
        <f>'FE-Fábrica Ceramica'!I20</f>
        <v>0.215</v>
      </c>
      <c r="T19" s="160">
        <f>'FE-Combustão'!C12</f>
        <v>121.6</v>
      </c>
      <c r="U19" s="160"/>
      <c r="V19" s="160"/>
      <c r="W19" s="160">
        <f>'FE-Combustão'!D5</f>
        <v>1600</v>
      </c>
      <c r="X19" s="160">
        <f>'FE-Combustão'!C10</f>
        <v>9.6</v>
      </c>
      <c r="Y19" s="160">
        <f>'FE-Combustão'!D6</f>
        <v>1344</v>
      </c>
      <c r="Z19" s="160">
        <f>'FE-Combustão'!C11</f>
        <v>88</v>
      </c>
      <c r="AA19" s="168"/>
      <c r="AB19" s="169"/>
      <c r="AC19" s="169"/>
      <c r="AD19" s="156"/>
      <c r="AE19" s="169"/>
      <c r="AF19" s="169"/>
      <c r="AG19" s="169"/>
      <c r="AH19" s="170">
        <f>AVERAGE('Monitoramento Manual'!F65,'Monitoramento Manual'!M65)</f>
        <v>0.37</v>
      </c>
      <c r="AI19" s="55">
        <f t="shared" si="3"/>
        <v>0.37</v>
      </c>
      <c r="AJ19" s="55">
        <f t="shared" si="4"/>
        <v>0.37</v>
      </c>
      <c r="AK19" s="136">
        <f>AVERAGE('Monitoramento Manual'!F67,'Monitoramento Manual'!M67)</f>
        <v>1.0416666666666667</v>
      </c>
      <c r="AL19" s="169">
        <f>Q19*B6*(J19/(SUM(J17:J20))/2)</f>
        <v>0.45456374338584599</v>
      </c>
      <c r="AM19" s="169">
        <f>R19*B6*(J19/(SUM(J17:J20))/2)</f>
        <v>16.863836391463948</v>
      </c>
      <c r="AN19" s="169">
        <f>S19*B6*(J19/(SUM(J17:J20))/2)</f>
        <v>2.1974089843422724</v>
      </c>
    </row>
    <row r="20" spans="1:40" s="2" customFormat="1" ht="15" customHeight="1">
      <c r="A20" s="50" t="s">
        <v>15</v>
      </c>
      <c r="B20" s="50" t="s">
        <v>17</v>
      </c>
      <c r="C20" s="148">
        <v>-20.184376</v>
      </c>
      <c r="D20" s="148">
        <v>-40.242013999999998</v>
      </c>
      <c r="E20" s="158">
        <v>17</v>
      </c>
      <c r="F20" s="53">
        <v>0.95</v>
      </c>
      <c r="G20" s="138">
        <f>AVERAGE('Monitoramento Manual'!F72,'Monitoramento Manual'!M72)</f>
        <v>206.90500000000003</v>
      </c>
      <c r="H20" s="138">
        <f>AVERAGE('Monitoramento Manual'!F68,'Monitoramento Manual'!M68)</f>
        <v>39001.666666666672</v>
      </c>
      <c r="I20" s="57">
        <f t="shared" si="0"/>
        <v>22191.843122142254</v>
      </c>
      <c r="J20" s="291"/>
      <c r="K20" s="58"/>
      <c r="L20" s="53"/>
      <c r="M20" s="160"/>
      <c r="N20" s="160"/>
      <c r="O20" s="160"/>
      <c r="P20" s="160"/>
      <c r="Q20" s="160">
        <f>'FE-Fábrica Ceramica'!C20</f>
        <v>4.4475655430711615E-2</v>
      </c>
      <c r="R20" s="160">
        <f>'FE-Fábrica Ceramica'!G20</f>
        <v>1.65</v>
      </c>
      <c r="S20" s="160">
        <f>'FE-Fábrica Ceramica'!I20</f>
        <v>0.215</v>
      </c>
      <c r="T20" s="160">
        <f>'FE-Combustão'!C12</f>
        <v>121.6</v>
      </c>
      <c r="U20" s="160"/>
      <c r="V20" s="160"/>
      <c r="W20" s="160">
        <f>'FE-Combustão'!D5</f>
        <v>1600</v>
      </c>
      <c r="X20" s="160">
        <f>'FE-Combustão'!C10</f>
        <v>9.6</v>
      </c>
      <c r="Y20" s="160">
        <f>'FE-Combustão'!D6</f>
        <v>1344</v>
      </c>
      <c r="Z20" s="160">
        <f>'FE-Combustão'!C11</f>
        <v>88</v>
      </c>
      <c r="AA20" s="168"/>
      <c r="AB20" s="169"/>
      <c r="AC20" s="169"/>
      <c r="AD20" s="156"/>
      <c r="AE20" s="169"/>
      <c r="AF20" s="169"/>
      <c r="AG20" s="169"/>
      <c r="AH20" s="170">
        <f>AVERAGE('Monitoramento Manual'!F65,'Monitoramento Manual'!M65)</f>
        <v>0.37</v>
      </c>
      <c r="AI20" s="55">
        <f t="shared" si="3"/>
        <v>0.37</v>
      </c>
      <c r="AJ20" s="55">
        <f t="shared" si="4"/>
        <v>0.37</v>
      </c>
      <c r="AK20" s="136">
        <f>AVERAGE('Monitoramento Manual'!F67,'Monitoramento Manual'!M67)</f>
        <v>1.0416666666666667</v>
      </c>
      <c r="AL20" s="169">
        <f>Q20*B6*(J19/(SUM(J17:J20))/2)</f>
        <v>0.45456374338584599</v>
      </c>
      <c r="AM20" s="169">
        <f>R20*B6*(J19/(SUM(J17:J20))/2)</f>
        <v>16.863836391463948</v>
      </c>
      <c r="AN20" s="169">
        <f>S20*B6*(J19/(SUM(J17:J20))/2)</f>
        <v>2.1974089843422724</v>
      </c>
    </row>
    <row r="21" spans="1:40" s="2" customFormat="1" ht="15" customHeight="1">
      <c r="A21" s="50" t="s">
        <v>18</v>
      </c>
      <c r="B21" s="50" t="s">
        <v>16</v>
      </c>
      <c r="C21" s="148">
        <v>-20.184977</v>
      </c>
      <c r="D21" s="148">
        <v>-40.242727000000002</v>
      </c>
      <c r="E21" s="54">
        <v>13.4</v>
      </c>
      <c r="F21" s="53">
        <v>0.93</v>
      </c>
      <c r="G21" s="142">
        <v>110</v>
      </c>
      <c r="H21" s="140">
        <v>35000</v>
      </c>
      <c r="I21" s="51">
        <f t="shared" si="0"/>
        <v>24951.716038105184</v>
      </c>
      <c r="J21" s="289">
        <f>'Potência Térmica'!B21</f>
        <v>161.97168949771691</v>
      </c>
      <c r="K21" s="58"/>
      <c r="M21" s="53"/>
      <c r="N21" s="53"/>
      <c r="O21" s="53"/>
      <c r="P21" s="53"/>
      <c r="Q21" s="53"/>
      <c r="R21" s="53"/>
      <c r="S21" s="53"/>
      <c r="T21" s="53">
        <f>'FE-Combustão'!C12</f>
        <v>121.6</v>
      </c>
      <c r="U21" s="53"/>
      <c r="V21" s="53"/>
      <c r="W21" s="53">
        <f>'FE-Combustão'!D5</f>
        <v>1600</v>
      </c>
      <c r="X21" s="53">
        <f>'FE-Combustão'!C10</f>
        <v>9.6</v>
      </c>
      <c r="Y21" s="53">
        <f>'FE-Combustão'!D6</f>
        <v>1344</v>
      </c>
      <c r="Z21" s="53">
        <f>'FE-Combustão'!C11</f>
        <v>88</v>
      </c>
      <c r="AA21" s="55"/>
      <c r="AB21" s="55"/>
      <c r="AC21" s="55"/>
      <c r="AD21" s="55"/>
      <c r="AE21" s="55"/>
      <c r="AF21" s="55"/>
      <c r="AG21" s="55"/>
      <c r="AH21" s="55">
        <f>((J21/2)*T21)/10^6</f>
        <v>9.8478787214611868E-3</v>
      </c>
      <c r="AI21" s="55">
        <f t="shared" si="3"/>
        <v>9.8478787214611868E-3</v>
      </c>
      <c r="AJ21" s="55">
        <f t="shared" si="4"/>
        <v>9.8478787214611868E-3</v>
      </c>
      <c r="AK21" s="55">
        <f>((J21/2)*W21)/10^6</f>
        <v>0.12957735159817352</v>
      </c>
      <c r="AL21" s="55">
        <f>((J21/2)*X21)/10^6</f>
        <v>7.7746410958904114E-4</v>
      </c>
      <c r="AM21" s="55">
        <f>((J21/2)*Y21)/10^6</f>
        <v>0.10884497534246577</v>
      </c>
      <c r="AN21" s="55">
        <f>(($J$21/2)*Z21)/10^6</f>
        <v>7.1267543378995442E-3</v>
      </c>
    </row>
    <row r="22" spans="1:40" s="2" customFormat="1" ht="15" customHeight="1">
      <c r="A22" s="50" t="s">
        <v>18</v>
      </c>
      <c r="B22" s="50" t="s">
        <v>17</v>
      </c>
      <c r="C22" s="148">
        <v>-20.184932</v>
      </c>
      <c r="D22" s="148">
        <v>-40.242631000000003</v>
      </c>
      <c r="E22" s="54">
        <v>13.4</v>
      </c>
      <c r="F22" s="53">
        <v>0.93</v>
      </c>
      <c r="G22" s="142">
        <v>200</v>
      </c>
      <c r="H22" s="140">
        <v>35000</v>
      </c>
      <c r="I22" s="51">
        <f t="shared" si="0"/>
        <v>20205.537356018176</v>
      </c>
      <c r="J22" s="289"/>
      <c r="K22" s="58"/>
      <c r="M22" s="53"/>
      <c r="N22" s="53"/>
      <c r="O22" s="53"/>
      <c r="P22" s="53"/>
      <c r="Q22" s="53"/>
      <c r="R22" s="53"/>
      <c r="S22" s="53"/>
      <c r="T22" s="53">
        <f>'FE-Combustão'!C12</f>
        <v>121.6</v>
      </c>
      <c r="U22" s="53"/>
      <c r="V22" s="53"/>
      <c r="W22" s="53">
        <f>'FE-Combustão'!D5</f>
        <v>1600</v>
      </c>
      <c r="X22" s="53">
        <f>'FE-Combustão'!C10</f>
        <v>9.6</v>
      </c>
      <c r="Y22" s="53">
        <f>'FE-Combustão'!D6</f>
        <v>1344</v>
      </c>
      <c r="Z22" s="53">
        <f>'FE-Combustão'!C11</f>
        <v>88</v>
      </c>
      <c r="AA22" s="55"/>
      <c r="AB22" s="55"/>
      <c r="AC22" s="55"/>
      <c r="AD22" s="55"/>
      <c r="AE22" s="55"/>
      <c r="AF22" s="55"/>
      <c r="AG22" s="55"/>
      <c r="AH22" s="55">
        <f>((J21/2)*T22)/10^6</f>
        <v>9.8478787214611868E-3</v>
      </c>
      <c r="AI22" s="55">
        <f t="shared" si="3"/>
        <v>9.8478787214611868E-3</v>
      </c>
      <c r="AJ22" s="55">
        <f t="shared" si="4"/>
        <v>9.8478787214611868E-3</v>
      </c>
      <c r="AK22" s="55">
        <f>((J21/2)*W22)/10^6</f>
        <v>0.12957735159817352</v>
      </c>
      <c r="AL22" s="55">
        <f>((J21/2)*X22)/10^6</f>
        <v>7.7746410958904114E-4</v>
      </c>
      <c r="AM22" s="55">
        <f>((J21/2)*Y22)/10^6</f>
        <v>0.10884497534246577</v>
      </c>
      <c r="AN22" s="55">
        <f>(($J$21/2)*Z22)/10^6</f>
        <v>7.1267543378995442E-3</v>
      </c>
    </row>
    <row r="23" spans="1:40" s="2" customFormat="1" ht="15" customHeight="1">
      <c r="A23" s="50" t="s">
        <v>20</v>
      </c>
      <c r="B23" s="50" t="s">
        <v>16</v>
      </c>
      <c r="C23" s="148">
        <v>-20.184425999999998</v>
      </c>
      <c r="D23" s="148">
        <v>-40.242598000000001</v>
      </c>
      <c r="E23" s="54">
        <v>14.4</v>
      </c>
      <c r="F23" s="53">
        <v>0.5</v>
      </c>
      <c r="G23" s="142">
        <v>190</v>
      </c>
      <c r="H23" s="140">
        <v>10800</v>
      </c>
      <c r="I23" s="51">
        <f t="shared" si="0"/>
        <v>6369.4699341466039</v>
      </c>
      <c r="J23" s="289">
        <f>'Potência Térmica'!B24</f>
        <v>160.08162100456622</v>
      </c>
      <c r="K23" s="58"/>
      <c r="M23" s="53"/>
      <c r="N23" s="53"/>
      <c r="O23" s="53"/>
      <c r="P23" s="53"/>
      <c r="Q23" s="53"/>
      <c r="R23" s="53"/>
      <c r="S23" s="53"/>
      <c r="T23" s="53">
        <f>'FE-Combustão'!C12</f>
        <v>121.6</v>
      </c>
      <c r="U23" s="53"/>
      <c r="V23" s="53"/>
      <c r="W23" s="53">
        <f>'FE-Combustão'!D5</f>
        <v>1600</v>
      </c>
      <c r="X23" s="53">
        <f>'FE-Combustão'!C10</f>
        <v>9.6</v>
      </c>
      <c r="Y23" s="53">
        <f>'FE-Combustão'!D6</f>
        <v>1344</v>
      </c>
      <c r="Z23" s="53">
        <f>'FE-Combustão'!C11</f>
        <v>88</v>
      </c>
      <c r="AA23" s="55"/>
      <c r="AB23" s="55"/>
      <c r="AC23" s="55"/>
      <c r="AD23" s="55"/>
      <c r="AE23" s="55"/>
      <c r="AF23" s="55"/>
      <c r="AG23" s="55"/>
      <c r="AH23" s="55">
        <f>((J23/4)*T23)/10^6</f>
        <v>4.8664812785388133E-3</v>
      </c>
      <c r="AI23" s="55">
        <f t="shared" si="3"/>
        <v>4.8664812785388133E-3</v>
      </c>
      <c r="AJ23" s="55">
        <f t="shared" si="4"/>
        <v>4.8664812785388133E-3</v>
      </c>
      <c r="AK23" s="55">
        <f>((J23/4)*W23)/10^6</f>
        <v>6.4032648401826486E-2</v>
      </c>
      <c r="AL23" s="55">
        <f>((J23/4)*X23)/10^6</f>
        <v>3.8419589041095888E-4</v>
      </c>
      <c r="AM23" s="55">
        <f>((J23/4)*Y23)/10^6</f>
        <v>5.378742465753425E-2</v>
      </c>
      <c r="AN23" s="55">
        <f>(($J$23/4)*Z23)/10^6</f>
        <v>3.5217956621004568E-3</v>
      </c>
    </row>
    <row r="24" spans="1:40" s="2" customFormat="1" ht="15" customHeight="1">
      <c r="A24" s="50" t="s">
        <v>20</v>
      </c>
      <c r="B24" s="50" t="s">
        <v>17</v>
      </c>
      <c r="C24" s="148">
        <v>-20.184381999999999</v>
      </c>
      <c r="D24" s="148">
        <v>-40.242491999999999</v>
      </c>
      <c r="E24" s="54">
        <v>14.4</v>
      </c>
      <c r="F24" s="53">
        <v>0.5</v>
      </c>
      <c r="G24" s="142">
        <v>190</v>
      </c>
      <c r="H24" s="140">
        <v>10800</v>
      </c>
      <c r="I24" s="51">
        <f t="shared" si="0"/>
        <v>6369.4699341466039</v>
      </c>
      <c r="J24" s="289"/>
      <c r="K24" s="58"/>
      <c r="M24" s="53"/>
      <c r="N24" s="53"/>
      <c r="O24" s="53"/>
      <c r="P24" s="53"/>
      <c r="Q24" s="53"/>
      <c r="R24" s="53"/>
      <c r="S24" s="53"/>
      <c r="T24" s="53">
        <f>'FE-Combustão'!C12</f>
        <v>121.6</v>
      </c>
      <c r="U24" s="53"/>
      <c r="V24" s="53"/>
      <c r="W24" s="53">
        <f>'FE-Combustão'!D5</f>
        <v>1600</v>
      </c>
      <c r="X24" s="53">
        <f>'FE-Combustão'!C10</f>
        <v>9.6</v>
      </c>
      <c r="Y24" s="53">
        <f>'FE-Combustão'!D6</f>
        <v>1344</v>
      </c>
      <c r="Z24" s="53">
        <f>'FE-Combustão'!C11</f>
        <v>88</v>
      </c>
      <c r="AA24" s="55"/>
      <c r="AB24" s="55"/>
      <c r="AC24" s="55"/>
      <c r="AD24" s="55"/>
      <c r="AE24" s="55"/>
      <c r="AF24" s="55"/>
      <c r="AG24" s="55"/>
      <c r="AH24" s="55">
        <f>((J23/4)*T24)/10^6</f>
        <v>4.8664812785388133E-3</v>
      </c>
      <c r="AI24" s="55">
        <f>AH24</f>
        <v>4.8664812785388133E-3</v>
      </c>
      <c r="AJ24" s="55">
        <f t="shared" si="4"/>
        <v>4.8664812785388133E-3</v>
      </c>
      <c r="AK24" s="55">
        <f>((J23/4)*W24)/10^6</f>
        <v>6.4032648401826486E-2</v>
      </c>
      <c r="AL24" s="55">
        <f>((J23/4)*X24)/10^6</f>
        <v>3.8419589041095888E-4</v>
      </c>
      <c r="AM24" s="55">
        <f>((J23/4)*Y24)/10^6</f>
        <v>5.378742465753425E-2</v>
      </c>
      <c r="AN24" s="55">
        <f>(($J$23/4)*Z24)/10^6</f>
        <v>3.5217956621004568E-3</v>
      </c>
    </row>
    <row r="25" spans="1:40" s="2" customFormat="1" ht="15" customHeight="1">
      <c r="A25" s="50" t="s">
        <v>20</v>
      </c>
      <c r="B25" s="50" t="s">
        <v>76</v>
      </c>
      <c r="C25" s="148">
        <v>-20.184338</v>
      </c>
      <c r="D25" s="148">
        <v>-40.242387000000001</v>
      </c>
      <c r="E25" s="54">
        <v>14.4</v>
      </c>
      <c r="F25" s="53">
        <v>0.5</v>
      </c>
      <c r="G25" s="142">
        <v>200</v>
      </c>
      <c r="H25" s="140">
        <v>10800</v>
      </c>
      <c r="I25" s="51">
        <f t="shared" si="0"/>
        <v>6234.8515269998934</v>
      </c>
      <c r="J25" s="289"/>
      <c r="K25" s="58"/>
      <c r="M25" s="53"/>
      <c r="N25" s="53"/>
      <c r="O25" s="53"/>
      <c r="P25" s="53"/>
      <c r="Q25" s="53"/>
      <c r="R25" s="53"/>
      <c r="S25" s="53"/>
      <c r="T25" s="53">
        <f>'FE-Combustão'!C12</f>
        <v>121.6</v>
      </c>
      <c r="U25" s="53"/>
      <c r="V25" s="53"/>
      <c r="W25" s="53">
        <f>'FE-Combustão'!D5</f>
        <v>1600</v>
      </c>
      <c r="X25" s="53">
        <f>'FE-Combustão'!C10</f>
        <v>9.6</v>
      </c>
      <c r="Y25" s="53">
        <f>'FE-Combustão'!D6</f>
        <v>1344</v>
      </c>
      <c r="Z25" s="53">
        <f>'FE-Combustão'!C11</f>
        <v>88</v>
      </c>
      <c r="AA25" s="55"/>
      <c r="AB25" s="55"/>
      <c r="AC25" s="55"/>
      <c r="AD25" s="55"/>
      <c r="AE25" s="55"/>
      <c r="AF25" s="55"/>
      <c r="AG25" s="55"/>
      <c r="AH25" s="55">
        <f>((J23/4)*T25)/10^6</f>
        <v>4.8664812785388133E-3</v>
      </c>
      <c r="AI25" s="55">
        <f t="shared" si="3"/>
        <v>4.8664812785388133E-3</v>
      </c>
      <c r="AJ25" s="55">
        <f t="shared" si="4"/>
        <v>4.8664812785388133E-3</v>
      </c>
      <c r="AK25" s="55">
        <f>((J23/4)*W25)/10^6</f>
        <v>6.4032648401826486E-2</v>
      </c>
      <c r="AL25" s="55">
        <f>((J23/4)*X25)/10^6</f>
        <v>3.8419589041095888E-4</v>
      </c>
      <c r="AM25" s="55">
        <f>((J23/4)*Y25)/10^6</f>
        <v>5.378742465753425E-2</v>
      </c>
      <c r="AN25" s="55">
        <f>(($J$23/4)*Z25)/10^6</f>
        <v>3.5217956621004568E-3</v>
      </c>
    </row>
    <row r="26" spans="1:40" s="2" customFormat="1" ht="15" customHeight="1">
      <c r="A26" s="69" t="s">
        <v>20</v>
      </c>
      <c r="B26" s="69" t="s">
        <v>77</v>
      </c>
      <c r="C26" s="148">
        <v>-20.184293</v>
      </c>
      <c r="D26" s="148">
        <v>-40.2423</v>
      </c>
      <c r="E26" s="71">
        <v>14.4</v>
      </c>
      <c r="F26" s="72">
        <v>0.5</v>
      </c>
      <c r="G26" s="143">
        <v>200</v>
      </c>
      <c r="H26" s="141">
        <v>10800</v>
      </c>
      <c r="I26" s="70">
        <f t="shared" si="0"/>
        <v>6234.8515269998934</v>
      </c>
      <c r="J26" s="290"/>
      <c r="K26" s="164"/>
      <c r="M26" s="72"/>
      <c r="N26" s="72"/>
      <c r="O26" s="72"/>
      <c r="P26" s="72"/>
      <c r="Q26" s="72"/>
      <c r="R26" s="72"/>
      <c r="S26" s="72"/>
      <c r="T26" s="72">
        <f>'FE-Combustão'!C12</f>
        <v>121.6</v>
      </c>
      <c r="U26" s="72"/>
      <c r="V26" s="72"/>
      <c r="W26" s="72">
        <f>'FE-Combustão'!D5</f>
        <v>1600</v>
      </c>
      <c r="X26" s="72">
        <f>'FE-Combustão'!C10</f>
        <v>9.6</v>
      </c>
      <c r="Y26" s="72">
        <f>'FE-Combustão'!D6</f>
        <v>1344</v>
      </c>
      <c r="Z26" s="72">
        <f>'FE-Combustão'!C11</f>
        <v>88</v>
      </c>
      <c r="AA26" s="55"/>
      <c r="AB26" s="55"/>
      <c r="AC26" s="55"/>
      <c r="AD26" s="55"/>
      <c r="AE26" s="55"/>
      <c r="AF26" s="55"/>
      <c r="AG26" s="55"/>
      <c r="AH26" s="55">
        <f>((J23/4)*T26)/10^6</f>
        <v>4.8664812785388133E-3</v>
      </c>
      <c r="AI26" s="55">
        <f t="shared" si="3"/>
        <v>4.8664812785388133E-3</v>
      </c>
      <c r="AJ26" s="55">
        <f t="shared" si="4"/>
        <v>4.8664812785388133E-3</v>
      </c>
      <c r="AK26" s="55">
        <f>((J23/4)*W26)/10^6</f>
        <v>6.4032648401826486E-2</v>
      </c>
      <c r="AL26" s="55">
        <f>((J23/4)*X26)/10^6</f>
        <v>3.8419589041095888E-4</v>
      </c>
      <c r="AM26" s="55">
        <f>((J23/4)*Y26)/10^6</f>
        <v>5.378742465753425E-2</v>
      </c>
      <c r="AN26" s="55">
        <f>(($J$23/4)*Z26)/10^6</f>
        <v>3.5217956621004568E-3</v>
      </c>
    </row>
    <row r="27" spans="1:40" ht="15" customHeight="1">
      <c r="A27" s="292" t="s">
        <v>222</v>
      </c>
      <c r="B27" s="293"/>
      <c r="C27" s="293"/>
      <c r="D27" s="293"/>
      <c r="E27" s="293"/>
      <c r="F27" s="293"/>
      <c r="G27" s="293"/>
      <c r="H27" s="293"/>
      <c r="I27" s="293"/>
      <c r="J27" s="293"/>
      <c r="K27" s="293"/>
      <c r="L27" s="293"/>
      <c r="M27" s="293"/>
      <c r="N27" s="293"/>
      <c r="O27" s="293"/>
      <c r="P27" s="293"/>
      <c r="Q27" s="293"/>
      <c r="R27" s="293"/>
      <c r="S27" s="293"/>
      <c r="T27" s="293"/>
      <c r="U27" s="293"/>
      <c r="V27" s="293"/>
      <c r="W27" s="293"/>
      <c r="X27" s="293"/>
      <c r="Y27" s="293"/>
      <c r="Z27" s="293"/>
      <c r="AA27" s="293"/>
      <c r="AB27" s="293"/>
      <c r="AC27" s="293"/>
      <c r="AD27" s="293"/>
      <c r="AE27" s="293"/>
      <c r="AF27" s="293"/>
      <c r="AG27" s="294"/>
      <c r="AH27" s="208">
        <f>SUM(AH10:AH26)</f>
        <v>9.5578077779229407</v>
      </c>
      <c r="AI27" s="208">
        <f t="shared" ref="AI27:AN27" si="5">SUM(AI10:AI26)</f>
        <v>9.5578077779229407</v>
      </c>
      <c r="AJ27" s="208">
        <f t="shared" si="5"/>
        <v>9.5578077779229407</v>
      </c>
      <c r="AK27" s="208">
        <f>SUM(AK10:AK26)</f>
        <v>11.478618630136983</v>
      </c>
      <c r="AL27" s="208">
        <f t="shared" si="5"/>
        <v>2.4664671608281896</v>
      </c>
      <c r="AM27" s="208">
        <f t="shared" si="5"/>
        <v>78.677400437657695</v>
      </c>
      <c r="AN27" s="208">
        <f t="shared" si="5"/>
        <v>9.7459358772457314</v>
      </c>
    </row>
    <row r="28" spans="1:40" s="38" customFormat="1" ht="15" customHeight="1">
      <c r="H28" s="3"/>
      <c r="L28" s="37"/>
      <c r="M28" s="37"/>
      <c r="N28" s="37"/>
      <c r="O28" s="37"/>
      <c r="Q28" s="37"/>
      <c r="R28" s="37"/>
      <c r="S28" s="37"/>
      <c r="T28" s="37"/>
      <c r="U28" s="37"/>
      <c r="V28" s="37"/>
      <c r="X28" s="37"/>
      <c r="Y28" s="37"/>
      <c r="Z28" s="37"/>
    </row>
    <row r="29" spans="1:40" ht="15" customHeight="1">
      <c r="A29" s="2"/>
      <c r="J29" s="134"/>
    </row>
    <row r="30" spans="1:40" ht="15" customHeight="1">
      <c r="A30" s="4"/>
      <c r="AA30" s="2"/>
    </row>
    <row r="31" spans="1:40" ht="15" customHeight="1">
      <c r="A31" s="29"/>
      <c r="B31" s="30"/>
      <c r="C31" s="30"/>
      <c r="D31" s="30"/>
      <c r="E31" s="30"/>
      <c r="F31" s="30"/>
      <c r="G31" s="30"/>
      <c r="AA31" s="2"/>
      <c r="AH31" s="38">
        <f>AH29/6</f>
        <v>0</v>
      </c>
    </row>
    <row r="32" spans="1:40" ht="15" customHeight="1">
      <c r="A32" s="2"/>
      <c r="AA32" s="2"/>
    </row>
    <row r="33" spans="1:27" ht="15" customHeight="1">
      <c r="A33" s="2"/>
      <c r="AA33" s="2"/>
    </row>
    <row r="34" spans="1:27" ht="15" customHeight="1">
      <c r="A34" s="2"/>
      <c r="AA34" s="2"/>
    </row>
    <row r="35" spans="1:27" ht="15" customHeight="1">
      <c r="AA35" s="2"/>
    </row>
    <row r="36" spans="1:27" ht="15" customHeight="1">
      <c r="AA36" s="2"/>
    </row>
  </sheetData>
  <sheetProtection algorithmName="SHA-512" hashValue="qusy8GKTJKW+vlxv1Nsz7CbvPXcf2oBZDIlXvaW+f0NHKPFa//32FD2CyOZQA0BTMSt1tRWewXTc4jhRUqe/fA==" saltValue="rYywo+OdL+xNb5mnpufZiw==" spinCount="100000" sheet="1" objects="1" scenarios="1"/>
  <mergeCells count="22">
    <mergeCell ref="A27:AG27"/>
    <mergeCell ref="D1:E1"/>
    <mergeCell ref="H1:I1"/>
    <mergeCell ref="G8:G9"/>
    <mergeCell ref="K8:K9"/>
    <mergeCell ref="J8:J9"/>
    <mergeCell ref="H8:H9"/>
    <mergeCell ref="E8:E9"/>
    <mergeCell ref="F8:F9"/>
    <mergeCell ref="I8:I9"/>
    <mergeCell ref="AA8:AG8"/>
    <mergeCell ref="M8:S8"/>
    <mergeCell ref="T8:Z8"/>
    <mergeCell ref="A8:A9"/>
    <mergeCell ref="C8:C9"/>
    <mergeCell ref="AH8:AN8"/>
    <mergeCell ref="B8:B9"/>
    <mergeCell ref="J21:J22"/>
    <mergeCell ref="J23:J26"/>
    <mergeCell ref="L8:L9"/>
    <mergeCell ref="J19:J20"/>
    <mergeCell ref="D8:D9"/>
  </mergeCells>
  <pageMargins left="0.511811024" right="0.511811024" top="0.78740157499999996" bottom="0.78740157499999996" header="0.31496062000000002" footer="0.31496062000000002"/>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8"/>
  <sheetViews>
    <sheetView topLeftCell="B1" workbookViewId="0">
      <selection activeCell="T7" sqref="T7"/>
    </sheetView>
  </sheetViews>
  <sheetFormatPr defaultRowHeight="15" customHeight="1"/>
  <cols>
    <col min="1" max="1" width="31" style="46" customWidth="1"/>
    <col min="2" max="3" width="14" style="46" customWidth="1"/>
    <col min="4" max="4" width="14.140625" style="46" customWidth="1"/>
    <col min="5" max="5" width="26.85546875" style="46" customWidth="1"/>
    <col min="6" max="6" width="12.28515625" style="46" customWidth="1"/>
    <col min="7" max="7" width="10.42578125" style="46" customWidth="1"/>
    <col min="8" max="8" width="9.85546875" style="46" customWidth="1"/>
    <col min="9" max="9" width="13.140625" style="46" customWidth="1"/>
    <col min="10" max="10" width="10.7109375" style="46" customWidth="1"/>
    <col min="11" max="11" width="9.7109375" style="46" customWidth="1"/>
    <col min="12" max="13" width="9.140625" style="46" customWidth="1"/>
    <col min="14" max="23" width="9.140625" style="46"/>
    <col min="24" max="24" width="9.7109375" style="46" customWidth="1"/>
    <col min="25" max="25" width="15.28515625" style="46" customWidth="1"/>
    <col min="26" max="26" width="9.140625" style="46"/>
    <col min="27" max="27" width="20.7109375" style="46" customWidth="1"/>
    <col min="28" max="16384" width="9.140625" style="46"/>
  </cols>
  <sheetData>
    <row r="1" spans="1:25" s="87" customFormat="1" ht="15" customHeight="1">
      <c r="A1" s="280" t="s">
        <v>238</v>
      </c>
      <c r="B1" s="280" t="s">
        <v>223</v>
      </c>
      <c r="C1" s="280" t="s">
        <v>224</v>
      </c>
      <c r="D1" s="280" t="s">
        <v>126</v>
      </c>
      <c r="E1" s="280" t="s">
        <v>59</v>
      </c>
      <c r="F1" s="280" t="s">
        <v>63</v>
      </c>
      <c r="G1" s="280" t="s">
        <v>236</v>
      </c>
      <c r="H1" s="280" t="s">
        <v>60</v>
      </c>
      <c r="I1" s="304" t="s">
        <v>94</v>
      </c>
      <c r="J1" s="304"/>
      <c r="K1" s="304"/>
      <c r="L1" s="304"/>
      <c r="M1" s="304"/>
      <c r="N1" s="299" t="s">
        <v>78</v>
      </c>
      <c r="O1" s="300"/>
      <c r="P1" s="300"/>
      <c r="Q1" s="300"/>
      <c r="R1" s="300"/>
      <c r="S1" s="300"/>
      <c r="T1" s="301"/>
    </row>
    <row r="2" spans="1:25" s="87" customFormat="1" ht="15" customHeight="1">
      <c r="A2" s="281"/>
      <c r="B2" s="281"/>
      <c r="C2" s="281"/>
      <c r="D2" s="281"/>
      <c r="E2" s="281"/>
      <c r="F2" s="281"/>
      <c r="G2" s="281"/>
      <c r="H2" s="281"/>
      <c r="I2" s="79" t="s">
        <v>69</v>
      </c>
      <c r="J2" s="80" t="s">
        <v>96</v>
      </c>
      <c r="K2" s="80" t="s">
        <v>95</v>
      </c>
      <c r="L2" s="80" t="s">
        <v>21</v>
      </c>
      <c r="M2" s="80" t="s">
        <v>26</v>
      </c>
      <c r="N2" s="147" t="s">
        <v>69</v>
      </c>
      <c r="O2" s="147" t="s">
        <v>105</v>
      </c>
      <c r="P2" s="147" t="s">
        <v>106</v>
      </c>
      <c r="Q2" s="80" t="s">
        <v>95</v>
      </c>
      <c r="R2" s="147" t="s">
        <v>96</v>
      </c>
      <c r="S2" s="147" t="s">
        <v>21</v>
      </c>
      <c r="T2" s="147" t="s">
        <v>26</v>
      </c>
    </row>
    <row r="3" spans="1:25" s="47" customFormat="1" ht="15" customHeight="1">
      <c r="A3" s="50" t="s">
        <v>125</v>
      </c>
      <c r="B3" s="139">
        <v>-20.178364999999999</v>
      </c>
      <c r="C3" s="139">
        <v>-40.241069000000003</v>
      </c>
      <c r="D3" s="77" t="s">
        <v>127</v>
      </c>
      <c r="E3" s="77" t="s">
        <v>210</v>
      </c>
      <c r="F3" s="78">
        <v>1</v>
      </c>
      <c r="G3" s="78">
        <v>98</v>
      </c>
      <c r="H3" s="56">
        <v>10</v>
      </c>
      <c r="I3" s="85">
        <f>'FE-Máq e Equip'!C7</f>
        <v>4.3689955953397884E-2</v>
      </c>
      <c r="J3" s="114">
        <f>'FE-Máq e Equip'!D7</f>
        <v>0.46744735992116221</v>
      </c>
      <c r="K3" s="114">
        <f>'FE-Máq e Equip'!E7</f>
        <v>3.9173850602458582E-4</v>
      </c>
      <c r="L3" s="114">
        <f>'FE-Máq e Equip'!F7</f>
        <v>0.24966648844319658</v>
      </c>
      <c r="M3" s="114">
        <f>'FE-Máq e Equip'!G7</f>
        <v>8.1017998911048009E-2</v>
      </c>
      <c r="N3" s="211">
        <f>F3*(H3/24)*I3</f>
        <v>1.8204148313915786E-2</v>
      </c>
      <c r="O3" s="211">
        <f t="shared" ref="O3:P5" si="0">N3</f>
        <v>1.8204148313915786E-2</v>
      </c>
      <c r="P3" s="211">
        <f t="shared" si="0"/>
        <v>1.8204148313915786E-2</v>
      </c>
      <c r="Q3" s="211">
        <f>F3*(H3/24)*K3</f>
        <v>1.632243775102441E-4</v>
      </c>
      <c r="R3" s="211">
        <f>F3*(H3/24)*J3</f>
        <v>0.19476973330048425</v>
      </c>
      <c r="S3" s="211">
        <f>F3*(H3/24)*L3</f>
        <v>0.10402770351799857</v>
      </c>
      <c r="T3" s="211">
        <f>F3*(H3/24)*M3</f>
        <v>3.3757499546270005E-2</v>
      </c>
    </row>
    <row r="4" spans="1:25" s="47" customFormat="1" ht="15" customHeight="1">
      <c r="A4" s="50" t="s">
        <v>82</v>
      </c>
      <c r="B4" s="139">
        <v>-20.178601</v>
      </c>
      <c r="C4" s="139">
        <v>-40.240962000000003</v>
      </c>
      <c r="D4" s="77" t="s">
        <v>128</v>
      </c>
      <c r="E4" s="77" t="s">
        <v>211</v>
      </c>
      <c r="F4" s="78">
        <v>3</v>
      </c>
      <c r="G4" s="78">
        <v>154</v>
      </c>
      <c r="H4" s="56">
        <v>10</v>
      </c>
      <c r="I4" s="86">
        <f>'FE-Máq e Equip'!C23</f>
        <v>3.0494211856921132E-2</v>
      </c>
      <c r="J4" s="114">
        <f>'FE-Máq e Equip'!D23</f>
        <v>5.1744770686997182E-4</v>
      </c>
      <c r="K4" s="114">
        <f>'FE-Máq e Equip'!E23</f>
        <v>0.5481767178539948</v>
      </c>
      <c r="L4" s="114">
        <f>'FE-Máq e Equip'!F23</f>
        <v>0.26843480692719468</v>
      </c>
      <c r="M4" s="114">
        <f>'FE-Máq e Equip'!G23</f>
        <v>6.8627595472196185E-2</v>
      </c>
      <c r="N4" s="211">
        <f>F4*(H4/24)*I4</f>
        <v>3.8117764821151416E-2</v>
      </c>
      <c r="O4" s="211">
        <f t="shared" si="0"/>
        <v>3.8117764821151416E-2</v>
      </c>
      <c r="P4" s="211">
        <f t="shared" si="0"/>
        <v>3.8117764821151416E-2</v>
      </c>
      <c r="Q4" s="211">
        <f>F4*(H4/24)*K4</f>
        <v>0.68522089731749347</v>
      </c>
      <c r="R4" s="211">
        <f>F4*(H4/24)*J4</f>
        <v>6.4680963358746475E-4</v>
      </c>
      <c r="S4" s="211">
        <f>F4*(H4/24)*L4</f>
        <v>0.33554350865899335</v>
      </c>
      <c r="T4" s="211">
        <f>F4*(H4/24)*M4</f>
        <v>8.5784494340245238E-2</v>
      </c>
    </row>
    <row r="5" spans="1:25" s="47" customFormat="1" ht="15" customHeight="1">
      <c r="A5" s="50" t="s">
        <v>81</v>
      </c>
      <c r="B5" s="139">
        <v>-20.178601</v>
      </c>
      <c r="C5" s="139">
        <v>-40.240962000000003</v>
      </c>
      <c r="D5" s="77" t="s">
        <v>129</v>
      </c>
      <c r="E5" s="77" t="s">
        <v>211</v>
      </c>
      <c r="F5" s="78">
        <v>1</v>
      </c>
      <c r="G5" s="78">
        <v>154</v>
      </c>
      <c r="H5" s="56">
        <v>10</v>
      </c>
      <c r="I5" s="86">
        <f>'FE-Máq e Equip'!C23</f>
        <v>3.0494211856921132E-2</v>
      </c>
      <c r="J5" s="114">
        <f>'FE-Máq e Equip'!D23</f>
        <v>5.1744770686997182E-4</v>
      </c>
      <c r="K5" s="114">
        <f>'FE-Máq e Equip'!E23</f>
        <v>0.5481767178539948</v>
      </c>
      <c r="L5" s="114">
        <f>'FE-Máq e Equip'!F23</f>
        <v>0.26843480692719468</v>
      </c>
      <c r="M5" s="114">
        <f>'FE-Máq e Equip'!G23</f>
        <v>6.8627595472196185E-2</v>
      </c>
      <c r="N5" s="211">
        <f>F5*(H5/24)*I5</f>
        <v>1.2705921607050473E-2</v>
      </c>
      <c r="O5" s="211">
        <f t="shared" si="0"/>
        <v>1.2705921607050473E-2</v>
      </c>
      <c r="P5" s="211">
        <f t="shared" si="0"/>
        <v>1.2705921607050473E-2</v>
      </c>
      <c r="Q5" s="211">
        <f>F5*(H5/24)*K5</f>
        <v>0.22840696577249783</v>
      </c>
      <c r="R5" s="211">
        <f>F5*(H5/24)*J5</f>
        <v>2.156032111958216E-4</v>
      </c>
      <c r="S5" s="211">
        <f>F5*(H5/24)*L5</f>
        <v>0.11184783621966446</v>
      </c>
      <c r="T5" s="211">
        <f>F5*(H5/24)*M5</f>
        <v>2.859483144674841E-2</v>
      </c>
    </row>
    <row r="6" spans="1:25" s="47" customFormat="1" ht="15" customHeight="1">
      <c r="A6" s="50" t="s">
        <v>237</v>
      </c>
      <c r="B6" s="139">
        <v>-20.184055000000001</v>
      </c>
      <c r="C6" s="139">
        <v>-40.242849999999997</v>
      </c>
      <c r="D6" s="77" t="s">
        <v>130</v>
      </c>
      <c r="E6" s="77" t="s">
        <v>212</v>
      </c>
      <c r="F6" s="78">
        <v>1</v>
      </c>
      <c r="G6" s="78">
        <v>73</v>
      </c>
      <c r="H6" s="84">
        <f>(2/7)*5</f>
        <v>1.4285714285714284</v>
      </c>
      <c r="I6" s="86">
        <f>'FE-Máq e Equip'!C16</f>
        <v>4.5517094028888462E-2</v>
      </c>
      <c r="J6" s="114">
        <f>'FE-Máq e Equip'!D16</f>
        <v>3.9927885950968427E-4</v>
      </c>
      <c r="K6" s="114">
        <f>'FE-Máq e Equip'!E16</f>
        <v>0.48082470392982685</v>
      </c>
      <c r="L6" s="114">
        <f>'FE-Máq e Equip'!F16</f>
        <v>0.25127549070535399</v>
      </c>
      <c r="M6" s="114">
        <f>'FE-Máq e Equip'!G16</f>
        <v>8.5507711337517334E-2</v>
      </c>
      <c r="N6" s="211">
        <f>F6*(H6/24)*I6</f>
        <v>2.7093508350528842E-3</v>
      </c>
      <c r="O6" s="211">
        <f>N6</f>
        <v>2.7093508350528842E-3</v>
      </c>
      <c r="P6" s="211">
        <f t="shared" ref="P6" si="1">O6</f>
        <v>2.7093508350528842E-3</v>
      </c>
      <c r="Q6" s="211">
        <f>F6*(H6/24)*K6</f>
        <v>2.8620518091061118E-2</v>
      </c>
      <c r="R6" s="211">
        <f>F6*(H6/24)*J6</f>
        <v>2.3766598780338347E-5</v>
      </c>
      <c r="S6" s="211">
        <f>F6*(H6/24)*L6</f>
        <v>1.4956874446747259E-2</v>
      </c>
      <c r="T6" s="211">
        <f>F6*(H6/24)*M6</f>
        <v>5.0897447224712688E-3</v>
      </c>
    </row>
    <row r="7" spans="1:25" s="47" customFormat="1" ht="15" customHeight="1">
      <c r="A7" s="302" t="s">
        <v>222</v>
      </c>
      <c r="B7" s="303"/>
      <c r="C7" s="303"/>
      <c r="D7" s="303"/>
      <c r="E7" s="303"/>
      <c r="F7" s="303"/>
      <c r="G7" s="303"/>
      <c r="H7" s="303"/>
      <c r="I7" s="303"/>
      <c r="J7" s="303"/>
      <c r="K7" s="303"/>
      <c r="L7" s="303"/>
      <c r="M7" s="303"/>
      <c r="N7" s="210">
        <f>SUM(N3:N6)</f>
        <v>7.1737185577170556E-2</v>
      </c>
      <c r="O7" s="210">
        <f t="shared" ref="O7:T7" si="2">SUM(O3:O6)</f>
        <v>7.1737185577170556E-2</v>
      </c>
      <c r="P7" s="210">
        <f t="shared" si="2"/>
        <v>7.1737185577170556E-2</v>
      </c>
      <c r="Q7" s="210">
        <f>SUM(Q3:Q6)</f>
        <v>0.94241160555856274</v>
      </c>
      <c r="R7" s="210">
        <f t="shared" si="2"/>
        <v>0.19565591274404787</v>
      </c>
      <c r="S7" s="210">
        <f t="shared" si="2"/>
        <v>0.56637592284340355</v>
      </c>
      <c r="T7" s="210">
        <f t="shared" si="2"/>
        <v>0.1532265700557349</v>
      </c>
      <c r="U7" s="46"/>
      <c r="V7" s="46"/>
      <c r="W7" s="46"/>
      <c r="X7" s="46"/>
      <c r="Y7" s="46"/>
    </row>
    <row r="8" spans="1:25" ht="15" customHeight="1">
      <c r="I8" s="49"/>
      <c r="J8" s="36"/>
    </row>
    <row r="9" spans="1:25" ht="15" customHeight="1">
      <c r="I9" s="49"/>
      <c r="J9" s="2"/>
    </row>
    <row r="10" spans="1:25" ht="15" customHeight="1">
      <c r="I10" s="49"/>
      <c r="J10" s="2"/>
    </row>
    <row r="26" spans="2:2" ht="15" customHeight="1">
      <c r="B26" s="151"/>
    </row>
    <row r="48" spans="11:11" ht="15" customHeight="1">
      <c r="K48" s="36"/>
    </row>
  </sheetData>
  <sheetProtection algorithmName="SHA-512" hashValue="8i9t0ePBr+8DLiJhBw163k8WaWfNO2Vc8oCuQG5/nW/PNgjg+Xk+wJyB7zfVGNnyy9qnXA+AlxIqWSXhQJjOYA==" saltValue="y9SnSfDtE5vOfeUJf7ZS8w==" spinCount="100000" sheet="1" objects="1" scenarios="1"/>
  <mergeCells count="11">
    <mergeCell ref="N1:T1"/>
    <mergeCell ref="A7:M7"/>
    <mergeCell ref="I1:M1"/>
    <mergeCell ref="A1:A2"/>
    <mergeCell ref="E1:E2"/>
    <mergeCell ref="F1:F2"/>
    <mergeCell ref="G1:G2"/>
    <mergeCell ref="H1:H2"/>
    <mergeCell ref="D1:D2"/>
    <mergeCell ref="B1:B2"/>
    <mergeCell ref="C1:C2"/>
  </mergeCells>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Potência Térmica</vt:lpstr>
      <vt:lpstr>FE-Fábrica Ceramica</vt:lpstr>
      <vt:lpstr>FE-Combustão</vt:lpstr>
      <vt:lpstr>FE-Máq e Equip</vt:lpstr>
      <vt:lpstr>FE-Brit e Pen</vt:lpstr>
      <vt:lpstr>Monitoramento Manual</vt:lpstr>
      <vt:lpstr>Emissão Brit e Pen</vt:lpstr>
      <vt:lpstr>Emissão Chaminés</vt:lpstr>
      <vt:lpstr>Emissão Máq e Equip</vt:lpstr>
      <vt:lpstr>Emissão Transferências</vt:lpstr>
      <vt:lpstr>Resumo</vt:lpstr>
    </vt:vector>
  </TitlesOfParts>
  <Company>EcoSoft Consultoria e Softwares Ambientais Ltda.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Wilhiam</dc:creator>
  <cp:lastModifiedBy>Tatiane Jardim Morais</cp:lastModifiedBy>
  <dcterms:created xsi:type="dcterms:W3CDTF">2013-07-17T12:14:17Z</dcterms:created>
  <dcterms:modified xsi:type="dcterms:W3CDTF">2019-06-06T19:28:42Z</dcterms:modified>
</cp:coreProperties>
</file>