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Brasitália\"/>
    </mc:Choice>
  </mc:AlternateContent>
  <bookViews>
    <workbookView xWindow="0" yWindow="0" windowWidth="24000" windowHeight="9135" tabRatio="903" firstSheet="1" activeTab="11"/>
  </bookViews>
  <sheets>
    <sheet name="FE-Perf e Det" sheetId="20" r:id="rId1"/>
    <sheet name="FE-Maq e Equip" sheetId="6" r:id="rId2"/>
    <sheet name="FE-Transferências" sheetId="10" r:id="rId3"/>
    <sheet name="FE-Brit e Pen" sheetId="25" r:id="rId4"/>
    <sheet name="FE-Vias" sheetId="13" r:id="rId5"/>
    <sheet name="Dados" sheetId="16" r:id="rId6"/>
    <sheet name="Emissão Perf e Det" sheetId="18" r:id="rId7"/>
    <sheet name="Emissão Maq e Equip" sheetId="5" r:id="rId8"/>
    <sheet name="Emissão Transferências" sheetId="8" r:id="rId9"/>
    <sheet name="Emissão Brit e Pen" sheetId="22" r:id="rId10"/>
    <sheet name="Emissão Vias " sheetId="9" r:id="rId11"/>
    <sheet name="Resumo" sheetId="26" r:id="rId12"/>
  </sheets>
  <definedNames>
    <definedName name="FE_Equip">'FE-Maq e Equip'!$B$3:$I$72</definedName>
    <definedName name="Pot_Equip">'FE-Maq e Equip'!$B$3:$B$72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6" l="1"/>
  <c r="D21" i="8" l="1"/>
  <c r="I11" i="9" l="1"/>
  <c r="H10" i="9"/>
  <c r="H11" i="9"/>
  <c r="AJ11" i="9"/>
  <c r="Q11" i="9"/>
  <c r="R11" i="9"/>
  <c r="S11" i="9"/>
  <c r="T11" i="9"/>
  <c r="U11" i="9"/>
  <c r="AH11" i="9" s="1"/>
  <c r="V11" i="9"/>
  <c r="AI11" i="9" s="1"/>
  <c r="W11" i="9"/>
  <c r="AG11" i="9" l="1"/>
  <c r="I10" i="9" l="1"/>
  <c r="Q10" i="9"/>
  <c r="R10" i="9"/>
  <c r="S10" i="9"/>
  <c r="T10" i="9"/>
  <c r="U10" i="9"/>
  <c r="V10" i="9"/>
  <c r="W10" i="9"/>
  <c r="H12" i="9"/>
  <c r="H4" i="9"/>
  <c r="AG10" i="9" l="1"/>
  <c r="AI10" i="9"/>
  <c r="AJ10" i="9"/>
  <c r="AH10" i="9"/>
  <c r="G11" i="18"/>
  <c r="F11" i="18"/>
  <c r="G10" i="18"/>
  <c r="F10" i="18"/>
  <c r="L11" i="18" l="1"/>
  <c r="K11" i="18"/>
  <c r="L10" i="18"/>
  <c r="K10" i="18"/>
  <c r="D31" i="8"/>
  <c r="D5" i="8"/>
  <c r="AB12" i="9" l="1"/>
  <c r="AC12" i="9"/>
  <c r="AA12" i="9"/>
  <c r="Y12" i="9"/>
  <c r="Z12" i="9"/>
  <c r="X12" i="9"/>
  <c r="G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Q9" i="9" l="1"/>
  <c r="R9" i="9"/>
  <c r="S9" i="9"/>
  <c r="T9" i="9"/>
  <c r="U9" i="9"/>
  <c r="V9" i="9"/>
  <c r="W9" i="9"/>
  <c r="Q12" i="9"/>
  <c r="R12" i="9"/>
  <c r="S12" i="9"/>
  <c r="T12" i="9"/>
  <c r="U12" i="9"/>
  <c r="V12" i="9"/>
  <c r="W12" i="9"/>
  <c r="Q8" i="9" l="1"/>
  <c r="R8" i="9"/>
  <c r="S8" i="9"/>
  <c r="T8" i="9"/>
  <c r="U8" i="9"/>
  <c r="V8" i="9"/>
  <c r="W8" i="9"/>
  <c r="Q7" i="9"/>
  <c r="R7" i="9"/>
  <c r="S7" i="9"/>
  <c r="T7" i="9"/>
  <c r="U7" i="9"/>
  <c r="V7" i="9"/>
  <c r="W7" i="9"/>
  <c r="G15" i="22"/>
  <c r="G14" i="22"/>
  <c r="G13" i="22"/>
  <c r="G12" i="22"/>
  <c r="E12" i="22"/>
  <c r="F12" i="22"/>
  <c r="E13" i="22"/>
  <c r="F13" i="22"/>
  <c r="E14" i="22"/>
  <c r="F14" i="22"/>
  <c r="E15" i="22"/>
  <c r="F15" i="22"/>
  <c r="F11" i="22"/>
  <c r="F10" i="22"/>
  <c r="E11" i="22"/>
  <c r="E10" i="22"/>
  <c r="F28" i="8"/>
  <c r="G28" i="8"/>
  <c r="H28" i="8"/>
  <c r="F27" i="8"/>
  <c r="G27" i="8"/>
  <c r="H27" i="8"/>
  <c r="F24" i="8"/>
  <c r="G24" i="8"/>
  <c r="H24" i="8"/>
  <c r="F25" i="8"/>
  <c r="G25" i="8"/>
  <c r="H25" i="8"/>
  <c r="F26" i="8"/>
  <c r="G26" i="8"/>
  <c r="H26" i="8"/>
  <c r="F29" i="8"/>
  <c r="G29" i="8"/>
  <c r="H29" i="8"/>
  <c r="F30" i="8"/>
  <c r="G30" i="8"/>
  <c r="H30" i="8"/>
  <c r="F23" i="8"/>
  <c r="G23" i="8"/>
  <c r="H23" i="8"/>
  <c r="F16" i="8" l="1"/>
  <c r="G16" i="8"/>
  <c r="H16" i="8"/>
  <c r="F17" i="8"/>
  <c r="G17" i="8"/>
  <c r="H17" i="8"/>
  <c r="F18" i="8"/>
  <c r="G18" i="8"/>
  <c r="H18" i="8"/>
  <c r="F19" i="8"/>
  <c r="G19" i="8"/>
  <c r="H19" i="8"/>
  <c r="F15" i="8"/>
  <c r="G15" i="8"/>
  <c r="H15" i="8"/>
  <c r="F13" i="8"/>
  <c r="G13" i="8"/>
  <c r="H13" i="8"/>
  <c r="H14" i="5" l="1"/>
  <c r="I14" i="5" s="1"/>
  <c r="K14" i="5"/>
  <c r="L14" i="5"/>
  <c r="M14" i="5"/>
  <c r="N14" i="5"/>
  <c r="H5" i="5"/>
  <c r="I5" i="5" s="1"/>
  <c r="K5" i="5"/>
  <c r="L5" i="5"/>
  <c r="M5" i="5"/>
  <c r="N5" i="5"/>
  <c r="H6" i="5"/>
  <c r="I6" i="5" s="1"/>
  <c r="K6" i="5"/>
  <c r="L6" i="5"/>
  <c r="M6" i="5"/>
  <c r="N6" i="5"/>
  <c r="H7" i="5"/>
  <c r="J7" i="5" s="1"/>
  <c r="K7" i="5"/>
  <c r="L7" i="5"/>
  <c r="M7" i="5"/>
  <c r="N7" i="5"/>
  <c r="H8" i="5"/>
  <c r="I8" i="5" s="1"/>
  <c r="K8" i="5"/>
  <c r="L8" i="5"/>
  <c r="M8" i="5"/>
  <c r="N8" i="5"/>
  <c r="H9" i="5"/>
  <c r="I9" i="5" s="1"/>
  <c r="K9" i="5"/>
  <c r="L9" i="5"/>
  <c r="M9" i="5"/>
  <c r="N9" i="5"/>
  <c r="H10" i="5"/>
  <c r="J10" i="5" s="1"/>
  <c r="K10" i="5"/>
  <c r="L10" i="5"/>
  <c r="M10" i="5"/>
  <c r="N10" i="5"/>
  <c r="H11" i="5"/>
  <c r="J11" i="5" s="1"/>
  <c r="K11" i="5"/>
  <c r="L11" i="5"/>
  <c r="M11" i="5"/>
  <c r="N11" i="5"/>
  <c r="H12" i="5"/>
  <c r="I12" i="5" s="1"/>
  <c r="K12" i="5"/>
  <c r="L12" i="5"/>
  <c r="M12" i="5"/>
  <c r="N12" i="5"/>
  <c r="H13" i="5"/>
  <c r="I13" i="5" s="1"/>
  <c r="K13" i="5"/>
  <c r="L13" i="5"/>
  <c r="M13" i="5"/>
  <c r="N13" i="5"/>
  <c r="J5" i="5" l="1"/>
  <c r="J14" i="5"/>
  <c r="J12" i="5"/>
  <c r="I10" i="5"/>
  <c r="I11" i="5"/>
  <c r="J8" i="5"/>
  <c r="I7" i="5"/>
  <c r="J13" i="5"/>
  <c r="J9" i="5"/>
  <c r="J6" i="5"/>
  <c r="E4" i="18" l="1"/>
  <c r="G4" i="18" s="1"/>
  <c r="F4" i="18"/>
  <c r="F3" i="18"/>
  <c r="E3" i="18"/>
  <c r="D4" i="18"/>
  <c r="J4" i="18" s="1"/>
  <c r="D3" i="18"/>
  <c r="D11" i="18"/>
  <c r="D10" i="18"/>
  <c r="E11" i="18"/>
  <c r="E10" i="18"/>
  <c r="H10" i="18" l="1"/>
  <c r="J10" i="18" s="1"/>
  <c r="H11" i="18"/>
  <c r="I11" i="18" s="1"/>
  <c r="I4" i="18"/>
  <c r="K4" i="18"/>
  <c r="I3" i="18"/>
  <c r="J3" i="18"/>
  <c r="J5" i="18" s="1"/>
  <c r="I10" i="18" l="1"/>
  <c r="J11" i="18"/>
  <c r="I5" i="18"/>
  <c r="B26" i="16"/>
  <c r="C15" i="16" l="1"/>
  <c r="C19" i="16"/>
  <c r="C23" i="16"/>
  <c r="C25" i="16"/>
  <c r="C14" i="16"/>
  <c r="C16" i="16"/>
  <c r="C20" i="16"/>
  <c r="C24" i="16"/>
  <c r="C21" i="16"/>
  <c r="C22" i="16"/>
  <c r="C17" i="16"/>
  <c r="C18" i="16"/>
  <c r="F7" i="8"/>
  <c r="G7" i="8"/>
  <c r="H7" i="8"/>
  <c r="D3" i="22" l="1"/>
  <c r="D19" i="8"/>
  <c r="D29" i="8"/>
  <c r="D12" i="8"/>
  <c r="D24" i="8"/>
  <c r="D17" i="8"/>
  <c r="D11" i="8"/>
  <c r="D25" i="8"/>
  <c r="D26" i="8"/>
  <c r="D18" i="8"/>
  <c r="F11" i="8"/>
  <c r="G11" i="8"/>
  <c r="H11" i="8"/>
  <c r="L25" i="8" l="1"/>
  <c r="K25" i="8"/>
  <c r="M25" i="8"/>
  <c r="K18" i="8"/>
  <c r="M18" i="8"/>
  <c r="L18" i="8"/>
  <c r="F7" i="9"/>
  <c r="F6" i="9"/>
  <c r="D14" i="8"/>
  <c r="D10" i="8"/>
  <c r="D15" i="8"/>
  <c r="D8" i="8"/>
  <c r="D13" i="8"/>
  <c r="D4" i="22"/>
  <c r="D16" i="8"/>
  <c r="D9" i="8"/>
  <c r="K17" i="8"/>
  <c r="L17" i="8"/>
  <c r="M17" i="8"/>
  <c r="L19" i="8"/>
  <c r="K19" i="8"/>
  <c r="M19" i="8"/>
  <c r="L11" i="8"/>
  <c r="K11" i="8"/>
  <c r="M11" i="8"/>
  <c r="K26" i="8"/>
  <c r="L26" i="8"/>
  <c r="M26" i="8"/>
  <c r="F5" i="9"/>
  <c r="D7" i="8"/>
  <c r="C26" i="16"/>
  <c r="F8" i="9"/>
  <c r="D5" i="22"/>
  <c r="D28" i="8"/>
  <c r="D30" i="8"/>
  <c r="D23" i="8"/>
  <c r="D20" i="8"/>
  <c r="D27" i="8"/>
  <c r="D22" i="8"/>
  <c r="M24" i="8"/>
  <c r="L24" i="8"/>
  <c r="K24" i="8"/>
  <c r="M29" i="8"/>
  <c r="K29" i="8"/>
  <c r="L29" i="8"/>
  <c r="P6" i="9"/>
  <c r="G17" i="13"/>
  <c r="P4" i="9" s="1"/>
  <c r="J16" i="13"/>
  <c r="J15" i="13"/>
  <c r="J14" i="13"/>
  <c r="J13" i="13"/>
  <c r="J12" i="13"/>
  <c r="J11" i="13"/>
  <c r="J10" i="13"/>
  <c r="J9" i="13"/>
  <c r="J8" i="13"/>
  <c r="J7" i="13"/>
  <c r="J6" i="13"/>
  <c r="J5" i="13"/>
  <c r="N4" i="9" l="1"/>
  <c r="O5" i="9"/>
  <c r="N5" i="9"/>
  <c r="O6" i="9"/>
  <c r="N6" i="9"/>
  <c r="P11" i="9"/>
  <c r="AF11" i="9" s="1"/>
  <c r="O11" i="9"/>
  <c r="AE11" i="9" s="1"/>
  <c r="N11" i="9"/>
  <c r="AD11" i="9" s="1"/>
  <c r="N10" i="9"/>
  <c r="AD10" i="9" s="1"/>
  <c r="O10" i="9"/>
  <c r="AE10" i="9" s="1"/>
  <c r="P10" i="9"/>
  <c r="AF10" i="9" s="1"/>
  <c r="N9" i="9"/>
  <c r="O9" i="9"/>
  <c r="P9" i="9"/>
  <c r="N8" i="9"/>
  <c r="P7" i="9"/>
  <c r="O8" i="9"/>
  <c r="N7" i="9"/>
  <c r="P8" i="9"/>
  <c r="O7" i="9"/>
  <c r="O4" i="9"/>
  <c r="P5" i="9"/>
  <c r="L7" i="8"/>
  <c r="K7" i="8"/>
  <c r="M7" i="8"/>
  <c r="L13" i="8"/>
  <c r="M13" i="8"/>
  <c r="K13" i="8"/>
  <c r="D11" i="22"/>
  <c r="D13" i="22"/>
  <c r="L23" i="8"/>
  <c r="M23" i="8"/>
  <c r="K23" i="8"/>
  <c r="D14" i="22"/>
  <c r="M16" i="8"/>
  <c r="K16" i="8"/>
  <c r="L16" i="8"/>
  <c r="L15" i="8"/>
  <c r="M15" i="8"/>
  <c r="K15" i="8"/>
  <c r="D12" i="22"/>
  <c r="M28" i="8"/>
  <c r="K28" i="8"/>
  <c r="L28" i="8"/>
  <c r="D15" i="22"/>
  <c r="L27" i="8"/>
  <c r="K27" i="8"/>
  <c r="M27" i="8"/>
  <c r="K30" i="8"/>
  <c r="M30" i="8"/>
  <c r="L30" i="8"/>
  <c r="F9" i="9"/>
  <c r="H9" i="9" s="1"/>
  <c r="I9" i="9" s="1"/>
  <c r="I12" i="9"/>
  <c r="D10" i="22"/>
  <c r="H12" i="8"/>
  <c r="M12" i="8" s="1"/>
  <c r="G12" i="8"/>
  <c r="L12" i="8" s="1"/>
  <c r="F12" i="8"/>
  <c r="K12" i="8" s="1"/>
  <c r="H10" i="8"/>
  <c r="M10" i="8" s="1"/>
  <c r="G10" i="8"/>
  <c r="L10" i="8" s="1"/>
  <c r="F10" i="8"/>
  <c r="K10" i="8" s="1"/>
  <c r="K15" i="22" l="1"/>
  <c r="J15" i="22"/>
  <c r="L15" i="22"/>
  <c r="J12" i="22"/>
  <c r="K12" i="22"/>
  <c r="L12" i="22"/>
  <c r="J11" i="22"/>
  <c r="K11" i="22"/>
  <c r="K10" i="22"/>
  <c r="J10" i="22"/>
  <c r="O12" i="9"/>
  <c r="AE12" i="9" s="1"/>
  <c r="AH12" i="9"/>
  <c r="AJ12" i="9"/>
  <c r="AG12" i="9"/>
  <c r="N12" i="9"/>
  <c r="AD12" i="9" s="1"/>
  <c r="AI12" i="9"/>
  <c r="P12" i="9"/>
  <c r="AF12" i="9" s="1"/>
  <c r="AI9" i="9"/>
  <c r="AJ9" i="9"/>
  <c r="AH9" i="9"/>
  <c r="AG9" i="9"/>
  <c r="AD9" i="9"/>
  <c r="AE9" i="9"/>
  <c r="AF9" i="9"/>
  <c r="J14" i="22"/>
  <c r="K14" i="22"/>
  <c r="L14" i="22"/>
  <c r="L13" i="22"/>
  <c r="J13" i="22"/>
  <c r="K13" i="22"/>
  <c r="V6" i="9"/>
  <c r="V5" i="9"/>
  <c r="V4" i="9"/>
  <c r="U6" i="9"/>
  <c r="U5" i="9"/>
  <c r="U4" i="9"/>
  <c r="G11" i="22" l="1"/>
  <c r="L11" i="22" s="1"/>
  <c r="G10" i="22"/>
  <c r="L10" i="22" s="1"/>
  <c r="G5" i="22"/>
  <c r="G4" i="22"/>
  <c r="G3" i="22"/>
  <c r="L16" i="22" l="1"/>
  <c r="Q6" i="9"/>
  <c r="R6" i="9"/>
  <c r="S6" i="9"/>
  <c r="T6" i="9"/>
  <c r="W6" i="9"/>
  <c r="T5" i="9"/>
  <c r="S5" i="9"/>
  <c r="R5" i="9"/>
  <c r="Q5" i="9"/>
  <c r="W5" i="9"/>
  <c r="G31" i="8" l="1"/>
  <c r="L31" i="8" s="1"/>
  <c r="H31" i="8"/>
  <c r="M31" i="8" s="1"/>
  <c r="F22" i="8"/>
  <c r="K22" i="8" s="1"/>
  <c r="F21" i="8"/>
  <c r="K21" i="8" s="1"/>
  <c r="F20" i="8"/>
  <c r="K20" i="8" s="1"/>
  <c r="F14" i="8"/>
  <c r="K14" i="8" s="1"/>
  <c r="F9" i="8"/>
  <c r="K9" i="8" s="1"/>
  <c r="F8" i="8"/>
  <c r="K8" i="8" s="1"/>
  <c r="F6" i="8"/>
  <c r="F31" i="8"/>
  <c r="K31" i="8" s="1"/>
  <c r="F5" i="22"/>
  <c r="F4" i="22"/>
  <c r="F3" i="22"/>
  <c r="E5" i="22"/>
  <c r="E4" i="22"/>
  <c r="E3" i="22"/>
  <c r="G20" i="8" l="1"/>
  <c r="L20" i="8" s="1"/>
  <c r="H20" i="8"/>
  <c r="M20" i="8" s="1"/>
  <c r="G21" i="8"/>
  <c r="L21" i="8" s="1"/>
  <c r="H21" i="8"/>
  <c r="M21" i="8" s="1"/>
  <c r="G22" i="8"/>
  <c r="L22" i="8" s="1"/>
  <c r="H22" i="8"/>
  <c r="M22" i="8" s="1"/>
  <c r="G9" i="8"/>
  <c r="L9" i="8" s="1"/>
  <c r="H9" i="8"/>
  <c r="M9" i="8" s="1"/>
  <c r="G14" i="8"/>
  <c r="L14" i="8" s="1"/>
  <c r="H14" i="8"/>
  <c r="M14" i="8" s="1"/>
  <c r="G8" i="8"/>
  <c r="L8" i="8" s="1"/>
  <c r="H8" i="8"/>
  <c r="M8" i="8" s="1"/>
  <c r="H6" i="8"/>
  <c r="G6" i="8"/>
  <c r="G3" i="18" l="1"/>
  <c r="K3" i="18" s="1"/>
  <c r="K5" i="18" s="1"/>
  <c r="H12" i="18" l="1"/>
  <c r="L12" i="18"/>
  <c r="K12" i="18"/>
  <c r="J12" i="18"/>
  <c r="I12" i="18"/>
  <c r="B3" i="26" l="1"/>
  <c r="C3" i="26"/>
  <c r="D3" i="26"/>
  <c r="D6" i="8" l="1"/>
  <c r="K5" i="22"/>
  <c r="L5" i="22"/>
  <c r="J5" i="22"/>
  <c r="K3" i="22"/>
  <c r="L3" i="22"/>
  <c r="J3" i="22"/>
  <c r="K4" i="22"/>
  <c r="J4" i="22"/>
  <c r="L4" i="22"/>
  <c r="R4" i="9"/>
  <c r="S4" i="9"/>
  <c r="T4" i="9"/>
  <c r="W4" i="9"/>
  <c r="Q4" i="9"/>
  <c r="K6" i="8" l="1"/>
  <c r="L6" i="8"/>
  <c r="M6" i="8"/>
  <c r="H6" i="9"/>
  <c r="I6" i="9" s="1"/>
  <c r="AI6" i="9" s="1"/>
  <c r="K16" i="22"/>
  <c r="J16" i="22"/>
  <c r="H5" i="9"/>
  <c r="I5" i="9" s="1"/>
  <c r="K6" i="22"/>
  <c r="J6" i="22"/>
  <c r="L6" i="22"/>
  <c r="AE6" i="9" l="1"/>
  <c r="AJ6" i="9"/>
  <c r="AH6" i="9"/>
  <c r="AG6" i="9"/>
  <c r="AD6" i="9"/>
  <c r="H7" i="9"/>
  <c r="I7" i="9" s="1"/>
  <c r="AE7" i="9" s="1"/>
  <c r="H8" i="9"/>
  <c r="I8" i="9" s="1"/>
  <c r="AF6" i="9"/>
  <c r="B6" i="26"/>
  <c r="D6" i="26"/>
  <c r="C6" i="26"/>
  <c r="AH7" i="9" l="1"/>
  <c r="AJ7" i="9"/>
  <c r="AI7" i="9"/>
  <c r="AD7" i="9"/>
  <c r="AF7" i="9"/>
  <c r="AG7" i="9"/>
  <c r="AG8" i="9"/>
  <c r="AF8" i="9"/>
  <c r="AD8" i="9"/>
  <c r="AH8" i="9"/>
  <c r="AE8" i="9"/>
  <c r="AJ8" i="9"/>
  <c r="AI8" i="9"/>
  <c r="I4" i="9"/>
  <c r="AF4" i="9" l="1"/>
  <c r="AE4" i="9"/>
  <c r="AD4" i="9"/>
  <c r="AE5" i="9"/>
  <c r="AF5" i="9"/>
  <c r="AD5" i="9"/>
  <c r="AH5" i="9"/>
  <c r="AI5" i="9"/>
  <c r="AJ5" i="9"/>
  <c r="AG5" i="9"/>
  <c r="AH4" i="9"/>
  <c r="AH13" i="9" s="1"/>
  <c r="AG4" i="9"/>
  <c r="AI4" i="9"/>
  <c r="AJ4" i="9"/>
  <c r="H5" i="8"/>
  <c r="M5" i="8" s="1"/>
  <c r="G5" i="8"/>
  <c r="L5" i="8" s="1"/>
  <c r="F5" i="8"/>
  <c r="K5" i="8" s="1"/>
  <c r="AG13" i="9" l="1"/>
  <c r="E7" i="26" s="1"/>
  <c r="AJ13" i="9"/>
  <c r="H7" i="26" s="1"/>
  <c r="AI13" i="9"/>
  <c r="G7" i="26" s="1"/>
  <c r="AD13" i="9"/>
  <c r="B7" i="26" s="1"/>
  <c r="AE13" i="9"/>
  <c r="C7" i="26" s="1"/>
  <c r="AF13" i="9"/>
  <c r="D7" i="26" s="1"/>
  <c r="F7" i="26"/>
  <c r="K32" i="8"/>
  <c r="B4" i="26" s="1"/>
  <c r="L32" i="8"/>
  <c r="C4" i="26" s="1"/>
  <c r="M32" i="8"/>
  <c r="D4" i="26" s="1"/>
  <c r="H4" i="5" l="1"/>
  <c r="H15" i="5" s="1"/>
  <c r="B5" i="26" l="1"/>
  <c r="K4" i="5"/>
  <c r="K15" i="5" s="1"/>
  <c r="N4" i="5"/>
  <c r="N15" i="5" s="1"/>
  <c r="I4" i="5"/>
  <c r="I15" i="5" s="1"/>
  <c r="M4" i="5"/>
  <c r="M15" i="5" s="1"/>
  <c r="L4" i="5"/>
  <c r="L15" i="5" s="1"/>
  <c r="H5" i="26" l="1"/>
  <c r="H9" i="26" s="1"/>
  <c r="F5" i="26"/>
  <c r="F9" i="26" s="1"/>
  <c r="E5" i="26"/>
  <c r="E9" i="26" s="1"/>
  <c r="G5" i="26"/>
  <c r="G9" i="26" s="1"/>
  <c r="C5" i="26"/>
  <c r="J4" i="5"/>
  <c r="J15" i="5" s="1"/>
  <c r="D5" i="26" l="1"/>
  <c r="C9" i="26" l="1"/>
  <c r="D9" i="26"/>
</calcChain>
</file>

<file path=xl/comments1.xml><?xml version="1.0" encoding="utf-8"?>
<comments xmlns="http://schemas.openxmlformats.org/spreadsheetml/2006/main">
  <authors>
    <author>Alinie Rossi dos Santos</author>
  </authors>
  <commentList>
    <comment ref="D6" authorId="0" shapeId="0">
      <text>
        <r>
          <rPr>
            <sz val="9"/>
            <color indexed="81"/>
            <rFont val="Segoe UI"/>
            <family val="2"/>
          </rPr>
          <t>Fonte: National Pollutant Inventory. Emission Estimation Technique Manual for Mining. Australian Government. January 2012.
http://www.npi.gov.au/resource/emission-estimation-technique-manual-mining</t>
        </r>
      </text>
    </comment>
  </commentList>
</comments>
</file>

<file path=xl/comments2.xml><?xml version="1.0" encoding="utf-8"?>
<comments xmlns="http://schemas.openxmlformats.org/spreadsheetml/2006/main">
  <authors>
    <author>Alinie Rossi dos Santos</author>
  </authors>
  <commentList>
    <comment ref="A3" authorId="0" shapeId="0">
      <text>
        <r>
          <rPr>
            <sz val="9"/>
            <color indexed="81"/>
            <rFont val="Segoe UI"/>
            <family val="2"/>
          </rPr>
          <t xml:space="preserve"> No data available, but emission factors for PM-10 for tertiary crushers can be used as an upper limit for
primary or secondary crushing 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  <author>Alinie Rossi dos Santos</author>
    <author>Autor</author>
  </authors>
  <commentList>
    <comment ref="F3" authorId="0" shapeId="0">
      <text>
        <r>
          <rPr>
            <sz val="9"/>
            <color indexed="81"/>
            <rFont val="Segoe UI"/>
            <family val="2"/>
          </rPr>
          <t xml:space="preserve">Fonte: Estação INMET 
ES_A612_Vitoria
</t>
        </r>
      </text>
    </comment>
    <comment ref="B12" authorId="1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21" authorId="2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21" authorId="2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21" authorId="2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  <comment ref="F25" authorId="1" shapeId="0">
      <text>
        <r>
          <rPr>
            <sz val="9"/>
            <color indexed="81"/>
            <rFont val="Segoe UI"/>
            <family val="2"/>
          </rPr>
          <t>Fonte: Estação INMET 
ES_A612_Vitoria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B33" authorId="0" shapeId="0">
      <text>
        <r>
          <rPr>
            <sz val="9"/>
            <color indexed="81"/>
            <rFont val="Segoe UI"/>
            <family val="2"/>
          </rPr>
          <t xml:space="preserve">VKT = DMT </t>
        </r>
      </text>
    </comment>
    <comment ref="C43" authorId="2" shapeId="0">
      <text>
        <r>
          <rPr>
            <sz val="9"/>
            <color indexed="81"/>
            <rFont val="Segoe UI"/>
            <family val="2"/>
          </rPr>
          <t>Consideração:
Assumido PM10 = PM</t>
        </r>
      </text>
    </comment>
    <comment ref="D43" authorId="2" shapeId="0">
      <text>
        <r>
          <rPr>
            <sz val="9"/>
            <color indexed="81"/>
            <rFont val="Segoe UI"/>
            <family val="2"/>
          </rPr>
          <t>Consideração:
Assumido PM2.5 = PM</t>
        </r>
      </text>
    </comment>
    <comment ref="H43" authorId="2" shapeId="0">
      <text>
        <r>
          <rPr>
            <sz val="9"/>
            <color indexed="81"/>
            <rFont val="Segoe UI"/>
            <family val="2"/>
          </rPr>
          <t xml:space="preserve">Consideração:
O fator de veículos pesados é expresso em HC e CH4. Contudo, em alguns casos o CH4 é maior que o HC, o que é incoerente. Assim, foi calculado o fator de emissão considerando todos hidrocarbonetos.
</t>
        </r>
      </text>
    </comment>
  </commentList>
</comments>
</file>

<file path=xl/comments4.xml><?xml version="1.0" encoding="utf-8"?>
<comments xmlns="http://schemas.openxmlformats.org/spreadsheetml/2006/main">
  <authors>
    <author>Alinie Rossi dos Santos</author>
  </authors>
  <commentList>
    <comment ref="A2" authorId="0" shapeId="0">
      <text>
        <r>
          <rPr>
            <sz val="9"/>
            <color indexed="81"/>
            <rFont val="Segoe UI"/>
            <family val="2"/>
          </rPr>
          <t>Informação contida no EIA/RIMA enviado pelo empreendimento</t>
        </r>
      </text>
    </comment>
    <comment ref="A13" authorId="0" shapeId="0">
      <text>
        <r>
          <rPr>
            <sz val="9"/>
            <color indexed="81"/>
            <rFont val="Segoe UI"/>
            <family val="2"/>
          </rPr>
          <t xml:space="preserve">Os tipos de materiais listados foram baseados nas pilhas de produto final apresentadas no fluxograma enviado pelo empreendimento.
</t>
        </r>
      </text>
    </comment>
    <comment ref="C13" authorId="0" shapeId="0">
      <text>
        <r>
          <rPr>
            <sz val="9"/>
            <color indexed="81"/>
            <rFont val="Segoe UI"/>
            <family val="2"/>
          </rPr>
          <t>Como não foi informada a quantidade produzida de cada tipo de material, para a obtenção deste dado, foi feita uma divisão do total de material proporcionalmente à área das pilhas (consideradas com base no que foi visualizado em imagens de satélite, para o ano de 2015). A quantidade de material total produzida foi dividida entre as pilhas de produtos finais existentes no fluxograma enviado pelo empreendimento.</t>
        </r>
      </text>
    </comment>
    <comment ref="B46" authorId="0" shapeId="0">
      <text>
        <r>
          <rPr>
            <sz val="9"/>
            <color indexed="81"/>
            <rFont val="Segoe UI"/>
            <family val="2"/>
          </rPr>
          <t>Considerado o maior valor informado pelo empreendimento</t>
        </r>
      </text>
    </comment>
  </commentList>
</comments>
</file>

<file path=xl/comments5.xml><?xml version="1.0" encoding="utf-8"?>
<comments xmlns="http://schemas.openxmlformats.org/spreadsheetml/2006/main">
  <authors>
    <author>Alinie Rossi dos Santos</author>
  </authors>
  <commentList>
    <comment ref="H1" authorId="0" shapeId="0">
      <text>
        <r>
          <rPr>
            <sz val="9"/>
            <color indexed="81"/>
            <rFont val="Segoe UI"/>
            <family val="2"/>
          </rPr>
          <t>Perfuração a úmido</t>
        </r>
        <r>
          <rPr>
            <b/>
            <sz val="9"/>
            <color indexed="81"/>
            <rFont val="Segoe UI"/>
            <family val="2"/>
          </rPr>
          <t xml:space="preserve"> </t>
        </r>
      </text>
    </comment>
    <comment ref="G3" authorId="0" shapeId="0">
      <text>
        <r>
          <rPr>
            <sz val="9"/>
            <color indexed="81"/>
            <rFont val="Segoe UI"/>
            <family val="2"/>
          </rPr>
          <t>Considerado o mesmo fator PM2.5/PM do processo de detonação</t>
        </r>
      </text>
    </comment>
    <comment ref="H3" authorId="0" shapeId="0">
      <text>
        <r>
          <rPr>
            <sz val="9"/>
            <color indexed="81"/>
            <rFont val="Segoe UI"/>
            <family val="2"/>
          </rPr>
          <t>Eficiência considerada</t>
        </r>
      </text>
    </comment>
    <comment ref="G4" authorId="0" shapeId="0">
      <text>
        <r>
          <rPr>
            <sz val="9"/>
            <color indexed="81"/>
            <rFont val="Segoe UI"/>
            <family val="2"/>
          </rPr>
          <t>Considerado o mesmo fator PM2.5/PM do processo de detonação</t>
        </r>
      </text>
    </comment>
    <comment ref="H4" authorId="0" shapeId="0">
      <text>
        <r>
          <rPr>
            <sz val="9"/>
            <color indexed="81"/>
            <rFont val="Segoe UI"/>
            <family val="2"/>
          </rPr>
          <t>Eficiência considerada</t>
        </r>
      </text>
    </comment>
    <comment ref="F8" authorId="0" shapeId="0">
      <text>
        <r>
          <rPr>
            <sz val="9"/>
            <color indexed="81"/>
            <rFont val="Segoe UI"/>
            <family val="2"/>
          </rPr>
          <t xml:space="preserve">Como existia nas informações enviadas referência à emulsão bombeada e dinamite, foi considerado do valor informado 50% para cada tipo de explosivo. 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Andrielly Moutinho Knupp</author>
    <author>Alinie Rossi dos Santos</author>
  </authors>
  <commentList>
    <comment ref="I3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J3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L3" authorId="0" shapeId="0">
      <text>
        <r>
          <rPr>
            <sz val="9"/>
            <color indexed="81"/>
            <rFont val="Segoe UI"/>
            <family val="2"/>
          </rPr>
          <t>Devido à inexistência de fator para SO2, foi considerado fator de SOx para SO2.</t>
        </r>
      </text>
    </comment>
    <comment ref="N3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o fator de emissão de ROG. Pois, a maioria dos componentes de ROG são COV (https://www.arb.ca.gov/ei/speciate/voc_rog_dfn_1_09.pdf).</t>
        </r>
      </text>
    </comment>
    <comment ref="A4" authorId="1" shapeId="0">
      <text>
        <r>
          <rPr>
            <sz val="9"/>
            <color indexed="81"/>
            <rFont val="Segoe UI"/>
            <family val="2"/>
          </rPr>
          <t xml:space="preserve">2008
</t>
        </r>
      </text>
    </comment>
    <comment ref="A5" authorId="1" shapeId="0">
      <text>
        <r>
          <rPr>
            <sz val="9"/>
            <color indexed="81"/>
            <rFont val="Segoe UI"/>
            <family val="2"/>
          </rPr>
          <t xml:space="preserve">2011
</t>
        </r>
      </text>
    </comment>
    <comment ref="A6" authorId="1" shapeId="0">
      <text>
        <r>
          <rPr>
            <sz val="9"/>
            <color indexed="81"/>
            <rFont val="Segoe UI"/>
            <family val="2"/>
          </rPr>
          <t>2014</t>
        </r>
      </text>
    </comment>
    <comment ref="A7" authorId="1" shapeId="0">
      <text>
        <r>
          <rPr>
            <sz val="9"/>
            <color indexed="81"/>
            <rFont val="Segoe UI"/>
            <family val="2"/>
          </rPr>
          <t>2008</t>
        </r>
      </text>
    </comment>
    <comment ref="A8" authorId="1" shapeId="0">
      <text>
        <r>
          <rPr>
            <sz val="9"/>
            <color indexed="81"/>
            <rFont val="Segoe UI"/>
            <family val="2"/>
          </rPr>
          <t xml:space="preserve">2007
</t>
        </r>
      </text>
    </comment>
    <comment ref="A9" authorId="1" shapeId="0">
      <text>
        <r>
          <rPr>
            <sz val="9"/>
            <color indexed="81"/>
            <rFont val="Segoe UI"/>
            <family val="2"/>
          </rPr>
          <t>2009</t>
        </r>
      </text>
    </comment>
    <comment ref="A10" authorId="1" shapeId="0">
      <text>
        <r>
          <rPr>
            <sz val="9"/>
            <color indexed="81"/>
            <rFont val="Segoe UI"/>
            <family val="2"/>
          </rPr>
          <t>2005</t>
        </r>
      </text>
    </comment>
    <comment ref="A11" authorId="1" shapeId="0">
      <text>
        <r>
          <rPr>
            <sz val="9"/>
            <color indexed="81"/>
            <rFont val="Segoe UI"/>
            <family val="2"/>
          </rPr>
          <t xml:space="preserve">2009
</t>
        </r>
      </text>
    </comment>
    <comment ref="A12" authorId="1" shapeId="0">
      <text>
        <r>
          <rPr>
            <sz val="9"/>
            <color indexed="81"/>
            <rFont val="Segoe UI"/>
            <family val="2"/>
          </rPr>
          <t>2006</t>
        </r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3" authorId="1" shapeId="0">
      <text>
        <r>
          <rPr>
            <sz val="9"/>
            <color indexed="81"/>
            <rFont val="Segoe UI"/>
            <family val="2"/>
          </rPr>
          <t>2015</t>
        </r>
      </text>
    </comment>
    <comment ref="A14" authorId="1" shapeId="0">
      <text>
        <r>
          <rPr>
            <sz val="9"/>
            <color indexed="81"/>
            <rFont val="Segoe UI"/>
            <family val="2"/>
          </rPr>
          <t xml:space="preserve">2000
</t>
        </r>
      </text>
    </comment>
  </commentList>
</comments>
</file>

<file path=xl/comments7.xml><?xml version="1.0" encoding="utf-8"?>
<comments xmlns="http://schemas.openxmlformats.org/spreadsheetml/2006/main">
  <authors>
    <author>Alinie Rossi dos Santos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>Velocidade média do ano de 2015 da Estação Aeroporto</t>
        </r>
      </text>
    </comment>
    <comment ref="E3" authorId="0" shapeId="0">
      <text>
        <r>
          <rPr>
            <sz val="9"/>
            <color indexed="81"/>
            <rFont val="Segoe UI"/>
            <family val="2"/>
          </rPr>
          <t>USEPA (2003) Background Information for Revised AP-42 Section 11.19.2, Crushed Stone Processing
and Pulverized Mineral Processing:
The targeted moisture contents of the raw material (granite) during the uncontrolled  runs were &lt;1.5 percent. Assim, foi considerado o teor de umidade de 1%.</t>
        </r>
      </text>
    </comment>
  </commentList>
</comments>
</file>

<file path=xl/comments8.xml><?xml version="1.0" encoding="utf-8"?>
<comments xmlns="http://schemas.openxmlformats.org/spreadsheetml/2006/main">
  <authors>
    <author>Alinie Rossi dos Santos</author>
  </authors>
  <commentList>
    <comment ref="I1" authorId="0" shapeId="0">
      <text>
        <r>
          <rPr>
            <sz val="9"/>
            <color indexed="81"/>
            <rFont val="Segoe UI"/>
            <family val="2"/>
          </rPr>
          <t xml:space="preserve">WRAP (2006) - Implement wet suppression </t>
        </r>
      </text>
    </comment>
    <comment ref="E2" authorId="0" shapeId="0">
      <text>
        <r>
          <rPr>
            <sz val="9"/>
            <color indexed="81"/>
            <rFont val="Segoe UI"/>
            <family val="2"/>
          </rPr>
          <t xml:space="preserve">Fonte: NDEP (2017)
https://ndep.nv.gov/uploads/air-permitting-docs/ndep-mining-emissions-guidance.pdf.
Tertiary Crushing Emission Factor is utilized as a
conservative estimate because there is no Primary and Secondary Crushing Emission Factor. </t>
        </r>
      </text>
    </comment>
    <comment ref="F2" authorId="0" shapeId="0">
      <text>
        <r>
          <rPr>
            <sz val="9"/>
            <color indexed="81"/>
            <rFont val="Segoe UI"/>
            <family val="2"/>
          </rPr>
          <t xml:space="preserve"> Fonte: USEPA, (2004). Section 11.19.2 . Table 11.19.2-1 = No data available, but emission factors for PM-10 for tertiary crushers can be used as an upper limit for
primary or secondary crushing.</t>
        </r>
      </text>
    </comment>
    <comment ref="G2" authorId="0" shapeId="0">
      <text>
        <r>
          <rPr>
            <sz val="9"/>
            <color indexed="81"/>
            <rFont val="Segoe UI"/>
            <family val="2"/>
          </rPr>
          <t xml:space="preserve">Fonte: NDEP (2017)
https://ndep.nv.gov/uploads/air-permitting-docs/ndep-mining-emissions-guidance.pdf.
Tertiary Crushing Emission Factor is utilized as a
conservative estimate because there is no Primary and Secondary Crushing Emission Factor. </t>
        </r>
      </text>
    </comment>
    <comment ref="G3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"Tertiary Crushing (controlled)"</t>
        </r>
      </text>
    </comment>
    <comment ref="A4" authorId="0" shapeId="0">
      <text>
        <r>
          <rPr>
            <sz val="9"/>
            <color indexed="81"/>
            <rFont val="Segoe UI"/>
            <family val="2"/>
          </rPr>
          <t xml:space="preserve">Como não foi informado a quantidade de material que passa pelo britador secundário,  foi considerado um percentual de 50% do material.
</t>
        </r>
      </text>
    </comment>
    <comment ref="G4" authorId="0" shapeId="0">
      <text>
        <r>
          <rPr>
            <sz val="9"/>
            <color indexed="81"/>
            <rFont val="Segoe UI"/>
            <family val="2"/>
          </rPr>
          <t xml:space="preserve">Considerada a mesma relação PM2.5/PM10 para o fator de "Tertiary Crushing (controlled)"
</t>
        </r>
      </text>
    </comment>
    <comment ref="A5" authorId="0" shapeId="0">
      <text>
        <r>
          <rPr>
            <sz val="9"/>
            <color indexed="81"/>
            <rFont val="Segoe UI"/>
            <family val="2"/>
          </rPr>
          <t>Como não foi informado a quantidade de material que passa pela britagem terciária,  foi considerado um percentual de 50% do material.</t>
        </r>
      </text>
    </comment>
    <comment ref="G5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"Tertiary Crushing (controlled)"</t>
        </r>
      </text>
    </comment>
    <comment ref="I8" authorId="0" shapeId="0">
      <text>
        <r>
          <rPr>
            <sz val="9"/>
            <color indexed="81"/>
            <rFont val="Segoe UI"/>
            <family val="2"/>
          </rPr>
          <t xml:space="preserve">WRAP (2006) - Implement wet suppression </t>
        </r>
      </text>
    </comment>
    <comment ref="G10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"Screening (controlled)"</t>
        </r>
      </text>
    </comment>
    <comment ref="G11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"Screening (controlled)"</t>
        </r>
      </text>
    </comment>
    <comment ref="G12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"Screening (controlled)"</t>
        </r>
      </text>
    </comment>
    <comment ref="G13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"Screening (controlled)"</t>
        </r>
      </text>
    </comment>
    <comment ref="G14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"Screening (controlled)"</t>
        </r>
      </text>
    </comment>
    <comment ref="G15" authorId="0" shapeId="0">
      <text>
        <r>
          <rPr>
            <sz val="9"/>
            <color indexed="81"/>
            <rFont val="Segoe UI"/>
            <family val="2"/>
          </rPr>
          <t>Considerada a mesma relação PM2.5/PM10 para o fator de "Screening (controlled)"</t>
        </r>
      </text>
    </comment>
  </commentList>
</comments>
</file>

<file path=xl/comments9.xml><?xml version="1.0" encoding="utf-8"?>
<comments xmlns="http://schemas.openxmlformats.org/spreadsheetml/2006/main">
  <authors>
    <author>Alinie Rossi dos Santos</author>
    <author>Vanessa Brusco Filete</author>
  </authors>
  <commentList>
    <comment ref="G2" authorId="0" shapeId="0">
      <text>
        <r>
          <rPr>
            <sz val="9"/>
            <color indexed="81"/>
            <rFont val="Segoe UI"/>
            <family val="2"/>
          </rPr>
          <t>Conforme informado pelo empreendimento através de Ofício</t>
        </r>
      </text>
    </comment>
    <comment ref="H2" authorId="0" shapeId="0">
      <text>
        <r>
          <rPr>
            <sz val="9"/>
            <color indexed="81"/>
            <rFont val="Segoe UI"/>
            <family val="2"/>
          </rPr>
          <t xml:space="preserve">Para as vias que não foi informado o tráfego de caminhões diariamente, o número de caminhões foi calculado a partir da capacidade do caminhão e quantidade de material movimentada. </t>
        </r>
      </text>
    </comment>
    <comment ref="J2" authorId="0" shapeId="0">
      <text>
        <r>
          <rPr>
            <sz val="9"/>
            <color indexed="81"/>
            <rFont val="Segoe UI"/>
            <family val="2"/>
          </rPr>
          <t>Vias Não Pavimentadas
USEPA (2006) - Unpaved Roads. Table 13.2.2-1 - Stone quarrying and processing
Vias Pavimentadas
USEPA (2011) - Paved Roads. Table 13.2.1-3 - Quarry</t>
        </r>
      </text>
    </comment>
    <comment ref="K2" authorId="0" shapeId="0">
      <text>
        <r>
          <rPr>
            <sz val="9"/>
            <color indexed="81"/>
            <rFont val="Segoe UI"/>
            <family val="2"/>
          </rPr>
          <t xml:space="preserve">Baseado no modelo do caminhão informado - Volvo FM440
</t>
        </r>
      </text>
    </comment>
    <comment ref="M2" authorId="0" shapeId="0">
      <text>
        <r>
          <rPr>
            <sz val="9"/>
            <color indexed="81"/>
            <rFont val="Segoe UI"/>
            <family val="2"/>
          </rPr>
          <t>WRAP (2006) - MRI, 2001</t>
        </r>
      </text>
    </comment>
    <comment ref="W3" authorId="1" shapeId="0">
      <text>
        <r>
          <rPr>
            <sz val="9"/>
            <color indexed="81"/>
            <rFont val="Segoe UI"/>
            <family val="2"/>
          </rPr>
          <t xml:space="preserve">Fora considerado o Fator de Emissão de HCT, devido à ausência de fator específico para VOC.
</t>
        </r>
      </text>
    </comment>
    <comment ref="H10" authorId="0" shapeId="0">
      <text>
        <r>
          <rPr>
            <sz val="9"/>
            <color indexed="81"/>
            <rFont val="Segoe UI"/>
            <family val="2"/>
          </rPr>
          <t>Tráfego devido ao transporte interno e ao transporte externo (Material que chega e sai do estoque)</t>
        </r>
      </text>
    </comment>
  </commentList>
</comments>
</file>

<file path=xl/sharedStrings.xml><?xml version="1.0" encoding="utf-8"?>
<sst xmlns="http://schemas.openxmlformats.org/spreadsheetml/2006/main" count="655" uniqueCount="350">
  <si>
    <t>Fonte Emissora</t>
  </si>
  <si>
    <t>Taxa de Emissão [kg/h]</t>
  </si>
  <si>
    <t>PM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</si>
  <si>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</si>
  <si>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t>CO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</si>
  <si>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</si>
  <si>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</si>
  <si>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Equipment</t>
  </si>
  <si>
    <t>MaxHP</t>
  </si>
  <si>
    <t>PM [kg/h]</t>
  </si>
  <si>
    <r>
      <t>NO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</si>
  <si>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r>
      <t>SO</t>
    </r>
    <r>
      <rPr>
        <vertAlign val="subscript"/>
        <sz val="8"/>
        <rFont val="Arial"/>
        <family val="2"/>
      </rPr>
      <t>X</t>
    </r>
    <r>
      <rPr>
        <sz val="8"/>
        <rFont val="Arial"/>
        <family val="2"/>
      </rPr>
      <t xml:space="preserve"> [kg/h]</t>
    </r>
  </si>
  <si>
    <t>CO [kg/h]</t>
  </si>
  <si>
    <t>ROG [kg/h]</t>
  </si>
  <si>
    <r>
      <t>CO</t>
    </r>
    <r>
      <rPr>
        <vertAlign val="subscript"/>
        <sz val="8"/>
        <rFont val="Arial"/>
        <family val="2"/>
      </rPr>
      <t xml:space="preserve">2 </t>
    </r>
    <r>
      <rPr>
        <sz val="8"/>
        <rFont val="Arial"/>
        <family val="2"/>
      </rPr>
      <t>[kg/h]</t>
    </r>
  </si>
  <si>
    <r>
      <t>CH</t>
    </r>
    <r>
      <rPr>
        <vertAlign val="subscript"/>
        <sz val="8"/>
        <rFont val="Arial"/>
        <family val="2"/>
      </rPr>
      <t>4</t>
    </r>
    <r>
      <rPr>
        <sz val="8"/>
        <rFont val="Arial"/>
        <family val="2"/>
      </rPr>
      <t xml:space="preserve"> [kg/h]</t>
    </r>
  </si>
  <si>
    <t>Potência [hp]</t>
  </si>
  <si>
    <t>Equipamento [hp]</t>
  </si>
  <si>
    <t>Quantidade</t>
  </si>
  <si>
    <t>Horas/dia</t>
  </si>
  <si>
    <r>
      <t>PM</t>
    </r>
    <r>
      <rPr>
        <b/>
        <vertAlign val="subscript"/>
        <sz val="8"/>
        <color theme="0"/>
        <rFont val="Arial"/>
        <family val="2"/>
      </rPr>
      <t>2.5</t>
    </r>
  </si>
  <si>
    <t>Equação Geral:</t>
  </si>
  <si>
    <t>Onde:
E - emissão (lb/dia)
n - número de equipamentos de cada categoria
H - número de horas diárias de operação do equipamento
EF - fator de emissão (lb/h)</t>
  </si>
  <si>
    <t>Tipo</t>
  </si>
  <si>
    <t xml:space="preserve">PM </t>
  </si>
  <si>
    <r>
      <t>PM</t>
    </r>
    <r>
      <rPr>
        <vertAlign val="subscript"/>
        <sz val="8"/>
        <color theme="1"/>
        <rFont val="Arial"/>
        <family val="2"/>
      </rPr>
      <t>10</t>
    </r>
  </si>
  <si>
    <r>
      <t>PM</t>
    </r>
    <r>
      <rPr>
        <vertAlign val="subscript"/>
        <sz val="8"/>
        <color theme="1"/>
        <rFont val="Arial"/>
        <family val="2"/>
      </rPr>
      <t>2,5</t>
    </r>
  </si>
  <si>
    <t>Aerodynamic Particle Size Multiplier (k)</t>
  </si>
  <si>
    <t>Onde:
E - emissão (kg/t)
k -constante de tamanho das partículas com diâmetro aerodinâmico ≤ i μm
U - velocidade do vento (m/s)
M - teor de umidade do material (%)</t>
  </si>
  <si>
    <t>Material</t>
  </si>
  <si>
    <t xml:space="preserve">Fonte Emissora </t>
  </si>
  <si>
    <t>Não Pavimentada</t>
  </si>
  <si>
    <t>Total - Vias de Tráfego</t>
  </si>
  <si>
    <t>AP42 - 13.2.2 Unpaved Roads</t>
  </si>
  <si>
    <t>Table 13.2.2-2 Constants for Equations 1a and 1b</t>
  </si>
  <si>
    <t>Constant</t>
  </si>
  <si>
    <t>Industrial Roads (Equation 1a)</t>
  </si>
  <si>
    <t>PM2.5</t>
  </si>
  <si>
    <t>PM10</t>
  </si>
  <si>
    <t>PM30</t>
  </si>
  <si>
    <t>k (lb/VMT)</t>
  </si>
  <si>
    <t>a</t>
  </si>
  <si>
    <t>b</t>
  </si>
  <si>
    <t>Equation</t>
  </si>
  <si>
    <t>1 lb/VMT</t>
  </si>
  <si>
    <t>g/VKT</t>
  </si>
  <si>
    <r>
      <t>PM</t>
    </r>
    <r>
      <rPr>
        <b/>
        <vertAlign val="subscript"/>
        <sz val="8"/>
        <color theme="0"/>
        <rFont val="Arial"/>
        <family val="2"/>
      </rPr>
      <t>10</t>
    </r>
    <r>
      <rPr>
        <b/>
        <sz val="8"/>
        <color theme="0"/>
        <rFont val="Arial"/>
        <family val="2"/>
      </rPr>
      <t xml:space="preserve"> </t>
    </r>
  </si>
  <si>
    <r>
      <t>PM</t>
    </r>
    <r>
      <rPr>
        <b/>
        <vertAlign val="subscript"/>
        <sz val="8"/>
        <color theme="0"/>
        <rFont val="Arial"/>
        <family val="2"/>
      </rPr>
      <t>2,5</t>
    </r>
    <r>
      <rPr>
        <b/>
        <sz val="8"/>
        <color theme="0"/>
        <rFont val="Arial"/>
        <family val="2"/>
      </rPr>
      <t xml:space="preserve"> </t>
    </r>
  </si>
  <si>
    <t>Ano 2015</t>
  </si>
  <si>
    <t xml:space="preserve">Mês </t>
  </si>
  <si>
    <t>Precipitação Acumulada (mm)</t>
  </si>
  <si>
    <t>Número de Dias com Precipitação &gt; 0,254 mm</t>
  </si>
  <si>
    <t>N° dias no mês</t>
  </si>
  <si>
    <t>Fator de Ajuste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</si>
  <si>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</si>
  <si>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</si>
  <si>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</si>
  <si>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</si>
  <si>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</si>
  <si>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</si>
  <si>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</si>
  <si>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</si>
  <si>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</si>
  <si>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</si>
  <si>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</si>
  <si>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</si>
  <si>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Fator Ajuste:</t>
  </si>
  <si>
    <t>Classe de Veículo</t>
  </si>
  <si>
    <t>Fator de emissão médio da frota veicular da RGV [g/km]</t>
  </si>
  <si>
    <t>Escapamento</t>
  </si>
  <si>
    <t>HCT</t>
  </si>
  <si>
    <t>Veículos Pesados</t>
  </si>
  <si>
    <r>
      <t>PM</t>
    </r>
    <r>
      <rPr>
        <vertAlign val="subscript"/>
        <sz val="8"/>
        <color theme="1"/>
        <rFont val="Arial"/>
        <family val="2"/>
      </rPr>
      <t>25</t>
    </r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</si>
  <si>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</si>
  <si>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</si>
  <si>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Número de Detonações/ano</t>
  </si>
  <si>
    <t>Tipo de Explosivo</t>
  </si>
  <si>
    <t>Número de furos/ano</t>
  </si>
  <si>
    <t>Fator de Emissão [kg/hole]</t>
  </si>
  <si>
    <t>Drilling - Overburden</t>
  </si>
  <si>
    <t>AP42 - 11.9 Western Surface Coal Mining</t>
  </si>
  <si>
    <t xml:space="preserve"> Table 11.9-2 - Emission Factor Equations for Uncontrolled Open Dust Sources at Western Surface Coal Mines</t>
  </si>
  <si>
    <t>Fator de Emissão [kg/blast]</t>
  </si>
  <si>
    <t>Coal or Overburden</t>
  </si>
  <si>
    <t>NPI - Emission Estimation Technique Manual for Explosives Detonation and firing ranges</t>
  </si>
  <si>
    <t>Table 7 - Emission factors for Category 1 and 2a substances</t>
  </si>
  <si>
    <t>Explosivo</t>
  </si>
  <si>
    <t>Fator de Emissão [kg/Mg]</t>
  </si>
  <si>
    <t>Emulsion (Water Based Gel)</t>
  </si>
  <si>
    <t>NOx</t>
  </si>
  <si>
    <t>Source</t>
  </si>
  <si>
    <t>Screening</t>
  </si>
  <si>
    <t>ND</t>
  </si>
  <si>
    <t>AP42 - 11.9 Western Surface Coal Mining/NPI  - Emission Estimation Technique Manual for Mining</t>
  </si>
  <si>
    <t xml:space="preserve"> Table 11.9-4 - AP-42/ Table 2 - NPI </t>
  </si>
  <si>
    <t>Controle</t>
  </si>
  <si>
    <t>Número de detonações/ano</t>
  </si>
  <si>
    <t>A = área superficial detonada (m²)</t>
  </si>
  <si>
    <t>Equação</t>
  </si>
  <si>
    <r>
      <t>PM</t>
    </r>
    <r>
      <rPr>
        <vertAlign val="subscript"/>
        <sz val="8"/>
        <color theme="1"/>
        <rFont val="Arial"/>
        <family val="2"/>
      </rPr>
      <t>2.5</t>
    </r>
  </si>
  <si>
    <t>Transferências</t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</si>
  <si>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</si>
  <si>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 xml:space="preserve">BRT - Britador Primário </t>
  </si>
  <si>
    <t>TR - Car. Caminhão Lavra</t>
  </si>
  <si>
    <t>AP42 - 11.19.2  Crushed Stone Processing and Pulverized Mineral Processing</t>
  </si>
  <si>
    <t xml:space="preserve"> Table 11.19.2-1 Emission Factors for Crushed Stone Processing Operations (kg/Mg)</t>
  </si>
  <si>
    <t xml:space="preserve">Tertiary Crushing </t>
  </si>
  <si>
    <t>Tertiary Crushing (Controlled)</t>
  </si>
  <si>
    <t>Screnning (Controlled)</t>
  </si>
  <si>
    <r>
      <t>PM</t>
    </r>
    <r>
      <rPr>
        <b/>
        <vertAlign val="subscript"/>
        <sz val="8"/>
        <color theme="0"/>
        <rFont val="Arial"/>
        <family val="2"/>
      </rPr>
      <t xml:space="preserve">2,5 </t>
    </r>
  </si>
  <si>
    <t>Emission Factor Rating</t>
  </si>
  <si>
    <t>E</t>
  </si>
  <si>
    <t>C</t>
  </si>
  <si>
    <t>Horário de Funcionamento</t>
  </si>
  <si>
    <t>TR - Desc. Britador Primário</t>
  </si>
  <si>
    <t>TR - Car. Produto Final</t>
  </si>
  <si>
    <t>Umectação</t>
  </si>
  <si>
    <t>Via Trecho 1</t>
  </si>
  <si>
    <t>Via Trecho 2</t>
  </si>
  <si>
    <t>Via Trecho 3</t>
  </si>
  <si>
    <t>Via Trecho 4</t>
  </si>
  <si>
    <t>Perfuração e Detonação</t>
  </si>
  <si>
    <t>Máquinas e Equipamentos</t>
  </si>
  <si>
    <t>Britagem e Peneiramento</t>
  </si>
  <si>
    <t>Vias de Tráfego</t>
  </si>
  <si>
    <t>Erosão Eólica</t>
  </si>
  <si>
    <t>Fontes Emissoras</t>
  </si>
  <si>
    <t>Total</t>
  </si>
  <si>
    <t>-</t>
  </si>
  <si>
    <t>Via Trecho 5</t>
  </si>
  <si>
    <t>Onde:
FE - fator de emissão de material particulado (lb/VMT)
k - constante de tamanho da partícula (lb/VMT)
sL - teor de silt na superfície de rodagem (%)
W - peso médio dos veículos que trafegam na via (t)
P - número de dias onde a precipitação durante o período observado foi no mínimo 0,254 mm</t>
  </si>
  <si>
    <t xml:space="preserve">BRT - Britador Secundário </t>
  </si>
  <si>
    <t>Produção (t) - Beneficiada</t>
  </si>
  <si>
    <t>Controle [%]</t>
  </si>
  <si>
    <t>Fogo Pequeno</t>
  </si>
  <si>
    <t>Emulsão bombeada e encartuchado</t>
  </si>
  <si>
    <t>PER - Perfuração (Fogo Pequeno)</t>
  </si>
  <si>
    <t>PER - Perfuração (Fogo Grande)</t>
  </si>
  <si>
    <t>DET - Detonação (Fogo Pequeno)</t>
  </si>
  <si>
    <t>DET - Detonação (Fogo Grande)</t>
  </si>
  <si>
    <t>Fogo Grande</t>
  </si>
  <si>
    <t>Número de furos por detonação</t>
  </si>
  <si>
    <t>Área Superficial Detonada (m²/detonação)</t>
  </si>
  <si>
    <t>Quantidade de Explosivos (kg)</t>
  </si>
  <si>
    <t xml:space="preserve">Fogo Pequeno </t>
  </si>
  <si>
    <t xml:space="preserve">Fogo Grande </t>
  </si>
  <si>
    <t>PEN - Peneira 01</t>
  </si>
  <si>
    <t>PEN - Peneira 02</t>
  </si>
  <si>
    <t>PEN - Peneira 03</t>
  </si>
  <si>
    <t>PEN - Peneira 04</t>
  </si>
  <si>
    <t>PEN - Peneira 05</t>
  </si>
  <si>
    <t>PEN - Peneira 06</t>
  </si>
  <si>
    <t>Solobrita</t>
  </si>
  <si>
    <t>Área (m²)</t>
  </si>
  <si>
    <t>TR - Empilhamento Solobrita</t>
  </si>
  <si>
    <t>Pilha Brita 03</t>
  </si>
  <si>
    <t>Pilha Pó de Pedra</t>
  </si>
  <si>
    <t>Pilha Brita 0</t>
  </si>
  <si>
    <t xml:space="preserve">Pilha Brita 01 </t>
  </si>
  <si>
    <t>Pilha Brita 02</t>
  </si>
  <si>
    <t>Pilha Brita 04</t>
  </si>
  <si>
    <t>Pilha Areia</t>
  </si>
  <si>
    <t>Pilha Granilha</t>
  </si>
  <si>
    <t xml:space="preserve">Soma </t>
  </si>
  <si>
    <t>Proporção Material por pilha (t)</t>
  </si>
  <si>
    <t>Fator de Emissão [kg/furo]</t>
  </si>
  <si>
    <t>Área Superficial Detonada [m²]/detonação</t>
  </si>
  <si>
    <t>Escavadeira Volvo EC460</t>
  </si>
  <si>
    <t>Escavadeira Volvo EC240B</t>
  </si>
  <si>
    <t>Escavadeira Volvo EC480</t>
  </si>
  <si>
    <t>Escavadeira New Holland E215B</t>
  </si>
  <si>
    <t>Pá Carregadeira Liebheer L580</t>
  </si>
  <si>
    <t>Pá Carregadeira Volvo L120F</t>
  </si>
  <si>
    <t>Pá Carregadeira CAT 950G</t>
  </si>
  <si>
    <t>Motoniveladora New Holland RG140B</t>
  </si>
  <si>
    <t xml:space="preserve">Perfuratriz Atlas ROC D7 </t>
  </si>
  <si>
    <t>Perfuratriz Fox 12-30</t>
  </si>
  <si>
    <t>Compressor Atlas XA 420</t>
  </si>
  <si>
    <t>Excavator - 2008
(Escavadeira)</t>
  </si>
  <si>
    <t>Excavator - 25  (2008)</t>
  </si>
  <si>
    <t>Excavator - 50  (2008)</t>
  </si>
  <si>
    <t>Excavator - 120  (2008)</t>
  </si>
  <si>
    <t>Excavator - 175  (2008)</t>
  </si>
  <si>
    <t>Excavator - 250  (2008)</t>
  </si>
  <si>
    <t>Excavator - 500  (2008)</t>
  </si>
  <si>
    <t>Excavator - 750  (2008)</t>
  </si>
  <si>
    <t>Excavator - 2010
(Escavadeira)</t>
  </si>
  <si>
    <t>Excavator - 25  (2011)</t>
  </si>
  <si>
    <t>Excavator - 50  (2011)</t>
  </si>
  <si>
    <t>Excavator - 120  (2011)</t>
  </si>
  <si>
    <t>Excavator - 175  (2011)</t>
  </si>
  <si>
    <t>Excavator - 250  (2011)</t>
  </si>
  <si>
    <t>Excavator - 500  (2011)</t>
  </si>
  <si>
    <t>Excavator - 750  (2011)</t>
  </si>
  <si>
    <t>Excavator - 25  (2014)</t>
  </si>
  <si>
    <t>Excavator - 50  (2014)</t>
  </si>
  <si>
    <t>Excavator - 120  (2014)</t>
  </si>
  <si>
    <t>Excavator - 175  (2014)</t>
  </si>
  <si>
    <t>Excavator - 250  (2014)</t>
  </si>
  <si>
    <t>Excavator - 500  (2014)</t>
  </si>
  <si>
    <t>Excavator - 750  (2014)</t>
  </si>
  <si>
    <t>Excavator - 2014
(Escavadeira)</t>
  </si>
  <si>
    <t>Rubber Tired Loader - 25 (2007)</t>
  </si>
  <si>
    <t>Rubber Tired Loader - 50 (2007)</t>
  </si>
  <si>
    <t>Rubber Tired Loader - 120 (2007)</t>
  </si>
  <si>
    <t>Rubber Tired Loader - 175 (2007)</t>
  </si>
  <si>
    <t>Rubber Tired Loader - 250 (2007)</t>
  </si>
  <si>
    <t>Rubber Tired Loader - 500 (2007)</t>
  </si>
  <si>
    <t>Rubber Tired Loader - 750 (2007)</t>
  </si>
  <si>
    <t>Rubber Tired Loader - 1000 (2007)</t>
  </si>
  <si>
    <t>Rubber Tired Loader - 2007
(Pá Carrregadeira)</t>
  </si>
  <si>
    <t>Rubber Tired Loader - 2009
(Pá Carrregadeira)</t>
  </si>
  <si>
    <t>Rubber Tired Loader - 25 (2009)</t>
  </si>
  <si>
    <t>Rubber Tired Loader - 50 (2009)</t>
  </si>
  <si>
    <t>Rubber Tired Loader - 120 (2009)</t>
  </si>
  <si>
    <t>Rubber Tired Loader - 175 (2009)</t>
  </si>
  <si>
    <t>Rubber Tired Loader - 250 (2009)</t>
  </si>
  <si>
    <t>Rubber Tired Loader - 500 (2009)</t>
  </si>
  <si>
    <t>Rubber Tired Loader - 750 (2009)</t>
  </si>
  <si>
    <t>Rubber Tired Loader - 1000 (2009)</t>
  </si>
  <si>
    <t>Graders - 50 (2009)</t>
  </si>
  <si>
    <t>Graders - 120 (2009)</t>
  </si>
  <si>
    <t>Graders - 175 (2009)</t>
  </si>
  <si>
    <t>Graders - 250 (2009)</t>
  </si>
  <si>
    <t>Graders - 500 (2009)</t>
  </si>
  <si>
    <t>Graders - 750 (2009)</t>
  </si>
  <si>
    <t>Graders - 2009
(Motoniveladora)</t>
  </si>
  <si>
    <t>Bore/Drill Rigs - 15 (2007)</t>
  </si>
  <si>
    <t>Bore/Drill Rigs - 25 (2007)</t>
  </si>
  <si>
    <t>Bore/Drill Rigs - 50 (2007)</t>
  </si>
  <si>
    <t>Bore/Drill Rigs - 120 (2007)</t>
  </si>
  <si>
    <t>Bore/Drill Rigs - 175 (2007)</t>
  </si>
  <si>
    <t>Bore/Drill Rigs - 250 (2007)</t>
  </si>
  <si>
    <t>Bore/Drill Rigs - 500 (2007)</t>
  </si>
  <si>
    <t>Bore/Drill Rigs - 750 (2007)</t>
  </si>
  <si>
    <t>Bore/Drill Rigs - 1000 (2007)</t>
  </si>
  <si>
    <t>Bore/Drill Rigs 
(Perfuratriz)</t>
  </si>
  <si>
    <t>Bore/Drill Rigs - 15 (2015)</t>
  </si>
  <si>
    <t>Bore/Drill Rigs - 25 (2015)</t>
  </si>
  <si>
    <t>Bore/Drill Rigs - 50 (2015)</t>
  </si>
  <si>
    <t>Bore/Drill Rigs - 120 (2015)</t>
  </si>
  <si>
    <t>Bore/Drill Rigs - 175 (2015)</t>
  </si>
  <si>
    <t>Bore/Drill Rigs - 250 (2015)</t>
  </si>
  <si>
    <t>Bore/Drill Rigs - 500 (2015)</t>
  </si>
  <si>
    <t>Bore/Drill Rigs - 750 (2015)</t>
  </si>
  <si>
    <t>Bore/Drill Rigs - 1000 (2015)</t>
  </si>
  <si>
    <t>Air Compressors - 2007
(Compressores de Ar)</t>
  </si>
  <si>
    <t>Air Compressor - 15 (2007)</t>
  </si>
  <si>
    <t>Air Compressor - 25 (2007)</t>
  </si>
  <si>
    <t>Air Compressor - 50 (2007)</t>
  </si>
  <si>
    <t>Air Compressor - 120 (2007)</t>
  </si>
  <si>
    <t>Air Compressor - 175 (2007)</t>
  </si>
  <si>
    <t>Air Compressor - 250 (2007)</t>
  </si>
  <si>
    <t>Air Compressor - 500 (2007)</t>
  </si>
  <si>
    <t>Air Compressor - 750 (2007)</t>
  </si>
  <si>
    <t>Air Compressor - 1000 (2007)</t>
  </si>
  <si>
    <t>Eficiência [%]</t>
  </si>
  <si>
    <t>Fator de Emissão [kg/t]</t>
  </si>
  <si>
    <t>Umidade do Material [%]</t>
  </si>
  <si>
    <t>Movimentação material [t/h]</t>
  </si>
  <si>
    <t>TR - Britador Secundário</t>
  </si>
  <si>
    <t>TR - Peneira 1</t>
  </si>
  <si>
    <t>TR - Empilhamento Brita 04</t>
  </si>
  <si>
    <t>TR - Pilha Bica Corrida</t>
  </si>
  <si>
    <t>TR - Pilha Pedra Amarroada</t>
  </si>
  <si>
    <t>TR - Peneira 2</t>
  </si>
  <si>
    <t>TR - Peneira 3</t>
  </si>
  <si>
    <t>TR - Brita 0</t>
  </si>
  <si>
    <t>TR - Pilha Brita 0</t>
  </si>
  <si>
    <t>TR - Pilha Brita 01</t>
  </si>
  <si>
    <t>TR - Pilha Brita 02</t>
  </si>
  <si>
    <t>TR - Pilha Pó de Rocha</t>
  </si>
  <si>
    <t>TR - Pilha Rachão</t>
  </si>
  <si>
    <t>BRT - Britagem Terciária</t>
  </si>
  <si>
    <t>TR - Britador Terciário</t>
  </si>
  <si>
    <t>TR - Peneira 4</t>
  </si>
  <si>
    <t>TR - Peneira 5</t>
  </si>
  <si>
    <t>TR - Brita 1</t>
  </si>
  <si>
    <t>TR - Areia</t>
  </si>
  <si>
    <t>TR - Granilha</t>
  </si>
  <si>
    <t>TR - Pilha Pedrisco</t>
  </si>
  <si>
    <t>TR - Peneira 6</t>
  </si>
  <si>
    <t>Pavimentada</t>
  </si>
  <si>
    <t>Via Trecho 6</t>
  </si>
  <si>
    <t xml:space="preserve">Umectação </t>
  </si>
  <si>
    <t>TR - Pilha Brita 03</t>
  </si>
  <si>
    <t>TR - Pilha Pó de Pedra</t>
  </si>
  <si>
    <t xml:space="preserve">Aspersão </t>
  </si>
  <si>
    <t>Aspersão</t>
  </si>
  <si>
    <t>Table 13.2.1-1. PARTICLE SIZE MULTIPLIERS FOR PAVED ROAD EQUATION</t>
  </si>
  <si>
    <t>Número de Horas com Precipitação &gt; 0,254 mm</t>
  </si>
  <si>
    <t>Size Range</t>
  </si>
  <si>
    <t>Particle Size Multiplier (k)</t>
  </si>
  <si>
    <t>Onde:
FE - fator de emissão de material particulado (g/km)
k - constante de tamanho da partícula (g/VKT)
sL - taxa de silt na superfície de rodagem (g/m²)
W - peso médio dos veículos que trafegam na via (t)
P - número de horas onde a precipitação durante o período observado foi no mínimo 0,254 mm
N - número de horas do período observado (Ex: 8760 para anual, 2124 por estação, 720 para mensal)</t>
  </si>
  <si>
    <t>Desgaste Pneus e Freio</t>
  </si>
  <si>
    <t>Desgaste da Pista</t>
  </si>
  <si>
    <t>Fator Desgaste Vias [kg/km]</t>
  </si>
  <si>
    <t>Fator de Emissão - Gases Escapamento [kg/km]</t>
  </si>
  <si>
    <t>Fator de Emissão - Ressuspensão [kg/VKT]</t>
  </si>
  <si>
    <t>Comprimento [m]</t>
  </si>
  <si>
    <t>Quantidade Movimentada [t/h]</t>
  </si>
  <si>
    <t>Capacidade do Caminhão [t]</t>
  </si>
  <si>
    <r>
      <t>Nº de Caminhões por Hora [h</t>
    </r>
    <r>
      <rPr>
        <b/>
        <vertAlign val="superscript"/>
        <sz val="8"/>
        <color theme="0"/>
        <rFont val="Arial"/>
        <family val="2"/>
      </rPr>
      <t>-1</t>
    </r>
    <r>
      <rPr>
        <b/>
        <sz val="8"/>
        <color theme="0"/>
        <rFont val="Arial"/>
        <family val="2"/>
      </rPr>
      <t>]</t>
    </r>
  </si>
  <si>
    <t>DMT  [km/h]</t>
  </si>
  <si>
    <t>Teor de Silte [%]</t>
  </si>
  <si>
    <t>Peso Médio dos Caminhões [t]</t>
  </si>
  <si>
    <t>Eficiência de Controle [%]</t>
  </si>
  <si>
    <t>Fator Desgaste Freios e Pneus [kg/km]</t>
  </si>
  <si>
    <t>Quantidade de Explosivos [t/ano]</t>
  </si>
  <si>
    <t>Via Trecho 7</t>
  </si>
  <si>
    <t>Emulsão bombeada</t>
  </si>
  <si>
    <t>Dinamite</t>
  </si>
  <si>
    <t>AP42 - 13.3 Explosives Detonation</t>
  </si>
  <si>
    <t>Table 13.3-1 Emission Factors for Detonation of Explosives</t>
  </si>
  <si>
    <t>Dynamite, ammonia</t>
  </si>
  <si>
    <t>Britagem Primária</t>
  </si>
  <si>
    <t>1º Turno</t>
  </si>
  <si>
    <t>2º Turno</t>
  </si>
  <si>
    <t>Setores</t>
  </si>
  <si>
    <t>07:00 às 11:00/12:00 às 17:00</t>
  </si>
  <si>
    <t>21:00 às 02:00/03:00 às 06:00</t>
  </si>
  <si>
    <t>Britagem Secundária/Rebritagem</t>
  </si>
  <si>
    <t>22:00 às 02:00/03:00 às 07:00</t>
  </si>
  <si>
    <t>Manutenção</t>
  </si>
  <si>
    <t>Desmonte de Rocha</t>
  </si>
  <si>
    <t>Administrativo</t>
  </si>
  <si>
    <t>13:00 às 16:00/17:00 às 22:00</t>
  </si>
  <si>
    <t>06:00 às 11:00/12:00 às 16:00</t>
  </si>
  <si>
    <t>08:00 às 11:00/12:00 às 17:00</t>
  </si>
  <si>
    <t>Número de Caminhões (diariamente)</t>
  </si>
  <si>
    <t>Extração ao Britador Primário</t>
  </si>
  <si>
    <t>Estoque à Rodovia</t>
  </si>
  <si>
    <t>Via Trecho 8</t>
  </si>
  <si>
    <t>Via Trecho 9</t>
  </si>
  <si>
    <t>Fontes: AP-42 (USEPA, 1998) - https://www3.epa.gov/ttn/chief/ap42/ch11/final/c11s09.pdf
 e NPI (2012) http://www.npi.gov.au/system/files/resources/7e04163a-12ba-6864-d19a-f57d960aae58/files/mining.pdf</t>
  </si>
  <si>
    <t>Fonte: AP-42 (USEPA, 1980) - https://www3.epa.gov/ttn/chief/ap42/ch13/final/c13s03.pdf</t>
  </si>
  <si>
    <t>Fonte: NPI (2016) - http://www.npi.gov.au/system/files/resources/e635847a-22ef-9f74-71ba-c10705d09e59/files/explosives-detonation-and-firing-ranges.pdf</t>
  </si>
  <si>
    <t xml:space="preserve"> </t>
  </si>
  <si>
    <t>Fonte: Informações fornecidas pelo empreendimento à solicitação do Ofício IEMA Nº 546/2016</t>
  </si>
  <si>
    <t>Fonte: AQMD (2016) - http://www.aqmd.gov/home/regulations/ceqa/air-quality-analysis-handbook/off-road-mobile-source-emission-factors</t>
  </si>
  <si>
    <t>Fonte: AP-42 (USEPA, 2004) - https://www3.epa.gov/ttn/chief/ap42/ch11/final/c11s1902.pdf</t>
  </si>
  <si>
    <t>Fonte: AP-42 (USEPA, 2006) - https://www3.epa.gov/ttn/chief/ap42/ch13/final/c13s0204.pdf</t>
  </si>
  <si>
    <t>Fonte: AP-42 (USEPA, 2006) - https://www3.epa.gov/ttn/chief/ap42/ch13/final/c13s0202.pdf</t>
  </si>
  <si>
    <t xml:space="preserve">Fonte: AP-42 (USEPA, 2011) - https://www3.epa.gov/ttn/chief/ap42/ch13/final/c13s0201.pdf </t>
  </si>
  <si>
    <t>Latitude [º]</t>
  </si>
  <si>
    <t>Longitude [º]</t>
  </si>
  <si>
    <t>TOTAL</t>
  </si>
  <si>
    <t>VOC</t>
  </si>
  <si>
    <t>Velocidade do Vento (m/s):</t>
  </si>
  <si>
    <t>Nota: "Erosão Eólica" foi calculada na Planilha: Erosão Eólica_Brasitália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</si>
</sst>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0.00000"/>
    <numFmt numFmtId="166" formatCode="0.0"/>
    <numFmt numFmtId="167" formatCode="0.000"/>
    <numFmt numFmtId="168" formatCode="[&gt;=0.005]\ #,##0.00;[&lt;0.005]&quot;&lt;0,01&quot;"/>
    <numFmt numFmtId="169" formatCode="0.000000"/>
    <numFmt numFmtId="170" formatCode="#,##0.00000"/>
    <numFmt numFmtId="171" formatCode="[&gt;=0.005]\ #,##0.0000;[&lt;0.005]&quot;&lt;0,01&quot;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vertAlign val="subscript"/>
      <sz val="8"/>
      <name val="Arial"/>
      <family val="2"/>
    </font>
    <font>
      <b/>
      <i/>
      <sz val="8"/>
      <color theme="1"/>
      <name val="Arial"/>
      <family val="2"/>
    </font>
    <font>
      <b/>
      <sz val="8"/>
      <name val="Arial"/>
      <family val="2"/>
    </font>
    <font>
      <b/>
      <vertAlign val="superscript"/>
      <sz val="8"/>
      <color theme="0"/>
      <name val="Arial"/>
      <family val="2"/>
    </font>
    <font>
      <sz val="8"/>
      <color theme="0"/>
      <name val="Arial"/>
      <family val="2"/>
    </font>
    <font>
      <b/>
      <sz val="9"/>
      <color indexed="81"/>
      <name val="Segoe UI"/>
      <family val="2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 style="thin">
        <color theme="0"/>
      </right>
      <top/>
      <bottom/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  <border>
      <left/>
      <right/>
      <top style="thin">
        <color rgb="FFDEDAC4"/>
      </top>
      <bottom/>
      <diagonal/>
    </border>
  </borders>
  <cellStyleXfs count="1">
    <xf numFmtId="0" fontId="0" fillId="0" borderId="0"/>
  </cellStyleXfs>
  <cellXfs count="24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" fontId="1" fillId="0" borderId="0" xfId="0" applyNumberFormat="1" applyFont="1" applyFill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8" fontId="1" fillId="3" borderId="0" xfId="0" applyNumberFormat="1" applyFont="1" applyFill="1" applyAlignment="1">
      <alignment horizontal="center" vertical="center"/>
    </xf>
    <xf numFmtId="164" fontId="1" fillId="0" borderId="11" xfId="0" applyNumberFormat="1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center"/>
    </xf>
    <xf numFmtId="168" fontId="1" fillId="0" borderId="0" xfId="0" applyNumberFormat="1" applyFont="1" applyFill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2" fontId="1" fillId="0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4" borderId="16" xfId="0" applyFont="1" applyFill="1" applyBorder="1" applyAlignment="1"/>
    <xf numFmtId="0" fontId="1" fillId="4" borderId="20" xfId="0" applyFont="1" applyFill="1" applyBorder="1" applyAlignment="1"/>
    <xf numFmtId="0" fontId="1" fillId="4" borderId="3" xfId="0" applyFont="1" applyFill="1" applyBorder="1" applyAlignment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1" fillId="4" borderId="10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>
      <alignment vertical="center" wrapText="1"/>
    </xf>
    <xf numFmtId="165" fontId="1" fillId="0" borderId="0" xfId="0" applyNumberFormat="1" applyFont="1" applyFill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168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Fill="1" applyBorder="1" applyAlignment="1">
      <alignment vertical="center"/>
    </xf>
    <xf numFmtId="2" fontId="1" fillId="0" borderId="0" xfId="0" applyNumberFormat="1" applyFont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>
      <alignment horizontal="left" vertical="center"/>
    </xf>
    <xf numFmtId="3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6" xfId="0" applyFont="1" applyBorder="1" applyAlignment="1">
      <alignment vertical="center"/>
    </xf>
    <xf numFmtId="1" fontId="1" fillId="0" borderId="6" xfId="0" applyNumberFormat="1" applyFont="1" applyFill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0" xfId="0" applyNumberFormat="1" applyFont="1" applyFill="1" applyAlignment="1">
      <alignment vertical="center"/>
    </xf>
    <xf numFmtId="3" fontId="1" fillId="0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4" fontId="1" fillId="0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164" fontId="1" fillId="0" borderId="1" xfId="0" applyNumberFormat="1" applyFont="1" applyFill="1" applyBorder="1" applyAlignment="1">
      <alignment horizontal="center" vertical="center"/>
    </xf>
    <xf numFmtId="4" fontId="1" fillId="0" borderId="20" xfId="0" applyNumberFormat="1" applyFont="1" applyFill="1" applyBorder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0" fontId="2" fillId="0" borderId="6" xfId="0" applyFont="1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3" fontId="1" fillId="0" borderId="2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vertical="center"/>
    </xf>
    <xf numFmtId="4" fontId="1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0" fillId="0" borderId="0" xfId="0" applyFill="1" applyBorder="1"/>
    <xf numFmtId="167" fontId="0" fillId="0" borderId="0" xfId="0" applyNumberFormat="1"/>
    <xf numFmtId="2" fontId="0" fillId="0" borderId="0" xfId="0" applyNumberFormat="1"/>
    <xf numFmtId="0" fontId="8" fillId="0" borderId="0" xfId="0" applyFont="1" applyFill="1"/>
    <xf numFmtId="0" fontId="1" fillId="0" borderId="11" xfId="0" applyFont="1" applyFill="1" applyBorder="1" applyAlignment="1">
      <alignment horizontal="left" vertical="center"/>
    </xf>
    <xf numFmtId="165" fontId="1" fillId="0" borderId="11" xfId="0" applyNumberFormat="1" applyFont="1" applyFill="1" applyBorder="1" applyAlignment="1">
      <alignment vertical="center"/>
    </xf>
    <xf numFmtId="2" fontId="1" fillId="0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left" vertical="center"/>
    </xf>
    <xf numFmtId="3" fontId="1" fillId="0" borderId="0" xfId="0" applyNumberFormat="1" applyFont="1" applyFill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0" borderId="0" xfId="0" applyNumberFormat="1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3" fontId="1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164" fontId="1" fillId="0" borderId="0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/>
    </xf>
    <xf numFmtId="166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/>
    <xf numFmtId="164" fontId="7" fillId="0" borderId="0" xfId="0" applyNumberFormat="1" applyFont="1" applyFill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 applyFill="1" applyAlignment="1">
      <alignment horizontal="center" vertical="center"/>
    </xf>
    <xf numFmtId="170" fontId="1" fillId="0" borderId="1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7" fontId="1" fillId="0" borderId="0" xfId="0" applyNumberFormat="1" applyFont="1"/>
    <xf numFmtId="165" fontId="1" fillId="0" borderId="1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4" fontId="1" fillId="0" borderId="8" xfId="0" applyNumberFormat="1" applyFont="1" applyBorder="1" applyAlignment="1">
      <alignment horizontal="center" vertical="center"/>
    </xf>
    <xf numFmtId="2" fontId="1" fillId="0" borderId="0" xfId="0" applyNumberFormat="1" applyFont="1" applyFill="1"/>
    <xf numFmtId="169" fontId="1" fillId="0" borderId="8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166" fontId="1" fillId="0" borderId="0" xfId="0" applyNumberFormat="1" applyFont="1" applyFill="1" applyAlignment="1">
      <alignment vertical="center"/>
    </xf>
    <xf numFmtId="169" fontId="1" fillId="0" borderId="1" xfId="0" applyNumberFormat="1" applyFont="1" applyBorder="1" applyAlignment="1">
      <alignment horizontal="center" vertical="center"/>
    </xf>
    <xf numFmtId="169" fontId="1" fillId="0" borderId="1" xfId="0" applyNumberFormat="1" applyFont="1" applyFill="1" applyBorder="1" applyAlignment="1">
      <alignment horizontal="center" vertical="center"/>
    </xf>
    <xf numFmtId="3" fontId="1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3" fontId="1" fillId="0" borderId="0" xfId="0" applyNumberFormat="1" applyFont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/>
    </xf>
    <xf numFmtId="4" fontId="1" fillId="0" borderId="6" xfId="0" applyNumberFormat="1" applyFont="1" applyFill="1" applyBorder="1" applyAlignment="1">
      <alignment horizontal="center" vertical="center"/>
    </xf>
    <xf numFmtId="171" fontId="1" fillId="0" borderId="6" xfId="0" applyNumberFormat="1" applyFont="1" applyBorder="1" applyAlignment="1">
      <alignment horizontal="center" vertical="center"/>
    </xf>
    <xf numFmtId="171" fontId="1" fillId="0" borderId="0" xfId="0" applyNumberFormat="1" applyFont="1" applyFill="1" applyAlignment="1">
      <alignment horizontal="center" vertical="center"/>
    </xf>
    <xf numFmtId="171" fontId="1" fillId="0" borderId="1" xfId="0" applyNumberFormat="1" applyFont="1" applyBorder="1" applyAlignment="1">
      <alignment horizontal="center" vertical="center"/>
    </xf>
    <xf numFmtId="168" fontId="1" fillId="3" borderId="1" xfId="0" applyNumberFormat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 vertical="center"/>
    </xf>
    <xf numFmtId="170" fontId="1" fillId="0" borderId="20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left" vertical="center" wrapText="1"/>
    </xf>
    <xf numFmtId="0" fontId="1" fillId="4" borderId="20" xfId="0" applyFont="1" applyFill="1" applyBorder="1" applyAlignment="1">
      <alignment horizontal="left" vertical="center" wrapText="1"/>
    </xf>
    <xf numFmtId="0" fontId="1" fillId="4" borderId="17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1" fillId="4" borderId="1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19" xfId="0" applyFont="1" applyFill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5" fillId="2" borderId="22" xfId="0" applyNumberFormat="1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  <color rgb="FF4F81BD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11</xdr:row>
      <xdr:rowOff>80962</xdr:rowOff>
    </xdr:from>
    <xdr:ext cx="842345" cy="161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1304925" y="3090862"/>
              <a:ext cx="8423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0,00022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p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1,5</m:t>
                        </m:r>
                      </m:sup>
                    </m:sSup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1304925" y="3090862"/>
              <a:ext cx="8423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000" b="0" i="0">
                  <a:latin typeface="Cambria Math" panose="02040503050406030204" pitchFamily="18" charset="0"/>
                </a:rPr>
                <a:t>0,00022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×𝐴^1,5</a:t>
              </a:r>
              <a:endParaRPr lang="pt-BR" sz="1000"/>
            </a:p>
          </xdr:txBody>
        </xdr:sp>
      </mc:Fallback>
    </mc:AlternateContent>
    <xdr:clientData/>
  </xdr:oneCellAnchor>
  <xdr:oneCellAnchor>
    <xdr:from>
      <xdr:col>2</xdr:col>
      <xdr:colOff>0</xdr:colOff>
      <xdr:row>11</xdr:row>
      <xdr:rowOff>80962</xdr:rowOff>
    </xdr:from>
    <xdr:ext cx="1230144" cy="161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2286000" y="3090862"/>
              <a:ext cx="1230144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0,52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0,00022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p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1,5</m:t>
                        </m:r>
                      </m:sup>
                    </m:sSup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2286000" y="3090862"/>
              <a:ext cx="1230144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000" b="0" i="0">
                  <a:latin typeface="Cambria Math" panose="02040503050406030204" pitchFamily="18" charset="0"/>
                </a:rPr>
                <a:t>0,52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BR" sz="1000" b="0" i="0">
                  <a:latin typeface="Cambria Math" panose="02040503050406030204" pitchFamily="18" charset="0"/>
                </a:rPr>
                <a:t>0,00022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×𝐴^1,5</a:t>
              </a:r>
              <a:endParaRPr lang="pt-BR" sz="1000"/>
            </a:p>
          </xdr:txBody>
        </xdr:sp>
      </mc:Fallback>
    </mc:AlternateContent>
    <xdr:clientData/>
  </xdr:oneCellAnchor>
  <xdr:oneCellAnchor>
    <xdr:from>
      <xdr:col>3</xdr:col>
      <xdr:colOff>9525</xdr:colOff>
      <xdr:row>11</xdr:row>
      <xdr:rowOff>80962</xdr:rowOff>
    </xdr:from>
    <xdr:ext cx="1230145" cy="161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3533775" y="3090862"/>
              <a:ext cx="12301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0,03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0,00022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  <m:sup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1,5</m:t>
                        </m:r>
                      </m:sup>
                    </m:sSup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3533775" y="3090862"/>
              <a:ext cx="1230145" cy="161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000" b="0" i="0">
                  <a:latin typeface="Cambria Math" panose="02040503050406030204" pitchFamily="18" charset="0"/>
                </a:rPr>
                <a:t>0,03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pt-BR" sz="1000" b="0" i="0">
                  <a:latin typeface="Cambria Math" panose="02040503050406030204" pitchFamily="18" charset="0"/>
                </a:rPr>
                <a:t>0,00022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×𝐴^1,5</a:t>
              </a:r>
              <a:endParaRPr lang="pt-BR" sz="10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676275</xdr:colOff>
      <xdr:row>74</xdr:row>
      <xdr:rowOff>14287</xdr:rowOff>
    </xdr:from>
    <xdr:ext cx="16097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id="{00000000-0008-0000-0100-000002000000}"/>
                </a:ext>
              </a:extLst>
            </xdr:cNvPr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100-000002000000}"/>
                </a:ext>
              </a:extLst>
            </xdr:cNvPr>
            <xdr:cNvSpPr txBox="1"/>
          </xdr:nvSpPr>
          <xdr:spPr>
            <a:xfrm>
              <a:off x="1971675" y="5576887"/>
              <a:ext cx="16097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𝐸=𝑛 𝑥 𝐻 𝑥 𝐸𝐹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142876</xdr:colOff>
      <xdr:row>4</xdr:row>
      <xdr:rowOff>100012</xdr:rowOff>
    </xdr:from>
    <xdr:ext cx="2400300" cy="3726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xmlns="" id="{00000000-0008-0000-0200-000002000000}"/>
                </a:ext>
              </a:extLst>
            </xdr:cNvPr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× 0,0016×</m:t>
                    </m:r>
                    <m:f>
                      <m:fPr>
                        <m:type m:val="lin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𝑈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2,2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1,3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𝑀</m:t>
                                    </m:r>
                                  </m:num>
                                  <m:den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</m:t>
                            </m:r>
                          </m:sup>
                        </m:sSup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019301" y="862012"/>
              <a:ext cx="2400300" cy="3726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𝐸=𝑘 × 0,0016×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(𝑈/2,2)^1,3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∕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𝑀/2)^1,4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t-BR" sz="1100" b="0" i="0">
                  <a:latin typeface="Cambria Math" panose="02040503050406030204" pitchFamily="18" charset="0"/>
                </a:rPr>
                <a:t> 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9</xdr:row>
      <xdr:rowOff>66675</xdr:rowOff>
    </xdr:from>
    <xdr:to>
      <xdr:col>3</xdr:col>
      <xdr:colOff>828675</xdr:colOff>
      <xdr:row>10</xdr:row>
      <xdr:rowOff>247651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3162300" y="2019300"/>
          <a:ext cx="1028700" cy="37147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  <xdr:oneCellAnchor>
    <xdr:from>
      <xdr:col>0</xdr:col>
      <xdr:colOff>628650</xdr:colOff>
      <xdr:row>9</xdr:row>
      <xdr:rowOff>19050</xdr:rowOff>
    </xdr:from>
    <xdr:ext cx="3381375" cy="3618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xmlns="" id="{00000000-0008-0000-0400-000002000000}"/>
                </a:ext>
              </a:extLst>
            </xdr:cNvPr>
            <xdr:cNvSpPr txBox="1"/>
          </xdr:nvSpPr>
          <xdr:spPr>
            <a:xfrm>
              <a:off x="628650" y="1733550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.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𝑠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12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sup>
                            </m:sSup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.  </m:t>
                            </m:r>
                            <m:sSup>
                              <m:sSupPr>
                                <m:ctrlP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0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𝑊</m:t>
                                        </m:r>
                                      </m:num>
                                      <m:den>
                                        <m:r>
                                          <a:rPr lang="pt-BR" sz="10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pt-BR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sup>
                            </m:sSup>
                          </m:e>
                        </m:d>
                        <m:r>
                          <a:rPr lang="pt-BR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. (</m:t>
                        </m:r>
                        <m:d>
                          <m:dPr>
                            <m:ctrlP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365−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pt-BR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)/365)</m:t>
                            </m:r>
                          </m:e>
                        </m:d>
                      </m:e>
                    </m:d>
                    <m:r>
                      <a:rPr lang="pt-BR" sz="10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="" xmlns:a16="http://schemas.microsoft.com/office/drawing/2014/main" xmlns:a14="http://schemas.microsoft.com/office/drawing/2010/main" id="{00000000-0008-0000-0400-000002000000}"/>
                </a:ext>
              </a:extLst>
            </xdr:cNvPr>
            <xdr:cNvSpPr txBox="1"/>
          </xdr:nvSpPr>
          <xdr:spPr>
            <a:xfrm>
              <a:off x="628650" y="1733550"/>
              <a:ext cx="3381375" cy="3618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𝐹𝐸=[</a:t>
              </a:r>
              <a:r>
                <a:rPr lang="pt-B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(𝑘 . (𝑠/12)^𝑎.  (𝑊/3)^𝑏 )  . ((365−𝑃)/365))] </a:t>
              </a:r>
              <a:r>
                <a:rPr lang="pt-BR" sz="1000" b="0" i="0">
                  <a:latin typeface="Cambria Math" panose="02040503050406030204" pitchFamily="18" charset="0"/>
                </a:rPr>
                <a:t> </a:t>
              </a:r>
              <a:endParaRPr lang="pt-BR" sz="1000"/>
            </a:p>
          </xdr:txBody>
        </xdr:sp>
      </mc:Fallback>
    </mc:AlternateContent>
    <xdr:clientData/>
  </xdr:oneCellAnchor>
  <xdr:oneCellAnchor>
    <xdr:from>
      <xdr:col>1</xdr:col>
      <xdr:colOff>95250</xdr:colOff>
      <xdr:row>29</xdr:row>
      <xdr:rowOff>185737</xdr:rowOff>
    </xdr:from>
    <xdr:ext cx="234315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/>
            <xdr:cNvSpPr txBox="1"/>
          </xdr:nvSpPr>
          <xdr:spPr>
            <a:xfrm>
              <a:off x="990600" y="5300662"/>
              <a:ext cx="23431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𝐹𝐸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 . </m:t>
                        </m:r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𝑠𝐿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0,91</m:t>
                            </m:r>
                          </m:sup>
                        </m:s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. </m:t>
                        </m:r>
                        <m:sSup>
                          <m:sSupPr>
                            <m:ctrlPr>
                              <a:rPr lang="pt-B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𝑊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1,02</m:t>
                            </m:r>
                          </m:sup>
                        </m:sSup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. </m:t>
                    </m:r>
                    <m:d>
                      <m:d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1−1,2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</m:d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/>
            <xdr:cNvSpPr txBox="1"/>
          </xdr:nvSpPr>
          <xdr:spPr>
            <a:xfrm>
              <a:off x="990600" y="5300662"/>
              <a:ext cx="23431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𝐹𝐸=(𝑘 . 〖𝑠𝐿〗^0,91. 𝑊^1,02 )  . (1−1,2𝑃/𝑁)  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2</xdr:col>
      <xdr:colOff>571501</xdr:colOff>
      <xdr:row>29</xdr:row>
      <xdr:rowOff>104775</xdr:rowOff>
    </xdr:from>
    <xdr:to>
      <xdr:col>3</xdr:col>
      <xdr:colOff>790575</xdr:colOff>
      <xdr:row>31</xdr:row>
      <xdr:rowOff>47625</xdr:rowOff>
    </xdr:to>
    <xdr:sp macro="" textlink="">
      <xdr:nvSpPr>
        <xdr:cNvPr id="6" name="Elipse 5"/>
        <xdr:cNvSpPr/>
      </xdr:nvSpPr>
      <xdr:spPr>
        <a:xfrm>
          <a:off x="2362201" y="5219700"/>
          <a:ext cx="1114424" cy="32385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workbookViewId="0">
      <selection activeCell="D6" sqref="D6"/>
    </sheetView>
  </sheetViews>
  <sheetFormatPr defaultRowHeight="15" x14ac:dyDescent="0.25"/>
  <cols>
    <col min="1" max="2" width="17.140625" customWidth="1"/>
    <col min="3" max="3" width="18.5703125" customWidth="1"/>
    <col min="4" max="4" width="18.28515625" customWidth="1"/>
  </cols>
  <sheetData>
    <row r="1" spans="1:9" ht="23.25" customHeight="1" x14ac:dyDescent="0.25">
      <c r="A1" s="173" t="s">
        <v>334</v>
      </c>
      <c r="B1" s="173"/>
      <c r="C1" s="173"/>
      <c r="D1" s="173"/>
      <c r="E1" s="173"/>
      <c r="F1" s="173"/>
      <c r="G1" s="173"/>
      <c r="H1" s="173"/>
      <c r="I1" s="61"/>
    </row>
    <row r="2" spans="1:9" ht="26.25" customHeight="1" x14ac:dyDescent="0.25">
      <c r="A2" s="175" t="s">
        <v>93</v>
      </c>
      <c r="B2" s="175"/>
      <c r="C2" s="175"/>
      <c r="D2" s="175"/>
    </row>
    <row r="3" spans="1:9" x14ac:dyDescent="0.25">
      <c r="A3" s="174" t="s">
        <v>94</v>
      </c>
      <c r="B3" s="174"/>
      <c r="C3" s="174"/>
      <c r="D3" s="174"/>
    </row>
    <row r="4" spans="1:9" x14ac:dyDescent="0.25">
      <c r="A4" s="177" t="s">
        <v>29</v>
      </c>
      <c r="B4" s="177"/>
      <c r="C4" s="177" t="s">
        <v>78</v>
      </c>
      <c r="D4" s="177"/>
    </row>
    <row r="5" spans="1:9" x14ac:dyDescent="0.25">
      <c r="A5" s="178" t="s">
        <v>79</v>
      </c>
      <c r="B5" s="178"/>
      <c r="C5" s="146" t="s">
        <v>2</v>
      </c>
      <c r="D5" s="146" t="s">
        <v>25</v>
      </c>
    </row>
    <row r="6" spans="1:9" x14ac:dyDescent="0.25">
      <c r="A6" s="178"/>
      <c r="B6" s="178"/>
      <c r="C6" s="146">
        <v>0.59</v>
      </c>
      <c r="D6" s="146">
        <v>0.31</v>
      </c>
    </row>
    <row r="8" spans="1:9" x14ac:dyDescent="0.25">
      <c r="A8" s="174" t="s">
        <v>80</v>
      </c>
      <c r="B8" s="174"/>
      <c r="C8" s="174"/>
      <c r="D8" s="174"/>
    </row>
    <row r="9" spans="1:9" ht="21.75" customHeight="1" x14ac:dyDescent="0.25">
      <c r="A9" s="175" t="s">
        <v>81</v>
      </c>
      <c r="B9" s="175"/>
      <c r="C9" s="175"/>
      <c r="D9" s="175"/>
    </row>
    <row r="10" spans="1:9" x14ac:dyDescent="0.25">
      <c r="A10" s="145" t="s">
        <v>29</v>
      </c>
      <c r="B10" s="176" t="s">
        <v>82</v>
      </c>
      <c r="C10" s="176"/>
      <c r="D10" s="176"/>
    </row>
    <row r="11" spans="1:9" x14ac:dyDescent="0.25">
      <c r="A11" s="180" t="s">
        <v>83</v>
      </c>
      <c r="B11" s="146" t="s">
        <v>2</v>
      </c>
      <c r="C11" s="146" t="s">
        <v>25</v>
      </c>
      <c r="D11" s="149" t="s">
        <v>99</v>
      </c>
    </row>
    <row r="12" spans="1:9" ht="26.25" customHeight="1" x14ac:dyDescent="0.25">
      <c r="A12" s="180"/>
      <c r="B12" s="152"/>
      <c r="C12" s="152"/>
      <c r="D12" s="152"/>
    </row>
    <row r="13" spans="1:9" ht="19.5" customHeight="1" x14ac:dyDescent="0.25">
      <c r="A13" s="147" t="s">
        <v>98</v>
      </c>
      <c r="B13" s="179" t="s">
        <v>97</v>
      </c>
      <c r="C13" s="179"/>
      <c r="D13" s="179"/>
    </row>
    <row r="15" spans="1:9" x14ac:dyDescent="0.25">
      <c r="A15" s="1" t="s">
        <v>336</v>
      </c>
    </row>
    <row r="16" spans="1:9" x14ac:dyDescent="0.25">
      <c r="A16" s="181" t="s">
        <v>84</v>
      </c>
      <c r="B16" s="181"/>
      <c r="C16" s="181"/>
      <c r="D16" s="181"/>
    </row>
    <row r="17" spans="1:4" x14ac:dyDescent="0.25">
      <c r="A17" s="175" t="s">
        <v>85</v>
      </c>
      <c r="B17" s="175"/>
      <c r="C17" s="175"/>
      <c r="D17" s="175"/>
    </row>
    <row r="18" spans="1:4" x14ac:dyDescent="0.25">
      <c r="A18" s="165" t="s">
        <v>86</v>
      </c>
      <c r="B18" s="165"/>
      <c r="C18" s="165" t="s">
        <v>87</v>
      </c>
      <c r="D18" s="165"/>
    </row>
    <row r="19" spans="1:4" x14ac:dyDescent="0.25">
      <c r="A19" s="172" t="s">
        <v>88</v>
      </c>
      <c r="B19" s="172"/>
      <c r="C19" s="42" t="s">
        <v>4</v>
      </c>
      <c r="D19" s="42" t="s">
        <v>89</v>
      </c>
    </row>
    <row r="20" spans="1:4" x14ac:dyDescent="0.25">
      <c r="A20" s="172"/>
      <c r="B20" s="172"/>
      <c r="C20" s="42">
        <v>17</v>
      </c>
      <c r="D20" s="42">
        <v>0.2</v>
      </c>
    </row>
    <row r="22" spans="1:4" x14ac:dyDescent="0.25">
      <c r="A22" s="1" t="s">
        <v>335</v>
      </c>
    </row>
    <row r="23" spans="1:4" x14ac:dyDescent="0.25">
      <c r="A23" s="166" t="s">
        <v>312</v>
      </c>
      <c r="B23" s="167"/>
      <c r="C23" s="168"/>
    </row>
    <row r="24" spans="1:4" x14ac:dyDescent="0.25">
      <c r="A24" s="169" t="s">
        <v>313</v>
      </c>
      <c r="B24" s="170"/>
      <c r="C24" s="171"/>
    </row>
    <row r="25" spans="1:4" x14ac:dyDescent="0.25">
      <c r="A25" s="165" t="s">
        <v>86</v>
      </c>
      <c r="B25" s="165"/>
      <c r="C25" s="141" t="s">
        <v>87</v>
      </c>
    </row>
    <row r="26" spans="1:4" x14ac:dyDescent="0.25">
      <c r="A26" s="172" t="s">
        <v>314</v>
      </c>
      <c r="B26" s="172"/>
      <c r="C26" s="139" t="s">
        <v>4</v>
      </c>
    </row>
    <row r="27" spans="1:4" x14ac:dyDescent="0.25">
      <c r="A27" s="172"/>
      <c r="B27" s="172"/>
      <c r="C27" s="139">
        <v>32</v>
      </c>
    </row>
  </sheetData>
  <sheetProtection algorithmName="SHA-512" hashValue="XCoSUk5t/ZEkrvR1/lYiuikTFJ50tm4FfIw3ZwSy77B9z/ZmoYBexovf5cRQPKkaIFe97Bf1UVHt3BLSbzVwDQ==" saltValue="Djm2ND9eSkQMRQekqt0f5A==" spinCount="100000" sheet="1" objects="1" scenarios="1"/>
  <mergeCells count="20">
    <mergeCell ref="B13:D13"/>
    <mergeCell ref="A11:A12"/>
    <mergeCell ref="A16:D16"/>
    <mergeCell ref="A17:D17"/>
    <mergeCell ref="A18:B18"/>
    <mergeCell ref="A1:H1"/>
    <mergeCell ref="A8:D8"/>
    <mergeCell ref="A9:D9"/>
    <mergeCell ref="B10:D10"/>
    <mergeCell ref="A2:D2"/>
    <mergeCell ref="A3:D3"/>
    <mergeCell ref="A4:B4"/>
    <mergeCell ref="C4:D4"/>
    <mergeCell ref="A5:B6"/>
    <mergeCell ref="C18:D18"/>
    <mergeCell ref="A23:C23"/>
    <mergeCell ref="A24:C24"/>
    <mergeCell ref="A25:B25"/>
    <mergeCell ref="A26:B27"/>
    <mergeCell ref="A19:B20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workbookViewId="0">
      <selection activeCell="A16" sqref="A16:I16"/>
    </sheetView>
  </sheetViews>
  <sheetFormatPr defaultRowHeight="15" x14ac:dyDescent="0.25"/>
  <cols>
    <col min="1" max="1" width="44.85546875" customWidth="1"/>
    <col min="2" max="2" width="15.85546875" customWidth="1"/>
    <col min="3" max="3" width="14.140625" customWidth="1"/>
    <col min="4" max="4" width="13.7109375" customWidth="1"/>
    <col min="5" max="5" width="13.140625" customWidth="1"/>
    <col min="6" max="10" width="11.140625" customWidth="1"/>
    <col min="11" max="11" width="9.28515625" customWidth="1"/>
    <col min="12" max="12" width="11" customWidth="1"/>
  </cols>
  <sheetData>
    <row r="1" spans="1:12" ht="18" customHeight="1" x14ac:dyDescent="0.25">
      <c r="A1" s="236" t="s">
        <v>0</v>
      </c>
      <c r="B1" s="224" t="s">
        <v>344</v>
      </c>
      <c r="C1" s="224" t="s">
        <v>345</v>
      </c>
      <c r="D1" s="236" t="s">
        <v>300</v>
      </c>
      <c r="E1" s="242" t="s">
        <v>257</v>
      </c>
      <c r="F1" s="243"/>
      <c r="G1" s="243"/>
      <c r="H1" s="236" t="s">
        <v>95</v>
      </c>
      <c r="I1" s="236" t="s">
        <v>306</v>
      </c>
      <c r="J1" s="240" t="s">
        <v>1</v>
      </c>
      <c r="K1" s="240"/>
      <c r="L1" s="241"/>
    </row>
    <row r="2" spans="1:12" ht="17.25" customHeight="1" x14ac:dyDescent="0.25">
      <c r="A2" s="236"/>
      <c r="B2" s="224"/>
      <c r="C2" s="224"/>
      <c r="D2" s="236"/>
      <c r="E2" s="66" t="s">
        <v>24</v>
      </c>
      <c r="F2" s="66" t="s">
        <v>46</v>
      </c>
      <c r="G2" s="70" t="s">
        <v>109</v>
      </c>
      <c r="H2" s="236"/>
      <c r="I2" s="236"/>
      <c r="J2" s="71" t="s">
        <v>24</v>
      </c>
      <c r="K2" s="58" t="s">
        <v>46</v>
      </c>
      <c r="L2" s="58" t="s">
        <v>109</v>
      </c>
    </row>
    <row r="3" spans="1:12" x14ac:dyDescent="0.25">
      <c r="A3" s="4" t="s">
        <v>102</v>
      </c>
      <c r="B3" s="129">
        <v>-20.322611999999999</v>
      </c>
      <c r="C3" s="129">
        <v>-40.399465999999997</v>
      </c>
      <c r="D3" s="100">
        <f>SUM(Dados!C15:C25)/8760</f>
        <v>153.03721017978029</v>
      </c>
      <c r="E3" s="60">
        <f>'FE-Brit e Pen'!B5</f>
        <v>2.7000000000000001E-3</v>
      </c>
      <c r="F3" s="60">
        <f>'FE-Brit e Pen'!D5</f>
        <v>1.1999999999999999E-3</v>
      </c>
      <c r="G3" s="78">
        <f>('FE-Brit e Pen'!$F$6/'FE-Brit e Pen'!$D$6)*'FE-Brit e Pen'!$D$5</f>
        <v>2.2222222222222223E-4</v>
      </c>
      <c r="H3" s="6" t="s">
        <v>288</v>
      </c>
      <c r="I3" s="6">
        <v>50</v>
      </c>
      <c r="J3" s="160">
        <f>D3*E3*(1-I3/100)</f>
        <v>0.20660023374270339</v>
      </c>
      <c r="K3" s="160">
        <f>D3*F3*(1-I3/100)</f>
        <v>9.1822326107868169E-2</v>
      </c>
      <c r="L3" s="162">
        <f>D3*G3*(1-I3/100)</f>
        <v>1.7004134464420034E-2</v>
      </c>
    </row>
    <row r="4" spans="1:12" x14ac:dyDescent="0.25">
      <c r="A4" s="4" t="s">
        <v>131</v>
      </c>
      <c r="B4" s="129">
        <v>-20.322738999999999</v>
      </c>
      <c r="C4" s="129">
        <v>-40.398327000000002</v>
      </c>
      <c r="D4" s="100">
        <f>0.5*SUM(Dados!C15:C25)/8760</f>
        <v>76.518605089890144</v>
      </c>
      <c r="E4" s="68">
        <f>'FE-Brit e Pen'!B5</f>
        <v>2.7000000000000001E-3</v>
      </c>
      <c r="F4" s="68">
        <f>'FE-Brit e Pen'!D5</f>
        <v>1.1999999999999999E-3</v>
      </c>
      <c r="G4" s="78">
        <f>('FE-Brit e Pen'!$F$6/'FE-Brit e Pen'!$D$6)*'FE-Brit e Pen'!$D$5</f>
        <v>2.2222222222222223E-4</v>
      </c>
      <c r="H4" s="6" t="s">
        <v>288</v>
      </c>
      <c r="I4" s="6">
        <v>50</v>
      </c>
      <c r="J4" s="160">
        <f>D4*E4*(1-I4/100)</f>
        <v>0.1033001168713517</v>
      </c>
      <c r="K4" s="160">
        <f>D4*F4*(1-I4/100)</f>
        <v>4.5911163053934084E-2</v>
      </c>
      <c r="L4" s="160">
        <f>D4*G4*(1-I4/100)</f>
        <v>8.5020672322100171E-3</v>
      </c>
    </row>
    <row r="5" spans="1:12" x14ac:dyDescent="0.25">
      <c r="A5" s="82" t="s">
        <v>273</v>
      </c>
      <c r="B5" s="133">
        <v>-20.322649999999999</v>
      </c>
      <c r="C5" s="127">
        <v>-40.397042999999996</v>
      </c>
      <c r="D5" s="131">
        <f>0.5*SUM(Dados!C21:C25)/8760</f>
        <v>16.930682479692514</v>
      </c>
      <c r="E5" s="64">
        <f>'FE-Brit e Pen'!B5</f>
        <v>2.7000000000000001E-3</v>
      </c>
      <c r="F5" s="69">
        <f>'FE-Brit e Pen'!D5</f>
        <v>1.1999999999999999E-3</v>
      </c>
      <c r="G5" s="79">
        <f>('FE-Brit e Pen'!$F$6/'FE-Brit e Pen'!$D$6)*'FE-Brit e Pen'!$D$5</f>
        <v>2.2222222222222223E-4</v>
      </c>
      <c r="H5" s="6" t="s">
        <v>288</v>
      </c>
      <c r="I5" s="6">
        <v>50</v>
      </c>
      <c r="J5" s="160">
        <f>D5*E5*(1-I5/100)</f>
        <v>2.2856421347584897E-2</v>
      </c>
      <c r="K5" s="160">
        <f>D5*F5*(1-I5/100)</f>
        <v>1.0158409487815507E-2</v>
      </c>
      <c r="L5" s="160">
        <f>D5*G5*(1-I5/100)</f>
        <v>1.8811869421880571E-3</v>
      </c>
    </row>
    <row r="6" spans="1:12" x14ac:dyDescent="0.25">
      <c r="A6" s="225" t="s">
        <v>346</v>
      </c>
      <c r="B6" s="181"/>
      <c r="C6" s="181"/>
      <c r="D6" s="181"/>
      <c r="E6" s="181"/>
      <c r="F6" s="181"/>
      <c r="G6" s="181"/>
      <c r="H6" s="181"/>
      <c r="I6" s="226"/>
      <c r="J6" s="161">
        <f>SUM(J3:J5)</f>
        <v>0.33275677196164</v>
      </c>
      <c r="K6" s="161">
        <f t="shared" ref="K6:L6" si="0">SUM(K3:K5)</f>
        <v>0.14789189864961777</v>
      </c>
      <c r="L6" s="161">
        <f t="shared" si="0"/>
        <v>2.7387388638818108E-2</v>
      </c>
    </row>
    <row r="7" spans="1:12" x14ac:dyDescent="0.25">
      <c r="A7" s="72"/>
      <c r="B7" s="72"/>
      <c r="C7" s="72"/>
      <c r="E7" s="1"/>
      <c r="F7" s="1"/>
      <c r="G7" s="1"/>
      <c r="H7" s="34"/>
      <c r="I7" s="1"/>
      <c r="J7" s="1"/>
      <c r="K7" s="1"/>
      <c r="L7" s="1"/>
    </row>
    <row r="8" spans="1:12" ht="19.5" customHeight="1" x14ac:dyDescent="0.25">
      <c r="A8" s="236" t="s">
        <v>0</v>
      </c>
      <c r="B8" s="224" t="s">
        <v>344</v>
      </c>
      <c r="C8" s="224" t="s">
        <v>345</v>
      </c>
      <c r="D8" s="236" t="s">
        <v>300</v>
      </c>
      <c r="E8" s="242" t="s">
        <v>257</v>
      </c>
      <c r="F8" s="243"/>
      <c r="G8" s="244"/>
      <c r="H8" s="236" t="s">
        <v>95</v>
      </c>
      <c r="I8" s="236" t="s">
        <v>306</v>
      </c>
      <c r="J8" s="239" t="s">
        <v>1</v>
      </c>
      <c r="K8" s="240"/>
      <c r="L8" s="241"/>
    </row>
    <row r="9" spans="1:12" ht="15.75" customHeight="1" x14ac:dyDescent="0.25">
      <c r="A9" s="236"/>
      <c r="B9" s="224"/>
      <c r="C9" s="224"/>
      <c r="D9" s="236"/>
      <c r="E9" s="66" t="s">
        <v>24</v>
      </c>
      <c r="F9" s="66" t="s">
        <v>46</v>
      </c>
      <c r="G9" s="66" t="s">
        <v>109</v>
      </c>
      <c r="H9" s="236"/>
      <c r="I9" s="236"/>
      <c r="J9" s="66" t="s">
        <v>24</v>
      </c>
      <c r="K9" s="66" t="s">
        <v>46</v>
      </c>
      <c r="L9" s="66" t="s">
        <v>109</v>
      </c>
    </row>
    <row r="10" spans="1:12" x14ac:dyDescent="0.25">
      <c r="A10" s="4" t="s">
        <v>146</v>
      </c>
      <c r="B10" s="129">
        <v>-20.322606</v>
      </c>
      <c r="C10" s="129">
        <v>-40.397990999999998</v>
      </c>
      <c r="D10" s="100">
        <f>'Emissão Transferências'!D10</f>
        <v>153.03721017978029</v>
      </c>
      <c r="E10" s="47">
        <f>'FE-Brit e Pen'!$B$7</f>
        <v>1.2500000000000001E-2</v>
      </c>
      <c r="F10" s="47">
        <f>'FE-Brit e Pen'!$D$7</f>
        <v>4.3E-3</v>
      </c>
      <c r="G10" s="73">
        <f>('FE-Brit e Pen'!$F$8/'FE-Brit e Pen'!$D$8)*'FE-Brit e Pen'!$D$7</f>
        <v>2.9054054054054054E-4</v>
      </c>
      <c r="H10" s="6" t="s">
        <v>288</v>
      </c>
      <c r="I10" s="6">
        <v>50</v>
      </c>
      <c r="J10" s="160">
        <f>D10*E10*(1-I10/100)</f>
        <v>0.95648256362362682</v>
      </c>
      <c r="K10" s="160">
        <f>D10*F10*(1-I10/100)</f>
        <v>0.32903000188652765</v>
      </c>
      <c r="L10" s="160">
        <f>D10*G10*(1-I10/100)</f>
        <v>2.2231756884224841E-2</v>
      </c>
    </row>
    <row r="11" spans="1:12" x14ac:dyDescent="0.25">
      <c r="A11" s="13" t="s">
        <v>147</v>
      </c>
      <c r="B11" s="128">
        <v>-20.322678</v>
      </c>
      <c r="C11" s="128">
        <v>-40.398010999999997</v>
      </c>
      <c r="D11" s="101">
        <f>'Emissão Transferências'!D13</f>
        <v>75.074049390248973</v>
      </c>
      <c r="E11" s="47">
        <f>'FE-Brit e Pen'!$B$7</f>
        <v>1.2500000000000001E-2</v>
      </c>
      <c r="F11" s="47">
        <f>'FE-Brit e Pen'!$D$7</f>
        <v>4.3E-3</v>
      </c>
      <c r="G11" s="73">
        <f>('FE-Brit e Pen'!$F$8/'FE-Brit e Pen'!$D$8)*'FE-Brit e Pen'!$D$7</f>
        <v>2.9054054054054054E-4</v>
      </c>
      <c r="H11" s="6" t="s">
        <v>288</v>
      </c>
      <c r="I11" s="6">
        <v>50</v>
      </c>
      <c r="J11" s="160">
        <f t="shared" ref="J11:J15" si="1">D11*E11*(1-I11/100)</f>
        <v>0.46921280868905613</v>
      </c>
      <c r="K11" s="160">
        <f t="shared" ref="K11:K15" si="2">D11*F11*(1-I11/100)</f>
        <v>0.16140920618903529</v>
      </c>
      <c r="L11" s="160">
        <f t="shared" ref="L11:L15" si="3">D11*G11*(1-I11/100)</f>
        <v>1.0906027445205087E-2</v>
      </c>
    </row>
    <row r="12" spans="1:12" x14ac:dyDescent="0.25">
      <c r="A12" s="13" t="s">
        <v>148</v>
      </c>
      <c r="B12" s="128">
        <v>-20.323073000000001</v>
      </c>
      <c r="C12" s="128">
        <v>-40.398330000000001</v>
      </c>
      <c r="D12" s="101">
        <f>'Emissão Transferências'!D15</f>
        <v>75.074049390248973</v>
      </c>
      <c r="E12" s="47">
        <f>'FE-Brit e Pen'!$B$7</f>
        <v>1.2500000000000001E-2</v>
      </c>
      <c r="F12" s="47">
        <f>'FE-Brit e Pen'!$D$7</f>
        <v>4.3E-3</v>
      </c>
      <c r="G12" s="73">
        <f>('FE-Brit e Pen'!$F$8/'FE-Brit e Pen'!$D$8)*'FE-Brit e Pen'!$D$7</f>
        <v>2.9054054054054054E-4</v>
      </c>
      <c r="H12" s="6" t="s">
        <v>288</v>
      </c>
      <c r="I12" s="6">
        <v>50</v>
      </c>
      <c r="J12" s="160">
        <f t="shared" si="1"/>
        <v>0.46921280868905613</v>
      </c>
      <c r="K12" s="160">
        <f t="shared" si="2"/>
        <v>0.16140920618903529</v>
      </c>
      <c r="L12" s="160">
        <f t="shared" si="3"/>
        <v>1.0906027445205087E-2</v>
      </c>
    </row>
    <row r="13" spans="1:12" x14ac:dyDescent="0.25">
      <c r="A13" s="13" t="s">
        <v>149</v>
      </c>
      <c r="B13" s="128">
        <v>-20.322599</v>
      </c>
      <c r="C13" s="128">
        <v>-40.396621000000003</v>
      </c>
      <c r="D13" s="101">
        <f>'Emissão Transferências'!D22</f>
        <v>33.861364959385028</v>
      </c>
      <c r="E13" s="47">
        <f>'FE-Brit e Pen'!$B$7</f>
        <v>1.2500000000000001E-2</v>
      </c>
      <c r="F13" s="47">
        <f>'FE-Brit e Pen'!$D$7</f>
        <v>4.3E-3</v>
      </c>
      <c r="G13" s="73">
        <f>('FE-Brit e Pen'!$F$8/'FE-Brit e Pen'!$D$8)*'FE-Brit e Pen'!$D$7</f>
        <v>2.9054054054054054E-4</v>
      </c>
      <c r="H13" s="6" t="s">
        <v>288</v>
      </c>
      <c r="I13" s="6">
        <v>50</v>
      </c>
      <c r="J13" s="160">
        <f t="shared" si="1"/>
        <v>0.21163353099615645</v>
      </c>
      <c r="K13" s="160">
        <f t="shared" si="2"/>
        <v>7.2801934662677814E-2</v>
      </c>
      <c r="L13" s="160">
        <f t="shared" si="3"/>
        <v>4.9190496393701228E-3</v>
      </c>
    </row>
    <row r="14" spans="1:12" x14ac:dyDescent="0.25">
      <c r="A14" s="13" t="s">
        <v>150</v>
      </c>
      <c r="B14" s="128">
        <v>-20.322264000000001</v>
      </c>
      <c r="C14" s="128">
        <v>-40.396666000000003</v>
      </c>
      <c r="D14" s="101">
        <f>'Emissão Transferências'!D23</f>
        <v>33.861364959385028</v>
      </c>
      <c r="E14" s="47">
        <f>'FE-Brit e Pen'!$B$7</f>
        <v>1.2500000000000001E-2</v>
      </c>
      <c r="F14" s="47">
        <f>'FE-Brit e Pen'!$D$7</f>
        <v>4.3E-3</v>
      </c>
      <c r="G14" s="73">
        <f>('FE-Brit e Pen'!$F$8/'FE-Brit e Pen'!$D$8)*'FE-Brit e Pen'!$D$7</f>
        <v>2.9054054054054054E-4</v>
      </c>
      <c r="H14" s="6" t="s">
        <v>288</v>
      </c>
      <c r="I14" s="6">
        <v>50</v>
      </c>
      <c r="J14" s="160">
        <f t="shared" si="1"/>
        <v>0.21163353099615645</v>
      </c>
      <c r="K14" s="160">
        <f t="shared" si="2"/>
        <v>7.2801934662677814E-2</v>
      </c>
      <c r="L14" s="160">
        <f t="shared" si="3"/>
        <v>4.9190496393701228E-3</v>
      </c>
    </row>
    <row r="15" spans="1:12" x14ac:dyDescent="0.25">
      <c r="A15" s="13" t="s">
        <v>151</v>
      </c>
      <c r="B15" s="128">
        <v>-20.322358000000001</v>
      </c>
      <c r="C15" s="128">
        <v>-40.397347000000003</v>
      </c>
      <c r="D15" s="101">
        <f>'Emissão Transferências'!D28</f>
        <v>10.877014738399708</v>
      </c>
      <c r="E15" s="47">
        <f>'FE-Brit e Pen'!$B$7</f>
        <v>1.2500000000000001E-2</v>
      </c>
      <c r="F15" s="47">
        <f>'FE-Brit e Pen'!$D$7</f>
        <v>4.3E-3</v>
      </c>
      <c r="G15" s="73">
        <f>('FE-Brit e Pen'!$F$8/'FE-Brit e Pen'!$D$8)*'FE-Brit e Pen'!$D$7</f>
        <v>2.9054054054054054E-4</v>
      </c>
      <c r="H15" s="6" t="s">
        <v>288</v>
      </c>
      <c r="I15" s="6">
        <v>50</v>
      </c>
      <c r="J15" s="160">
        <f t="shared" si="1"/>
        <v>6.7981342114998178E-2</v>
      </c>
      <c r="K15" s="160">
        <f t="shared" si="2"/>
        <v>2.3385581687559373E-2</v>
      </c>
      <c r="L15" s="160">
        <f t="shared" si="3"/>
        <v>1.5801068707810388E-3</v>
      </c>
    </row>
    <row r="16" spans="1:12" x14ac:dyDescent="0.25">
      <c r="A16" s="181" t="s">
        <v>346</v>
      </c>
      <c r="B16" s="181"/>
      <c r="C16" s="181"/>
      <c r="D16" s="181"/>
      <c r="E16" s="181"/>
      <c r="F16" s="181"/>
      <c r="G16" s="181"/>
      <c r="H16" s="181"/>
      <c r="I16" s="181"/>
      <c r="J16" s="161">
        <f>SUM(J10:J15)</f>
        <v>2.3861565851090503</v>
      </c>
      <c r="K16" s="161">
        <f t="shared" ref="K16:L16" si="4">SUM(K10:K15)</f>
        <v>0.82083786527751323</v>
      </c>
      <c r="L16" s="161">
        <f t="shared" si="4"/>
        <v>5.5462017924156296E-2</v>
      </c>
    </row>
    <row r="17" spans="1:13" x14ac:dyDescent="0.25">
      <c r="A17" s="34"/>
      <c r="B17" s="34"/>
      <c r="C17" s="34"/>
      <c r="D17" s="1"/>
      <c r="E17" s="1"/>
      <c r="F17" s="34"/>
      <c r="G17" s="1"/>
      <c r="H17" s="34"/>
      <c r="I17" s="1"/>
      <c r="J17" s="1"/>
      <c r="K17" s="1"/>
      <c r="L17" s="1"/>
      <c r="M17" s="1"/>
    </row>
    <row r="19" spans="1:13" x14ac:dyDescent="0.25">
      <c r="A19" s="1"/>
      <c r="B19" s="1"/>
      <c r="C19" s="1"/>
    </row>
    <row r="21" spans="1:13" x14ac:dyDescent="0.25">
      <c r="A21" s="34"/>
      <c r="B21" s="34"/>
      <c r="C21" s="34"/>
    </row>
    <row r="22" spans="1:13" x14ac:dyDescent="0.25">
      <c r="A22" s="34"/>
      <c r="B22" s="34"/>
      <c r="C22" s="34"/>
    </row>
  </sheetData>
  <sheetProtection algorithmName="SHA-512" hashValue="6hNhn55K9w8RWw1n3cKQHb3SaBb8lAW2G7RrsqaIbMzYZN8/uOvE2TUou0pz6ccvoCOUqxfjeLFm65V9Obe6hQ==" saltValue="0YOOyH+lNQ8pY+1zClL0Yg==" spinCount="100000" sheet="1" objects="1" scenarios="1"/>
  <mergeCells count="18">
    <mergeCell ref="B8:B9"/>
    <mergeCell ref="C8:C9"/>
    <mergeCell ref="A16:I16"/>
    <mergeCell ref="A6:I6"/>
    <mergeCell ref="J1:L1"/>
    <mergeCell ref="E1:G1"/>
    <mergeCell ref="A1:A2"/>
    <mergeCell ref="D1:D2"/>
    <mergeCell ref="H1:H2"/>
    <mergeCell ref="I1:I2"/>
    <mergeCell ref="B1:B2"/>
    <mergeCell ref="C1:C2"/>
    <mergeCell ref="J8:L8"/>
    <mergeCell ref="E8:G8"/>
    <mergeCell ref="A8:A9"/>
    <mergeCell ref="D8:D9"/>
    <mergeCell ref="H8:H9"/>
    <mergeCell ref="I8:I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18"/>
  <sheetViews>
    <sheetView zoomScaleNormal="100" workbookViewId="0">
      <selection activeCell="AF18" sqref="AF18"/>
    </sheetView>
  </sheetViews>
  <sheetFormatPr defaultRowHeight="15" x14ac:dyDescent="0.25"/>
  <cols>
    <col min="1" max="1" width="22.5703125" customWidth="1"/>
    <col min="2" max="5" width="13.85546875" customWidth="1"/>
    <col min="6" max="7" width="15" customWidth="1"/>
    <col min="8" max="8" width="14.28515625" customWidth="1"/>
    <col min="9" max="9" width="10.42578125" customWidth="1"/>
    <col min="10" max="10" width="11.85546875" customWidth="1"/>
    <col min="11" max="13" width="14.85546875" customWidth="1"/>
    <col min="14" max="16" width="13.7109375" customWidth="1"/>
    <col min="27" max="27" width="10" customWidth="1"/>
    <col min="28" max="28" width="10.7109375" customWidth="1"/>
    <col min="29" max="29" width="10.85546875" customWidth="1"/>
  </cols>
  <sheetData>
    <row r="1" spans="1:36" x14ac:dyDescent="0.25">
      <c r="A1" s="98" t="s">
        <v>338</v>
      </c>
    </row>
    <row r="2" spans="1:36" ht="15" customHeight="1" x14ac:dyDescent="0.25">
      <c r="A2" s="236" t="s">
        <v>30</v>
      </c>
      <c r="B2" s="236" t="s">
        <v>23</v>
      </c>
      <c r="C2" s="224" t="s">
        <v>344</v>
      </c>
      <c r="D2" s="224" t="s">
        <v>345</v>
      </c>
      <c r="E2" s="236" t="s">
        <v>299</v>
      </c>
      <c r="F2" s="237" t="s">
        <v>300</v>
      </c>
      <c r="G2" s="237" t="s">
        <v>301</v>
      </c>
      <c r="H2" s="236" t="s">
        <v>302</v>
      </c>
      <c r="I2" s="236" t="s">
        <v>303</v>
      </c>
      <c r="J2" s="237" t="s">
        <v>304</v>
      </c>
      <c r="K2" s="245" t="s">
        <v>305</v>
      </c>
      <c r="L2" s="237" t="s">
        <v>95</v>
      </c>
      <c r="M2" s="237" t="s">
        <v>306</v>
      </c>
      <c r="N2" s="242" t="s">
        <v>298</v>
      </c>
      <c r="O2" s="243"/>
      <c r="P2" s="243"/>
      <c r="Q2" s="236" t="s">
        <v>297</v>
      </c>
      <c r="R2" s="236"/>
      <c r="S2" s="236"/>
      <c r="T2" s="236"/>
      <c r="U2" s="236"/>
      <c r="V2" s="236"/>
      <c r="W2" s="236"/>
      <c r="X2" s="242" t="s">
        <v>296</v>
      </c>
      <c r="Y2" s="243"/>
      <c r="Z2" s="244"/>
      <c r="AA2" s="242" t="s">
        <v>307</v>
      </c>
      <c r="AB2" s="243"/>
      <c r="AC2" s="244"/>
      <c r="AD2" s="235" t="s">
        <v>1</v>
      </c>
      <c r="AE2" s="235"/>
      <c r="AF2" s="235"/>
      <c r="AG2" s="235"/>
      <c r="AH2" s="235"/>
      <c r="AI2" s="235"/>
      <c r="AJ2" s="235"/>
    </row>
    <row r="3" spans="1:36" x14ac:dyDescent="0.25">
      <c r="A3" s="236"/>
      <c r="B3" s="236"/>
      <c r="C3" s="224"/>
      <c r="D3" s="224"/>
      <c r="E3" s="236"/>
      <c r="F3" s="238"/>
      <c r="G3" s="238"/>
      <c r="H3" s="236"/>
      <c r="I3" s="236"/>
      <c r="J3" s="238"/>
      <c r="K3" s="246"/>
      <c r="L3" s="238"/>
      <c r="M3" s="238"/>
      <c r="N3" s="35" t="s">
        <v>2</v>
      </c>
      <c r="O3" s="35" t="s">
        <v>3</v>
      </c>
      <c r="P3" s="38" t="s">
        <v>20</v>
      </c>
      <c r="Q3" s="35" t="s">
        <v>2</v>
      </c>
      <c r="R3" s="35" t="s">
        <v>3</v>
      </c>
      <c r="S3" s="35" t="s">
        <v>20</v>
      </c>
      <c r="T3" s="35" t="s">
        <v>5</v>
      </c>
      <c r="U3" s="35" t="s">
        <v>6</v>
      </c>
      <c r="V3" s="35" t="s">
        <v>4</v>
      </c>
      <c r="W3" s="35" t="s">
        <v>347</v>
      </c>
      <c r="X3" s="116" t="s">
        <v>2</v>
      </c>
      <c r="Y3" s="116" t="s">
        <v>3</v>
      </c>
      <c r="Z3" s="116" t="s">
        <v>20</v>
      </c>
      <c r="AA3" s="116" t="s">
        <v>2</v>
      </c>
      <c r="AB3" s="116" t="s">
        <v>3</v>
      </c>
      <c r="AC3" s="116" t="s">
        <v>20</v>
      </c>
      <c r="AD3" s="35" t="s">
        <v>2</v>
      </c>
      <c r="AE3" s="35" t="s">
        <v>3</v>
      </c>
      <c r="AF3" s="35" t="s">
        <v>20</v>
      </c>
      <c r="AG3" s="35" t="s">
        <v>5</v>
      </c>
      <c r="AH3" s="35" t="s">
        <v>6</v>
      </c>
      <c r="AI3" s="35" t="s">
        <v>4</v>
      </c>
      <c r="AJ3" s="35" t="s">
        <v>347</v>
      </c>
    </row>
    <row r="4" spans="1:36" x14ac:dyDescent="0.25">
      <c r="A4" s="36" t="s">
        <v>117</v>
      </c>
      <c r="B4" s="32" t="s">
        <v>31</v>
      </c>
      <c r="C4" s="32">
        <v>-20.319877000000002</v>
      </c>
      <c r="D4" s="32">
        <v>-40.402681999999999</v>
      </c>
      <c r="E4" s="32">
        <v>938</v>
      </c>
      <c r="F4" s="83" t="s">
        <v>128</v>
      </c>
      <c r="G4" s="99" t="s">
        <v>128</v>
      </c>
      <c r="H4" s="91">
        <f>Dados!B46/24</f>
        <v>7.5</v>
      </c>
      <c r="I4" s="7">
        <f>E4*H4/1000</f>
        <v>7.0350000000000001</v>
      </c>
      <c r="J4" s="32">
        <v>8.3000000000000007</v>
      </c>
      <c r="K4" s="6">
        <v>25</v>
      </c>
      <c r="L4" s="6" t="s">
        <v>116</v>
      </c>
      <c r="M4" s="6">
        <v>55</v>
      </c>
      <c r="N4" s="7">
        <f>('FE-Vias'!$D$6*((J4/12)^'FE-Vias'!$D$7)*((K4/3)^'FE-Vias'!$D$8)*'FE-Vias'!$B$9/1000)*'FE-Vias'!$G$17</f>
        <v>2.0723216786424272</v>
      </c>
      <c r="O4" s="7">
        <f>('FE-Vias'!$C$6*((J4/12)^'FE-Vias'!$C$7)*((K4/3)^'FE-Vias'!$C$8)*'FE-Vias'!$B$9/1000)*'FE-Vias'!$G$17</f>
        <v>0.58929359186287067</v>
      </c>
      <c r="P4" s="7">
        <f>('FE-Vias'!$B$6*((J4/12)^'FE-Vias'!$B$7)*((K4/3)^'FE-Vias'!$B$8)*'FE-Vias'!$B$9/1000)*'FE-Vias'!$G$17</f>
        <v>5.8929359186287063E-2</v>
      </c>
      <c r="Q4" s="45">
        <f>'FE-Vias'!B22/1000</f>
        <v>1.7489827604766657E-4</v>
      </c>
      <c r="R4" s="45">
        <f>'FE-Vias'!C22/1000</f>
        <v>1.7489827604766657E-4</v>
      </c>
      <c r="S4" s="45">
        <f>'FE-Vias'!D22/1000</f>
        <v>1.7489827604766657E-4</v>
      </c>
      <c r="T4" s="45">
        <f>'FE-Vias'!E22/1000</f>
        <v>5.4345140567386742E-3</v>
      </c>
      <c r="U4" s="45">
        <f>'FE-Vias'!$F$22/1000</f>
        <v>4.1637536157977016E-6</v>
      </c>
      <c r="V4" s="45">
        <f>'FE-Vias'!$G$22/1000</f>
        <v>1.0383730075038094E-3</v>
      </c>
      <c r="W4" s="45">
        <f>'FE-Vias'!H22/1000</f>
        <v>2.4766340643796463E-4</v>
      </c>
      <c r="X4" s="126" t="s">
        <v>128</v>
      </c>
      <c r="Y4" s="126" t="s">
        <v>128</v>
      </c>
      <c r="Z4" s="126" t="s">
        <v>128</v>
      </c>
      <c r="AA4" s="126" t="s">
        <v>128</v>
      </c>
      <c r="AB4" s="126" t="s">
        <v>128</v>
      </c>
      <c r="AC4" s="126" t="s">
        <v>128</v>
      </c>
      <c r="AD4" s="39">
        <f>(N4*I4*(1-M4/100))+(Q4*I4)</f>
        <v>6.5616827635342592</v>
      </c>
      <c r="AE4" s="39">
        <f>(O4*I4*(1-M4/100))+(R4*I4)</f>
        <v>1.8667865978118778</v>
      </c>
      <c r="AF4" s="39">
        <f>(P4*I4*(1-M4/100))+(S4*I4)</f>
        <v>0.18778602821598359</v>
      </c>
      <c r="AG4" s="39">
        <f>T4*I4</f>
        <v>3.8231806389156575E-2</v>
      </c>
      <c r="AH4" s="39">
        <f>U4*I4</f>
        <v>2.929200668713683E-5</v>
      </c>
      <c r="AI4" s="39">
        <f>V4*I4</f>
        <v>7.304954107789299E-3</v>
      </c>
      <c r="AJ4" s="39">
        <f>W4*I4</f>
        <v>1.7423120642910811E-3</v>
      </c>
    </row>
    <row r="5" spans="1:36" x14ac:dyDescent="0.25">
      <c r="A5" s="36" t="s">
        <v>118</v>
      </c>
      <c r="B5" s="32" t="s">
        <v>31</v>
      </c>
      <c r="C5" s="32">
        <v>-20.322422</v>
      </c>
      <c r="D5" s="32">
        <v>-40.398744999999998</v>
      </c>
      <c r="E5" s="32">
        <v>200</v>
      </c>
      <c r="F5" s="83">
        <f>Dados!C14/8760</f>
        <v>4.9274039754708872</v>
      </c>
      <c r="G5" s="99">
        <v>30</v>
      </c>
      <c r="H5" s="91">
        <f t="shared" ref="H5:H9" si="0">2*(F5/G5)</f>
        <v>0.3284935983647258</v>
      </c>
      <c r="I5" s="7">
        <f t="shared" ref="I5:I12" si="1">E5*H5/1000</f>
        <v>6.5698719672945161E-2</v>
      </c>
      <c r="J5" s="32">
        <v>8.3000000000000007</v>
      </c>
      <c r="K5" s="6">
        <v>25</v>
      </c>
      <c r="L5" s="6" t="s">
        <v>116</v>
      </c>
      <c r="M5" s="6">
        <v>55</v>
      </c>
      <c r="N5" s="7">
        <f>('FE-Vias'!$D$6*((J5/12)^'FE-Vias'!$D$7)*((K5/3)^'FE-Vias'!$D$8)*'FE-Vias'!$B$9/1000)*'FE-Vias'!$G$17</f>
        <v>2.0723216786424272</v>
      </c>
      <c r="O5" s="7">
        <f>('FE-Vias'!$C$6*((J5/12)^'FE-Vias'!$C$7)*((K5/3)^'FE-Vias'!$C$8)*'FE-Vias'!$B$9/1000)*'FE-Vias'!$G$17</f>
        <v>0.58929359186287067</v>
      </c>
      <c r="P5" s="7">
        <f>('FE-Vias'!$B$6*((J5/12)^'FE-Vias'!$B$7)*((K5/3)^'FE-Vias'!$B$8)*'FE-Vias'!$B$9/1000)*'FE-Vias'!$G$17</f>
        <v>5.8929359186287063E-2</v>
      </c>
      <c r="Q5" s="45">
        <f>'FE-Vias'!$B$22/1000</f>
        <v>1.7489827604766657E-4</v>
      </c>
      <c r="R5" s="45">
        <f>'FE-Vias'!$C$22/1000</f>
        <v>1.7489827604766657E-4</v>
      </c>
      <c r="S5" s="45">
        <f>'FE-Vias'!$D$22/1000</f>
        <v>1.7489827604766657E-4</v>
      </c>
      <c r="T5" s="45">
        <f>'FE-Vias'!$E$22/1000</f>
        <v>5.4345140567386742E-3</v>
      </c>
      <c r="U5" s="45">
        <f>'FE-Vias'!$F$22/1000</f>
        <v>4.1637536157977016E-6</v>
      </c>
      <c r="V5" s="45">
        <f>'FE-Vias'!$G$22/1000</f>
        <v>1.0383730075038094E-3</v>
      </c>
      <c r="W5" s="45">
        <f>'FE-Vias'!$H$22/1000</f>
        <v>2.4766340643796463E-4</v>
      </c>
      <c r="X5" s="126" t="s">
        <v>128</v>
      </c>
      <c r="Y5" s="126" t="s">
        <v>128</v>
      </c>
      <c r="Z5" s="126" t="s">
        <v>128</v>
      </c>
      <c r="AA5" s="126" t="s">
        <v>128</v>
      </c>
      <c r="AB5" s="126" t="s">
        <v>128</v>
      </c>
      <c r="AC5" s="126" t="s">
        <v>128</v>
      </c>
      <c r="AD5" s="39">
        <f t="shared" ref="AD5:AD6" si="2">(N5*I5*(1-M5/100))+(Q5*I5)</f>
        <v>6.1278487059592518E-2</v>
      </c>
      <c r="AE5" s="39">
        <f t="shared" ref="AE5:AE6" si="3">(O5*I5*(1-M5/100))+(R5*I5)</f>
        <v>1.7433616116397096E-2</v>
      </c>
      <c r="AF5" s="39">
        <f t="shared" ref="AF5:AF6" si="4">(P5*I5*(1-M5/100))+(S5*I5)</f>
        <v>1.7537031451681131E-3</v>
      </c>
      <c r="AG5" s="39">
        <f t="shared" ref="AG5:AG6" si="5">T5*I5</f>
        <v>3.5704061557235414E-4</v>
      </c>
      <c r="AH5" s="39">
        <f t="shared" ref="AH5:AH6" si="6">U5*I5</f>
        <v>2.7355328159150503E-7</v>
      </c>
      <c r="AI5" s="39">
        <f t="shared" ref="AI5:AI6" si="7">V5*I5</f>
        <v>6.8219777135945756E-5</v>
      </c>
      <c r="AJ5" s="39">
        <f t="shared" ref="AJ5:AJ6" si="8">W5*I5</f>
        <v>1.6271168712814519E-5</v>
      </c>
    </row>
    <row r="6" spans="1:36" x14ac:dyDescent="0.25">
      <c r="A6" s="40" t="s">
        <v>119</v>
      </c>
      <c r="B6" s="32" t="s">
        <v>31</v>
      </c>
      <c r="C6" s="32">
        <v>-20.324062000000001</v>
      </c>
      <c r="D6" s="32">
        <v>-40.397936999999999</v>
      </c>
      <c r="E6" s="32">
        <v>380</v>
      </c>
      <c r="F6" s="83">
        <f>SUM(Dados!C15:C18)/8760</f>
        <v>75.074049390248973</v>
      </c>
      <c r="G6" s="99">
        <v>30</v>
      </c>
      <c r="H6" s="91">
        <f t="shared" si="0"/>
        <v>5.0049366260165984</v>
      </c>
      <c r="I6" s="7">
        <f t="shared" si="1"/>
        <v>1.9018759178863074</v>
      </c>
      <c r="J6" s="32">
        <v>8.3000000000000007</v>
      </c>
      <c r="K6" s="6">
        <v>25</v>
      </c>
      <c r="L6" s="6" t="s">
        <v>116</v>
      </c>
      <c r="M6" s="6">
        <v>55</v>
      </c>
      <c r="N6" s="7">
        <f>('FE-Vias'!$D$6*((J6/12)^'FE-Vias'!$D$7)*((K6/3)^'FE-Vias'!$D$8)*'FE-Vias'!$B$9/1000)*'FE-Vias'!$G$17</f>
        <v>2.0723216786424272</v>
      </c>
      <c r="O6" s="7">
        <f>('FE-Vias'!$C$6*((J6/12)^'FE-Vias'!$C$7)*((K6/3)^'FE-Vias'!$C$8)*'FE-Vias'!$B$9/1000)*'FE-Vias'!$G$17</f>
        <v>0.58929359186287067</v>
      </c>
      <c r="P6" s="7">
        <f>('FE-Vias'!$B$6*((J6/12)^'FE-Vias'!$B$7)*((K6/3)^'FE-Vias'!$B$8)*'FE-Vias'!$B$9/1000)*'FE-Vias'!$G$17</f>
        <v>5.8929359186287063E-2</v>
      </c>
      <c r="Q6" s="45">
        <f>'FE-Vias'!$B$22/1000</f>
        <v>1.7489827604766657E-4</v>
      </c>
      <c r="R6" s="45">
        <f>'FE-Vias'!$C$22/1000</f>
        <v>1.7489827604766657E-4</v>
      </c>
      <c r="S6" s="45">
        <f>'FE-Vias'!$D$22/1000</f>
        <v>1.7489827604766657E-4</v>
      </c>
      <c r="T6" s="45">
        <f>'FE-Vias'!$E$22/1000</f>
        <v>5.4345140567386742E-3</v>
      </c>
      <c r="U6" s="45">
        <f>'FE-Vias'!$F$22/1000</f>
        <v>4.1637536157977016E-6</v>
      </c>
      <c r="V6" s="45">
        <f>'FE-Vias'!$G$22/1000</f>
        <v>1.0383730075038094E-3</v>
      </c>
      <c r="W6" s="45">
        <f>'FE-Vias'!$H$22/1000</f>
        <v>2.4766340643796463E-4</v>
      </c>
      <c r="X6" s="126" t="s">
        <v>128</v>
      </c>
      <c r="Y6" s="126" t="s">
        <v>128</v>
      </c>
      <c r="Z6" s="126" t="s">
        <v>128</v>
      </c>
      <c r="AA6" s="126" t="s">
        <v>128</v>
      </c>
      <c r="AB6" s="126" t="s">
        <v>128</v>
      </c>
      <c r="AC6" s="126" t="s">
        <v>128</v>
      </c>
      <c r="AD6" s="39">
        <f t="shared" si="2"/>
        <v>1.7739170474449866</v>
      </c>
      <c r="AE6" s="39">
        <f t="shared" si="3"/>
        <v>0.50467611573721716</v>
      </c>
      <c r="AF6" s="39">
        <f t="shared" si="4"/>
        <v>5.0766982911087104E-2</v>
      </c>
      <c r="AG6" s="39">
        <f t="shared" si="5"/>
        <v>1.0335771409925906E-2</v>
      </c>
      <c r="AH6" s="39">
        <f t="shared" si="6"/>
        <v>7.9189427298976855E-6</v>
      </c>
      <c r="AI6" s="39">
        <f t="shared" si="7"/>
        <v>1.974856616754673E-3</v>
      </c>
      <c r="AJ6" s="39">
        <f t="shared" si="8"/>
        <v>4.7102506844605359E-4</v>
      </c>
    </row>
    <row r="7" spans="1:36" x14ac:dyDescent="0.25">
      <c r="A7" s="40" t="s">
        <v>120</v>
      </c>
      <c r="B7" s="32" t="s">
        <v>31</v>
      </c>
      <c r="C7" s="32">
        <v>-20.322371</v>
      </c>
      <c r="D7" s="32">
        <v>-40.397762999999998</v>
      </c>
      <c r="E7" s="32">
        <v>104</v>
      </c>
      <c r="F7" s="83">
        <f>SUM(Dados!C15:C19)/8760</f>
        <v>89.795051329388698</v>
      </c>
      <c r="G7" s="99">
        <v>30</v>
      </c>
      <c r="H7" s="91">
        <f t="shared" si="0"/>
        <v>5.9863367552925801</v>
      </c>
      <c r="I7" s="7">
        <f t="shared" si="1"/>
        <v>0.62257902255042841</v>
      </c>
      <c r="J7" s="32">
        <v>8.3000000000000007</v>
      </c>
      <c r="K7" s="6">
        <v>25</v>
      </c>
      <c r="L7" s="6" t="s">
        <v>116</v>
      </c>
      <c r="M7" s="6">
        <v>55</v>
      </c>
      <c r="N7" s="7">
        <f>('FE-Vias'!$D$6*((J7/12)^'FE-Vias'!$D$7)*((K7/3)^'FE-Vias'!$D$8)*'FE-Vias'!$B$9/1000)*'FE-Vias'!$G$17</f>
        <v>2.0723216786424272</v>
      </c>
      <c r="O7" s="7">
        <f>('FE-Vias'!$C$6*((J7/12)^'FE-Vias'!$C$7)*((K7/3)^'FE-Vias'!$C$8)*'FE-Vias'!$B$9/1000)*'FE-Vias'!$G$17</f>
        <v>0.58929359186287067</v>
      </c>
      <c r="P7" s="7">
        <f>('FE-Vias'!$B$6*((J7/12)^'FE-Vias'!$B$7)*((K7/3)^'FE-Vias'!$B$8)*'FE-Vias'!$B$9/1000)*'FE-Vias'!$G$17</f>
        <v>5.8929359186287063E-2</v>
      </c>
      <c r="Q7" s="45">
        <f>'FE-Vias'!$B$22/1000</f>
        <v>1.7489827604766657E-4</v>
      </c>
      <c r="R7" s="45">
        <f>'FE-Vias'!$C$22/1000</f>
        <v>1.7489827604766657E-4</v>
      </c>
      <c r="S7" s="45">
        <f>'FE-Vias'!$D$22/1000</f>
        <v>1.7489827604766657E-4</v>
      </c>
      <c r="T7" s="45">
        <f>'FE-Vias'!$E$22/1000</f>
        <v>5.4345140567386742E-3</v>
      </c>
      <c r="U7" s="45">
        <f>'FE-Vias'!$F$22/1000</f>
        <v>4.1637536157977016E-6</v>
      </c>
      <c r="V7" s="45">
        <f>'FE-Vias'!$G$22/1000</f>
        <v>1.0383730075038094E-3</v>
      </c>
      <c r="W7" s="45">
        <f>'FE-Vias'!$H$22/1000</f>
        <v>2.4766340643796463E-4</v>
      </c>
      <c r="X7" s="126" t="s">
        <v>128</v>
      </c>
      <c r="Y7" s="126" t="s">
        <v>128</v>
      </c>
      <c r="Z7" s="126" t="s">
        <v>128</v>
      </c>
      <c r="AA7" s="126" t="s">
        <v>128</v>
      </c>
      <c r="AB7" s="126" t="s">
        <v>128</v>
      </c>
      <c r="AC7" s="126" t="s">
        <v>128</v>
      </c>
      <c r="AD7" s="39">
        <f t="shared" ref="AD7" si="9">(N7*I7*(1-M7/100))+(Q7*I7)</f>
        <v>0.58069169029241696</v>
      </c>
      <c r="AE7" s="39">
        <f t="shared" ref="AE7" si="10">(O7*I7*(1-M7/100))+(R7*I7)</f>
        <v>0.16520571078549517</v>
      </c>
      <c r="AF7" s="39">
        <f t="shared" ref="AF7" si="11">(P7*I7*(1-M7/100))+(S7*I7)</f>
        <v>1.6618570276522276E-2</v>
      </c>
      <c r="AG7" s="39">
        <f t="shared" ref="AG7" si="12">T7*I7</f>
        <v>3.3834144494809273E-3</v>
      </c>
      <c r="AH7" s="39">
        <f t="shared" ref="AH7" si="13">U7*I7</f>
        <v>2.5922656562641452E-6</v>
      </c>
      <c r="AI7" s="39">
        <f t="shared" ref="AI7" si="14">V7*I7</f>
        <v>6.4646925205447028E-4</v>
      </c>
      <c r="AJ7" s="39">
        <f t="shared" ref="AJ7" si="15">W7*I7</f>
        <v>1.5419004150165748E-4</v>
      </c>
    </row>
    <row r="8" spans="1:36" x14ac:dyDescent="0.25">
      <c r="A8" s="40" t="s">
        <v>129</v>
      </c>
      <c r="B8" s="32" t="s">
        <v>31</v>
      </c>
      <c r="C8" s="32">
        <v>-20.321974000000001</v>
      </c>
      <c r="D8" s="32">
        <v>-40.397469999999998</v>
      </c>
      <c r="E8" s="32">
        <v>121</v>
      </c>
      <c r="F8" s="83">
        <f>SUM(Dados!C21:C25)/8760</f>
        <v>33.861364959385028</v>
      </c>
      <c r="G8" s="99">
        <v>30</v>
      </c>
      <c r="H8" s="91">
        <f t="shared" si="0"/>
        <v>2.2574243306256685</v>
      </c>
      <c r="I8" s="7">
        <f t="shared" si="1"/>
        <v>0.27314834400570587</v>
      </c>
      <c r="J8" s="32">
        <v>8.3000000000000007</v>
      </c>
      <c r="K8" s="6">
        <v>25</v>
      </c>
      <c r="L8" s="6" t="s">
        <v>116</v>
      </c>
      <c r="M8" s="6">
        <v>55</v>
      </c>
      <c r="N8" s="7">
        <f>('FE-Vias'!$D$6*((J8/12)^'FE-Vias'!$D$7)*((K8/3)^'FE-Vias'!$D$8)*'FE-Vias'!$B$9/1000)*'FE-Vias'!$G$17</f>
        <v>2.0723216786424272</v>
      </c>
      <c r="O8" s="7">
        <f>('FE-Vias'!$C$6*((J8/12)^'FE-Vias'!$C$7)*((K8/3)^'FE-Vias'!$C$8)*'FE-Vias'!$B$9/1000)*'FE-Vias'!$G$17</f>
        <v>0.58929359186287067</v>
      </c>
      <c r="P8" s="7">
        <f>('FE-Vias'!$B$6*((J8/12)^'FE-Vias'!$B$7)*((K8/3)^'FE-Vias'!$B$8)*'FE-Vias'!$B$9/1000)*'FE-Vias'!$G$17</f>
        <v>5.8929359186287063E-2</v>
      </c>
      <c r="Q8" s="45">
        <f>'FE-Vias'!$B$22/1000</f>
        <v>1.7489827604766657E-4</v>
      </c>
      <c r="R8" s="45">
        <f>'FE-Vias'!$C$22/1000</f>
        <v>1.7489827604766657E-4</v>
      </c>
      <c r="S8" s="45">
        <f>'FE-Vias'!$D$22/1000</f>
        <v>1.7489827604766657E-4</v>
      </c>
      <c r="T8" s="45">
        <f>'FE-Vias'!$E$22/1000</f>
        <v>5.4345140567386742E-3</v>
      </c>
      <c r="U8" s="45">
        <f>'FE-Vias'!$F$22/1000</f>
        <v>4.1637536157977016E-6</v>
      </c>
      <c r="V8" s="45">
        <f>'FE-Vias'!$G$22/1000</f>
        <v>1.0383730075038094E-3</v>
      </c>
      <c r="W8" s="45">
        <f>'FE-Vias'!$H$22/1000</f>
        <v>2.4766340643796463E-4</v>
      </c>
      <c r="X8" s="126" t="s">
        <v>128</v>
      </c>
      <c r="Y8" s="126" t="s">
        <v>128</v>
      </c>
      <c r="Z8" s="126" t="s">
        <v>128</v>
      </c>
      <c r="AA8" s="126" t="s">
        <v>128</v>
      </c>
      <c r="AB8" s="126" t="s">
        <v>128</v>
      </c>
      <c r="AC8" s="126" t="s">
        <v>128</v>
      </c>
      <c r="AD8" s="39">
        <f t="shared" ref="AD8" si="16">(N8*I8*(1-M8/100))+(Q8*I8)</f>
        <v>0.25477082882020841</v>
      </c>
      <c r="AE8" s="39">
        <f t="shared" ref="AE8" si="17">(O8*I8*(1-M8/100))+(R8*I8)</f>
        <v>7.2481829112204701E-2</v>
      </c>
      <c r="AF8" s="39">
        <f t="shared" ref="AF8" si="18">(P8*I8*(1-M8/100))+(S8*I8)</f>
        <v>7.2911787682451556E-3</v>
      </c>
      <c r="AG8" s="39">
        <f t="shared" ref="AG8" si="19">T8*I8</f>
        <v>1.4844285150738994E-3</v>
      </c>
      <c r="AH8" s="39">
        <f t="shared" ref="AH8" si="20">U8*I8</f>
        <v>1.1373224050029123E-6</v>
      </c>
      <c r="AI8" s="39">
        <f t="shared" ref="AI8" si="21">V8*I8</f>
        <v>2.8362986745988992E-4</v>
      </c>
      <c r="AJ8" s="39">
        <f t="shared" ref="AJ8" si="22">W8*I8</f>
        <v>6.7648849339342116E-5</v>
      </c>
    </row>
    <row r="9" spans="1:36" x14ac:dyDescent="0.25">
      <c r="A9" s="40" t="s">
        <v>283</v>
      </c>
      <c r="B9" s="32" t="s">
        <v>31</v>
      </c>
      <c r="C9" s="32">
        <v>-20.321383999999998</v>
      </c>
      <c r="D9" s="32">
        <v>-40.398141000000003</v>
      </c>
      <c r="E9" s="32">
        <v>146</v>
      </c>
      <c r="F9" s="83">
        <f>Dados!C26/8760</f>
        <v>157.96461415525118</v>
      </c>
      <c r="G9" s="99">
        <v>30</v>
      </c>
      <c r="H9" s="91">
        <f t="shared" si="0"/>
        <v>10.530974277016746</v>
      </c>
      <c r="I9" s="7">
        <f t="shared" si="1"/>
        <v>1.5375222444444447</v>
      </c>
      <c r="J9" s="32">
        <v>8.3000000000000007</v>
      </c>
      <c r="K9" s="6">
        <v>25</v>
      </c>
      <c r="L9" s="6" t="s">
        <v>284</v>
      </c>
      <c r="M9" s="6">
        <v>55</v>
      </c>
      <c r="N9" s="7">
        <f>('FE-Vias'!$D$6*((J9/12)^'FE-Vias'!$D$7)*((K9/3)^'FE-Vias'!$D$8)*'FE-Vias'!$B$9/1000)*'FE-Vias'!$G$17</f>
        <v>2.0723216786424272</v>
      </c>
      <c r="O9" s="7">
        <f>('FE-Vias'!$C$6*((J9/12)^'FE-Vias'!$C$7)*((K9/3)^'FE-Vias'!$C$8)*'FE-Vias'!$B$9/1000)*'FE-Vias'!$G$17</f>
        <v>0.58929359186287067</v>
      </c>
      <c r="P9" s="7">
        <f>('FE-Vias'!$B$6*((J9/12)^'FE-Vias'!$B$7)*((K9/3)^'FE-Vias'!$B$8)*'FE-Vias'!$B$9/1000)*'FE-Vias'!$G$17</f>
        <v>5.8929359186287063E-2</v>
      </c>
      <c r="Q9" s="45">
        <f>'FE-Vias'!$B$22/1000</f>
        <v>1.7489827604766657E-4</v>
      </c>
      <c r="R9" s="45">
        <f>'FE-Vias'!$C$22/1000</f>
        <v>1.7489827604766657E-4</v>
      </c>
      <c r="S9" s="45">
        <f>'FE-Vias'!$D$22/1000</f>
        <v>1.7489827604766657E-4</v>
      </c>
      <c r="T9" s="45">
        <f>'FE-Vias'!$E$22/1000</f>
        <v>5.4345140567386742E-3</v>
      </c>
      <c r="U9" s="45">
        <f>'FE-Vias'!$F$22/1000</f>
        <v>4.1637536157977016E-6</v>
      </c>
      <c r="V9" s="45">
        <f>'FE-Vias'!$G$22/1000</f>
        <v>1.0383730075038094E-3</v>
      </c>
      <c r="W9" s="45">
        <f>'FE-Vias'!$H$22/1000</f>
        <v>2.4766340643796463E-4</v>
      </c>
      <c r="X9" s="126" t="s">
        <v>128</v>
      </c>
      <c r="Y9" s="126" t="s">
        <v>128</v>
      </c>
      <c r="Z9" s="126" t="s">
        <v>128</v>
      </c>
      <c r="AA9" s="126" t="s">
        <v>128</v>
      </c>
      <c r="AB9" s="126" t="s">
        <v>128</v>
      </c>
      <c r="AC9" s="126" t="s">
        <v>128</v>
      </c>
      <c r="AD9" s="39">
        <f t="shared" ref="AD9" si="23">(N9*I9*(1-M9/100))+(Q9*I9)</f>
        <v>1.4340772153406709</v>
      </c>
      <c r="AE9" s="39">
        <f t="shared" ref="AE9" si="24">(O9*I9*(1-M9/100))+(R9*I9)</f>
        <v>0.4079923126889165</v>
      </c>
      <c r="AF9" s="39">
        <f t="shared" ref="AF9" si="25">(P9*I9*(1-M9/100))+(S9*I9)</f>
        <v>4.1041250259836091E-2</v>
      </c>
      <c r="AG9" s="39">
        <f t="shared" ref="AG9:AG12" si="26">T9*I9</f>
        <v>8.3556862499817308E-3</v>
      </c>
      <c r="AH9" s="39">
        <f t="shared" ref="AH9:AH12" si="27">U9*I9</f>
        <v>6.401863804674954E-6</v>
      </c>
      <c r="AI9" s="39">
        <f t="shared" ref="AI9:AI12" si="28">V9*I9</f>
        <v>1.5965215970677852E-3</v>
      </c>
      <c r="AJ9" s="39">
        <f t="shared" ref="AJ9:AJ12" si="29">W9*I9</f>
        <v>3.8078799653325614E-4</v>
      </c>
    </row>
    <row r="10" spans="1:36" x14ac:dyDescent="0.25">
      <c r="A10" s="40" t="s">
        <v>309</v>
      </c>
      <c r="B10" s="32" t="s">
        <v>31</v>
      </c>
      <c r="C10" s="32">
        <v>-20.320474999999998</v>
      </c>
      <c r="D10" s="32">
        <v>-40.398626</v>
      </c>
      <c r="E10" s="32">
        <v>122</v>
      </c>
      <c r="F10" s="83" t="s">
        <v>128</v>
      </c>
      <c r="G10" s="99" t="s">
        <v>128</v>
      </c>
      <c r="H10" s="91">
        <f>(Dados!B47/24)+H9</f>
        <v>17.239307610350078</v>
      </c>
      <c r="I10" s="7">
        <f t="shared" si="1"/>
        <v>2.1031955284627095</v>
      </c>
      <c r="J10" s="32">
        <v>8.3000000000000007</v>
      </c>
      <c r="K10" s="6">
        <v>25</v>
      </c>
      <c r="L10" s="6" t="s">
        <v>284</v>
      </c>
      <c r="M10" s="6">
        <v>55</v>
      </c>
      <c r="N10" s="7">
        <f>('FE-Vias'!$D$6*((J10/12)^'FE-Vias'!$D$7)*((K10/3)^'FE-Vias'!$D$8)*'FE-Vias'!$B$9/1000)*'FE-Vias'!$G$17</f>
        <v>2.0723216786424272</v>
      </c>
      <c r="O10" s="7">
        <f>('FE-Vias'!$C$6*((J10/12)^'FE-Vias'!$C$7)*((K10/3)^'FE-Vias'!$C$8)*'FE-Vias'!$B$9/1000)*'FE-Vias'!$G$17</f>
        <v>0.58929359186287067</v>
      </c>
      <c r="P10" s="7">
        <f>('FE-Vias'!$B$6*((J10/12)^'FE-Vias'!$B$7)*((K10/3)^'FE-Vias'!$B$8)*'FE-Vias'!$B$9/1000)*'FE-Vias'!$G$17</f>
        <v>5.8929359186287063E-2</v>
      </c>
      <c r="Q10" s="45">
        <f>'FE-Vias'!$B$22/1000</f>
        <v>1.7489827604766657E-4</v>
      </c>
      <c r="R10" s="45">
        <f>'FE-Vias'!$C$22/1000</f>
        <v>1.7489827604766657E-4</v>
      </c>
      <c r="S10" s="45">
        <f>'FE-Vias'!$D$22/1000</f>
        <v>1.7489827604766657E-4</v>
      </c>
      <c r="T10" s="45">
        <f>'FE-Vias'!$E$22/1000</f>
        <v>5.4345140567386742E-3</v>
      </c>
      <c r="U10" s="45">
        <f>'FE-Vias'!$F$22/1000</f>
        <v>4.1637536157977016E-6</v>
      </c>
      <c r="V10" s="45">
        <f>'FE-Vias'!$G$22/1000</f>
        <v>1.0383730075038094E-3</v>
      </c>
      <c r="W10" s="45">
        <f>'FE-Vias'!$H$22/1000</f>
        <v>2.4766340643796463E-4</v>
      </c>
      <c r="X10" s="126" t="s">
        <v>128</v>
      </c>
      <c r="Y10" s="126" t="s">
        <v>128</v>
      </c>
      <c r="Z10" s="126" t="s">
        <v>128</v>
      </c>
      <c r="AA10" s="126" t="s">
        <v>128</v>
      </c>
      <c r="AB10" s="126" t="s">
        <v>128</v>
      </c>
      <c r="AC10" s="126" t="s">
        <v>128</v>
      </c>
      <c r="AD10" s="39">
        <f t="shared" ref="AD10" si="30">(N10*I10*(1-M10/100))+(Q10*I10)</f>
        <v>1.9616918048978091</v>
      </c>
      <c r="AE10" s="39">
        <f t="shared" ref="AE10" si="31">(O10*I10*(1-M10/100))+(R10*I10)</f>
        <v>0.55809768658309256</v>
      </c>
      <c r="AF10" s="39">
        <f t="shared" ref="AF10" si="32">(P10*I10*(1-M10/100))+(S10*I10)</f>
        <v>5.6140829403216616E-2</v>
      </c>
      <c r="AG10" s="39">
        <f t="shared" ref="AG10" si="33">T10*I10</f>
        <v>1.1429845663500519E-2</v>
      </c>
      <c r="AH10" s="39">
        <f t="shared" ref="AH10" si="34">U10*I10</f>
        <v>8.7571879863661647E-6</v>
      </c>
      <c r="AI10" s="39">
        <f t="shared" ref="AI10" si="35">V10*I10</f>
        <v>2.1839014662583876E-3</v>
      </c>
      <c r="AJ10" s="39">
        <f t="shared" ref="AJ10" si="36">W10*I10</f>
        <v>5.2088456898416978E-4</v>
      </c>
    </row>
    <row r="11" spans="1:36" x14ac:dyDescent="0.25">
      <c r="A11" s="40" t="s">
        <v>332</v>
      </c>
      <c r="B11" s="32" t="s">
        <v>31</v>
      </c>
      <c r="C11" s="32">
        <v>-20.320834000000001</v>
      </c>
      <c r="D11" s="32">
        <v>-40.398243000000001</v>
      </c>
      <c r="E11" s="32">
        <v>75.8</v>
      </c>
      <c r="F11" s="83" t="s">
        <v>128</v>
      </c>
      <c r="G11" s="99" t="s">
        <v>128</v>
      </c>
      <c r="H11" s="91">
        <f>(Dados!B47/24)</f>
        <v>6.708333333333333</v>
      </c>
      <c r="I11" s="7">
        <f t="shared" si="1"/>
        <v>0.50849166666666656</v>
      </c>
      <c r="J11" s="32">
        <v>8.3000000000000007</v>
      </c>
      <c r="K11" s="6">
        <v>25</v>
      </c>
      <c r="L11" s="6" t="s">
        <v>284</v>
      </c>
      <c r="M11" s="6">
        <v>55</v>
      </c>
      <c r="N11" s="7">
        <f>('FE-Vias'!$D$6*((J11/12)^'FE-Vias'!$D$7)*((K11/3)^'FE-Vias'!$D$8)*'FE-Vias'!$B$9/1000)*'FE-Vias'!$G$17</f>
        <v>2.0723216786424272</v>
      </c>
      <c r="O11" s="7">
        <f>('FE-Vias'!$C$6*((J11/12)^'FE-Vias'!$C$7)*((K11/3)^'FE-Vias'!$C$8)*'FE-Vias'!$B$9/1000)*'FE-Vias'!$G$17</f>
        <v>0.58929359186287067</v>
      </c>
      <c r="P11" s="7">
        <f>('FE-Vias'!$B$6*((J11/12)^'FE-Vias'!$B$7)*((K11/3)^'FE-Vias'!$B$8)*'FE-Vias'!$B$9/1000)*'FE-Vias'!$G$17</f>
        <v>5.8929359186287063E-2</v>
      </c>
      <c r="Q11" s="45">
        <f>'FE-Vias'!$B$22/1000</f>
        <v>1.7489827604766657E-4</v>
      </c>
      <c r="R11" s="45">
        <f>'FE-Vias'!$C$22/1000</f>
        <v>1.7489827604766657E-4</v>
      </c>
      <c r="S11" s="45">
        <f>'FE-Vias'!$D$22/1000</f>
        <v>1.7489827604766657E-4</v>
      </c>
      <c r="T11" s="45">
        <f>'FE-Vias'!$E$22/1000</f>
        <v>5.4345140567386742E-3</v>
      </c>
      <c r="U11" s="45">
        <f>'FE-Vias'!$F$22/1000</f>
        <v>4.1637536157977016E-6</v>
      </c>
      <c r="V11" s="45">
        <f>'FE-Vias'!$G$22/1000</f>
        <v>1.0383730075038094E-3</v>
      </c>
      <c r="W11" s="45">
        <f>'FE-Vias'!$H$22/1000</f>
        <v>2.4766340643796463E-4</v>
      </c>
      <c r="X11" s="126" t="s">
        <v>128</v>
      </c>
      <c r="Y11" s="126" t="s">
        <v>128</v>
      </c>
      <c r="Z11" s="126" t="s">
        <v>128</v>
      </c>
      <c r="AA11" s="126" t="s">
        <v>128</v>
      </c>
      <c r="AB11" s="126" t="s">
        <v>128</v>
      </c>
      <c r="AC11" s="126" t="s">
        <v>128</v>
      </c>
      <c r="AD11" s="39">
        <f t="shared" ref="AD11" si="37">(N11*I11*(1-M11/100))+(Q11*I11)</f>
        <v>0.47428017122494293</v>
      </c>
      <c r="AE11" s="39">
        <f t="shared" ref="AE11" si="38">(O11*I11*(1-M11/100))+(R11*I11)</f>
        <v>0.13493183062293646</v>
      </c>
      <c r="AF11" s="39">
        <f t="shared" ref="AF11" si="39">(P11*I11*(1-M11/100))+(S11*I11)</f>
        <v>1.357322394658979E-2</v>
      </c>
      <c r="AG11" s="39">
        <f t="shared" ref="AG11" si="40">T11*I11</f>
        <v>2.7634051102344757E-3</v>
      </c>
      <c r="AH11" s="39">
        <f t="shared" ref="AH11" si="41">U11*I11</f>
        <v>2.1172340156863327E-6</v>
      </c>
      <c r="AI11" s="39">
        <f t="shared" ref="AI11" si="42">V11*I11</f>
        <v>5.2800402120729113E-4</v>
      </c>
      <c r="AJ11" s="39">
        <f t="shared" ref="AJ11" si="43">W11*I11</f>
        <v>1.2593477831198468E-4</v>
      </c>
    </row>
    <row r="12" spans="1:36" x14ac:dyDescent="0.25">
      <c r="A12" s="40" t="s">
        <v>333</v>
      </c>
      <c r="B12" s="32" t="s">
        <v>282</v>
      </c>
      <c r="C12" s="32">
        <v>-20.320578000000001</v>
      </c>
      <c r="D12" s="32">
        <v>-40.397289000000001</v>
      </c>
      <c r="E12" s="32">
        <v>140</v>
      </c>
      <c r="F12" s="83" t="s">
        <v>128</v>
      </c>
      <c r="G12" s="99" t="s">
        <v>128</v>
      </c>
      <c r="H12" s="91">
        <f>Dados!B47/24</f>
        <v>6.708333333333333</v>
      </c>
      <c r="I12" s="7">
        <f t="shared" si="1"/>
        <v>0.93916666666666659</v>
      </c>
      <c r="J12" s="32">
        <v>8.1999999999999993</v>
      </c>
      <c r="K12" s="6">
        <v>25</v>
      </c>
      <c r="L12" s="6" t="s">
        <v>116</v>
      </c>
      <c r="M12" s="6">
        <v>55</v>
      </c>
      <c r="N12" s="91">
        <f>('FE-Vias'!D28*(J12^0.91)*(K12^1.02)*I12/1000)*'FE-Vias'!$G$39</f>
        <v>0.52346559395978476</v>
      </c>
      <c r="O12" s="91">
        <f>('FE-Vias'!C28*(J12^0.91)*(K12^1.02)*I12/1000)*'FE-Vias'!$G$39</f>
        <v>0.10047946385605777</v>
      </c>
      <c r="P12" s="91">
        <f>('FE-Vias'!$B$28*(J12^0.91)*(K12^1.02)*I12/1000)*'FE-Vias'!$G$39</f>
        <v>2.4309547707110749E-2</v>
      </c>
      <c r="Q12" s="45">
        <f>'FE-Vias'!$B$22/1000</f>
        <v>1.7489827604766657E-4</v>
      </c>
      <c r="R12" s="45">
        <f>'FE-Vias'!$C$22/1000</f>
        <v>1.7489827604766657E-4</v>
      </c>
      <c r="S12" s="45">
        <f>'FE-Vias'!$D$22/1000</f>
        <v>1.7489827604766657E-4</v>
      </c>
      <c r="T12" s="45">
        <f>'FE-Vias'!$E$22/1000</f>
        <v>5.4345140567386742E-3</v>
      </c>
      <c r="U12" s="45">
        <f>'FE-Vias'!$F$22/1000</f>
        <v>4.1637536157977016E-6</v>
      </c>
      <c r="V12" s="45">
        <f>'FE-Vias'!$G$22/1000</f>
        <v>1.0383730075038094E-3</v>
      </c>
      <c r="W12" s="45">
        <f>'FE-Vias'!$H$22/1000</f>
        <v>2.4766340643796463E-4</v>
      </c>
      <c r="X12" s="45">
        <f>'FE-Vias'!L44/1000</f>
        <v>6.3494136177677979E-5</v>
      </c>
      <c r="Y12" s="45">
        <f>'FE-Vias'!M44/1000</f>
        <v>3.1747068088838989E-5</v>
      </c>
      <c r="Z12" s="45">
        <f>'FE-Vias'!N44/1000</f>
        <v>1.7137767759244576E-5</v>
      </c>
      <c r="AA12" s="45">
        <f>'FE-Vias'!I44/1000</f>
        <v>6.7633804693835879E-5</v>
      </c>
      <c r="AB12" s="45">
        <f>'FE-Vias'!J44/1000</f>
        <v>5.1332470377789449E-5</v>
      </c>
      <c r="AC12" s="45">
        <f>'FE-Vias'!K44/1000</f>
        <v>2.7520218195668728E-5</v>
      </c>
      <c r="AD12" s="39">
        <f>(N12*I12*(1-M12/100))+(Q12*I12)+(I12*X12)+(I12*AA12)</f>
        <v>0.22151705626931059</v>
      </c>
      <c r="AE12" s="39">
        <f>(O12*I12*(1-M12/100))+(R12*I12)+(I12*Y12)+(I12*AB12)</f>
        <v>4.2707417576297743E-2</v>
      </c>
      <c r="AF12" s="39">
        <f>(P12*I12*(1-M12/100))+(S12*I12)+(I12*Z12)+(I12*AC12)</f>
        <v>1.0480022522448436E-2</v>
      </c>
      <c r="AG12" s="39">
        <f t="shared" si="26"/>
        <v>5.1039144516204045E-3</v>
      </c>
      <c r="AH12" s="39">
        <f t="shared" si="27"/>
        <v>3.9104586041700074E-6</v>
      </c>
      <c r="AI12" s="39">
        <f t="shared" si="28"/>
        <v>9.7520531621399426E-4</v>
      </c>
      <c r="AJ12" s="39">
        <f t="shared" si="29"/>
        <v>2.325972158796551E-4</v>
      </c>
    </row>
    <row r="13" spans="1:36" x14ac:dyDescent="0.25">
      <c r="A13" s="220" t="s">
        <v>32</v>
      </c>
      <c r="B13" s="220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  <c r="AA13" s="220"/>
      <c r="AB13" s="220"/>
      <c r="AC13" s="220"/>
      <c r="AD13" s="15">
        <f>SUM(AD4:AD12)</f>
        <v>13.323907064884198</v>
      </c>
      <c r="AE13" s="15">
        <f t="shared" ref="AE13:AJ13" si="44">SUM(AE4:AE12)</f>
        <v>3.7703131170344357</v>
      </c>
      <c r="AF13" s="15">
        <f t="shared" si="44"/>
        <v>0.38545178944909714</v>
      </c>
      <c r="AG13" s="15">
        <f t="shared" si="44"/>
        <v>8.1445312854546786E-2</v>
      </c>
      <c r="AH13" s="15">
        <f t="shared" si="44"/>
        <v>6.2400835170790529E-5</v>
      </c>
      <c r="AI13" s="15">
        <f t="shared" si="44"/>
        <v>1.5561762021941735E-2</v>
      </c>
      <c r="AJ13" s="15">
        <f t="shared" si="44"/>
        <v>3.7116517520000142E-3</v>
      </c>
    </row>
    <row r="14" spans="1:36" x14ac:dyDescent="0.25">
      <c r="H14" s="150"/>
      <c r="K14" s="34"/>
      <c r="L14" s="34"/>
    </row>
    <row r="15" spans="1:36" x14ac:dyDescent="0.25">
      <c r="A15" s="134"/>
      <c r="D15" s="46"/>
      <c r="E15" s="32"/>
      <c r="F15" s="151"/>
      <c r="G15" s="99"/>
      <c r="H15" s="3"/>
      <c r="I15" s="56"/>
    </row>
    <row r="16" spans="1:36" x14ac:dyDescent="0.25">
      <c r="A16" s="48"/>
      <c r="D16" s="46"/>
      <c r="E16" s="32"/>
      <c r="F16" s="2"/>
      <c r="G16" s="99"/>
      <c r="H16" s="2"/>
      <c r="I16" s="56"/>
    </row>
    <row r="17" spans="1:9" x14ac:dyDescent="0.25">
      <c r="A17" s="1"/>
      <c r="B17" s="1"/>
      <c r="C17" s="1"/>
      <c r="D17" s="2"/>
      <c r="E17" s="2"/>
      <c r="F17" s="151"/>
      <c r="G17" s="3"/>
      <c r="H17" s="56"/>
      <c r="I17" s="135"/>
    </row>
    <row r="18" spans="1:9" x14ac:dyDescent="0.25">
      <c r="A18" s="1"/>
      <c r="B18" s="2"/>
      <c r="C18" s="1"/>
      <c r="F18" s="120"/>
    </row>
  </sheetData>
  <sheetProtection algorithmName="SHA-512" hashValue="4VAB9RM+oGhSi3K4OTeysN1HLtE0UtxvqY0f8VtLAOe/YZNKhjUUqhpCAjjB5iwDh+q1oM/bRRWmB0SBrKdPMw==" saltValue="pdX2RqjekL65DU6HftQlHw==" spinCount="100000" sheet="1" objects="1" scenarios="1"/>
  <mergeCells count="19">
    <mergeCell ref="AD2:AJ2"/>
    <mergeCell ref="H2:H3"/>
    <mergeCell ref="I2:I3"/>
    <mergeCell ref="J2:J3"/>
    <mergeCell ref="K2:K3"/>
    <mergeCell ref="N2:P2"/>
    <mergeCell ref="Q2:W2"/>
    <mergeCell ref="M2:M3"/>
    <mergeCell ref="L2:L3"/>
    <mergeCell ref="X2:Z2"/>
    <mergeCell ref="AA2:AC2"/>
    <mergeCell ref="F2:F3"/>
    <mergeCell ref="G2:G3"/>
    <mergeCell ref="A13:AC13"/>
    <mergeCell ref="A2:A3"/>
    <mergeCell ref="B2:B3"/>
    <mergeCell ref="C2:C3"/>
    <mergeCell ref="D2:D3"/>
    <mergeCell ref="E2:E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E17" sqref="E17"/>
    </sheetView>
  </sheetViews>
  <sheetFormatPr defaultRowHeight="15" customHeight="1" x14ac:dyDescent="0.25"/>
  <cols>
    <col min="1" max="1" width="19.42578125" style="2" customWidth="1"/>
    <col min="2" max="16384" width="9.140625" style="2"/>
  </cols>
  <sheetData>
    <row r="1" spans="1:9" ht="15" customHeight="1" x14ac:dyDescent="0.25">
      <c r="A1" s="247" t="s">
        <v>126</v>
      </c>
      <c r="B1" s="229" t="s">
        <v>1</v>
      </c>
      <c r="C1" s="230"/>
      <c r="D1" s="230"/>
      <c r="E1" s="230"/>
      <c r="F1" s="230"/>
      <c r="G1" s="230"/>
      <c r="H1" s="230"/>
    </row>
    <row r="2" spans="1:9" ht="15" customHeight="1" x14ac:dyDescent="0.25">
      <c r="A2" s="247"/>
      <c r="B2" s="5" t="s">
        <v>2</v>
      </c>
      <c r="C2" s="5" t="s">
        <v>3</v>
      </c>
      <c r="D2" s="5" t="s">
        <v>20</v>
      </c>
      <c r="E2" s="5" t="s">
        <v>5</v>
      </c>
      <c r="F2" s="5" t="s">
        <v>6</v>
      </c>
      <c r="G2" s="5" t="s">
        <v>4</v>
      </c>
      <c r="H2" s="5" t="s">
        <v>347</v>
      </c>
    </row>
    <row r="3" spans="1:9" ht="15" customHeight="1" x14ac:dyDescent="0.25">
      <c r="A3" s="2" t="s">
        <v>121</v>
      </c>
      <c r="B3" s="7">
        <f>'Emissão Perf e Det'!I5+'Emissão Perf e Det'!H12</f>
        <v>0.12735451772866516</v>
      </c>
      <c r="C3" s="7">
        <f>'Emissão Perf e Det'!J5+'Emissão Perf e Det'!I12</f>
        <v>6.6751282552239222E-2</v>
      </c>
      <c r="D3" s="7">
        <f>'Emissão Perf e Det'!K5+'Emissão Perf e Det'!J12</f>
        <v>3.8206355318599538E-3</v>
      </c>
      <c r="E3" s="7" t="s">
        <v>128</v>
      </c>
      <c r="F3" s="32" t="s">
        <v>128</v>
      </c>
      <c r="G3" s="32" t="s">
        <v>128</v>
      </c>
      <c r="H3" s="32" t="s">
        <v>128</v>
      </c>
    </row>
    <row r="4" spans="1:9" ht="15" customHeight="1" x14ac:dyDescent="0.25">
      <c r="A4" s="2" t="s">
        <v>100</v>
      </c>
      <c r="B4" s="7">
        <f>'Emissão Transferências'!K32</f>
        <v>3.9898207798587313</v>
      </c>
      <c r="C4" s="7">
        <f>'Emissão Transferências'!L32</f>
        <v>1.8870773958791298</v>
      </c>
      <c r="D4" s="7">
        <f>'Emissão Transferências'!M32</f>
        <v>0.28575743423312538</v>
      </c>
      <c r="E4" s="32" t="s">
        <v>128</v>
      </c>
      <c r="F4" s="32" t="s">
        <v>128</v>
      </c>
      <c r="G4" s="32" t="s">
        <v>128</v>
      </c>
      <c r="H4" s="32" t="s">
        <v>128</v>
      </c>
    </row>
    <row r="5" spans="1:9" ht="15" customHeight="1" x14ac:dyDescent="0.25">
      <c r="A5" s="2" t="s">
        <v>122</v>
      </c>
      <c r="B5" s="7">
        <f>'Emissão Maq e Equip'!H15</f>
        <v>6.0293987564685764E-2</v>
      </c>
      <c r="C5" s="7">
        <f>'Emissão Maq e Equip'!I15</f>
        <v>6.0293987564685764E-2</v>
      </c>
      <c r="D5" s="7">
        <f>'Emissão Maq e Equip'!J15</f>
        <v>6.0293987564685764E-2</v>
      </c>
      <c r="E5" s="7">
        <f>'Emissão Maq e Equip'!K15</f>
        <v>1.6806828820032809</v>
      </c>
      <c r="F5" s="18">
        <f>'Emissão Maq e Equip'!L15</f>
        <v>1.9637906196648142E-3</v>
      </c>
      <c r="G5" s="7">
        <f>'Emissão Maq e Equip'!M15</f>
        <v>0.53542271360630267</v>
      </c>
      <c r="H5" s="7">
        <f>'Emissão Maq e Equip'!N15</f>
        <v>0.1689498525200491</v>
      </c>
    </row>
    <row r="6" spans="1:9" ht="15" customHeight="1" x14ac:dyDescent="0.25">
      <c r="A6" s="2" t="s">
        <v>123</v>
      </c>
      <c r="B6" s="7">
        <f>'Emissão Brit e Pen'!J6+'Emissão Brit e Pen'!J16</f>
        <v>2.71891335707069</v>
      </c>
      <c r="C6" s="7">
        <f>'Emissão Brit e Pen'!K6+'Emissão Brit e Pen'!K16</f>
        <v>0.96872976392713106</v>
      </c>
      <c r="D6" s="7">
        <f>'Emissão Brit e Pen'!L6+'Emissão Brit e Pen'!L16</f>
        <v>8.2849406562974404E-2</v>
      </c>
      <c r="E6" s="32" t="s">
        <v>128</v>
      </c>
      <c r="F6" s="18" t="s">
        <v>128</v>
      </c>
      <c r="G6" s="32" t="s">
        <v>128</v>
      </c>
      <c r="H6" s="32" t="s">
        <v>128</v>
      </c>
    </row>
    <row r="7" spans="1:9" ht="15" customHeight="1" x14ac:dyDescent="0.25">
      <c r="A7" s="2" t="s">
        <v>124</v>
      </c>
      <c r="B7" s="7">
        <f>'Emissão Vias '!AD13</f>
        <v>13.323907064884198</v>
      </c>
      <c r="C7" s="7">
        <f>'Emissão Vias '!AE13</f>
        <v>3.7703131170344357</v>
      </c>
      <c r="D7" s="7">
        <f>'Emissão Vias '!AF13</f>
        <v>0.38545178944909714</v>
      </c>
      <c r="E7" s="7">
        <f>'Emissão Vias '!AG13</f>
        <v>8.1445312854546786E-2</v>
      </c>
      <c r="F7" s="18">
        <f>'Emissão Vias '!AH13</f>
        <v>6.2400835170790529E-5</v>
      </c>
      <c r="G7" s="7">
        <f>'Emissão Vias '!AI13</f>
        <v>1.5561762021941735E-2</v>
      </c>
      <c r="H7" s="18">
        <f>'Emissão Vias '!AJ13</f>
        <v>3.7116517520000142E-3</v>
      </c>
    </row>
    <row r="8" spans="1:9" ht="15" customHeight="1" x14ac:dyDescent="0.25">
      <c r="A8" s="2" t="s">
        <v>125</v>
      </c>
      <c r="B8" s="121">
        <v>0.60025787761585558</v>
      </c>
      <c r="C8" s="121">
        <v>0.30012893880792779</v>
      </c>
      <c r="D8" s="121">
        <v>4.5019340821189177E-2</v>
      </c>
      <c r="E8" s="32" t="s">
        <v>128</v>
      </c>
      <c r="F8" s="32" t="s">
        <v>128</v>
      </c>
      <c r="G8" s="32" t="s">
        <v>128</v>
      </c>
      <c r="H8" s="32" t="s">
        <v>128</v>
      </c>
    </row>
    <row r="9" spans="1:9" ht="15" customHeight="1" x14ac:dyDescent="0.25">
      <c r="A9" s="81" t="s">
        <v>127</v>
      </c>
      <c r="B9" s="15">
        <f>SUM(B3:B8)</f>
        <v>20.820547584722828</v>
      </c>
      <c r="C9" s="15">
        <f t="shared" ref="C9:H9" si="0">SUM(C3:C8)</f>
        <v>7.0532944857655497</v>
      </c>
      <c r="D9" s="15">
        <f t="shared" si="0"/>
        <v>0.86319259416293181</v>
      </c>
      <c r="E9" s="15">
        <f t="shared" si="0"/>
        <v>1.7621281948578276</v>
      </c>
      <c r="F9" s="15">
        <f t="shared" si="0"/>
        <v>2.0261914548356046E-3</v>
      </c>
      <c r="G9" s="15">
        <f t="shared" si="0"/>
        <v>0.55098447562824437</v>
      </c>
      <c r="H9" s="15">
        <f t="shared" si="0"/>
        <v>0.17266150427204913</v>
      </c>
      <c r="I9" s="56"/>
    </row>
    <row r="11" spans="1:9" ht="15" customHeight="1" x14ac:dyDescent="0.25">
      <c r="A11" s="2" t="s">
        <v>349</v>
      </c>
    </row>
  </sheetData>
  <sheetProtection algorithmName="SHA-512" hashValue="ePuYLHSUZd61CCzOKfRT2kMAJAugYwUSa0RUaVQvA64qjyLS/aN6KDVmwx8t89tRpoabE2UXoLHNL3yNu22POg==" saltValue="SGrKzjq6vZSVMtPFYx+vVQ==" spinCount="100000" sheet="1" objects="1" scenarios="1"/>
  <mergeCells count="2">
    <mergeCell ref="B1:H1"/>
    <mergeCell ref="A1:A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workbookViewId="0">
      <selection activeCell="K21" sqref="K21"/>
    </sheetView>
  </sheetViews>
  <sheetFormatPr defaultRowHeight="15" x14ac:dyDescent="0.25"/>
  <cols>
    <col min="1" max="1" width="21.140625" customWidth="1"/>
    <col min="2" max="2" width="26.28515625" customWidth="1"/>
    <col min="3" max="4" width="10" bestFit="1" customWidth="1"/>
    <col min="5" max="5" width="10.5703125" bestFit="1" customWidth="1"/>
    <col min="6" max="7" width="10" bestFit="1" customWidth="1"/>
    <col min="8" max="8" width="11.7109375" bestFit="1" customWidth="1"/>
    <col min="9" max="9" width="10" bestFit="1" customWidth="1"/>
    <col min="11" max="11" width="12.7109375" bestFit="1" customWidth="1"/>
  </cols>
  <sheetData>
    <row r="1" spans="1:19" x14ac:dyDescent="0.25">
      <c r="A1" s="2" t="s">
        <v>339</v>
      </c>
    </row>
    <row r="2" spans="1:19" x14ac:dyDescent="0.25">
      <c r="A2" s="144" t="s">
        <v>7</v>
      </c>
      <c r="B2" s="144" t="s">
        <v>8</v>
      </c>
      <c r="C2" s="144" t="s">
        <v>9</v>
      </c>
      <c r="D2" s="144" t="s">
        <v>10</v>
      </c>
      <c r="E2" s="144" t="s">
        <v>11</v>
      </c>
      <c r="F2" s="144" t="s">
        <v>12</v>
      </c>
      <c r="G2" s="144" t="s">
        <v>13</v>
      </c>
      <c r="H2" s="144" t="s">
        <v>14</v>
      </c>
      <c r="I2" s="144" t="s">
        <v>15</v>
      </c>
      <c r="K2" s="85"/>
      <c r="S2" s="17"/>
    </row>
    <row r="3" spans="1:19" x14ac:dyDescent="0.25">
      <c r="A3" s="182" t="s">
        <v>246</v>
      </c>
      <c r="B3" s="49" t="s">
        <v>247</v>
      </c>
      <c r="C3" s="14">
        <v>3.2322108139984048E-3</v>
      </c>
      <c r="D3" s="119">
        <v>4.2106947860855962E-2</v>
      </c>
      <c r="E3" s="119">
        <v>5.0982821833507993E-5</v>
      </c>
      <c r="F3" s="119">
        <v>2.44296237259247E-2</v>
      </c>
      <c r="G3" s="110">
        <v>7.406122096332784E-3</v>
      </c>
      <c r="H3" s="119">
        <v>3.2763456592420059</v>
      </c>
      <c r="I3" s="119">
        <v>6.6824238571398277E-4</v>
      </c>
      <c r="L3" s="17"/>
      <c r="M3" s="17"/>
      <c r="N3" s="17"/>
      <c r="O3" s="85"/>
      <c r="P3" s="85"/>
      <c r="R3" s="17"/>
      <c r="S3" s="17"/>
    </row>
    <row r="4" spans="1:19" x14ac:dyDescent="0.25">
      <c r="A4" s="183"/>
      <c r="B4" s="49" t="s">
        <v>248</v>
      </c>
      <c r="C4" s="14">
        <v>5.1306927409409909E-3</v>
      </c>
      <c r="D4" s="119">
        <v>6.6826269580313083E-2</v>
      </c>
      <c r="E4" s="119">
        <v>8.3141222912255138E-5</v>
      </c>
      <c r="F4" s="119">
        <v>4.2365489267518895E-2</v>
      </c>
      <c r="G4" s="110">
        <v>1.7049873280994984E-2</v>
      </c>
      <c r="H4" s="119">
        <v>6.5526915280652185</v>
      </c>
      <c r="I4" s="119">
        <v>1.5383829601883824E-3</v>
      </c>
      <c r="K4" s="85"/>
      <c r="M4" s="17"/>
      <c r="N4" s="17"/>
      <c r="O4" s="17"/>
      <c r="P4" s="85"/>
      <c r="Q4" s="17"/>
      <c r="R4" s="17"/>
      <c r="S4" s="17"/>
    </row>
    <row r="5" spans="1:19" x14ac:dyDescent="0.25">
      <c r="A5" s="183"/>
      <c r="B5" s="49" t="s">
        <v>249</v>
      </c>
      <c r="C5" s="14">
        <v>1.3146433794581545E-2</v>
      </c>
      <c r="D5" s="119">
        <v>0.11194040416687867</v>
      </c>
      <c r="E5" s="119">
        <v>1.3059450897330303E-4</v>
      </c>
      <c r="F5" s="119">
        <v>0.13304800358754459</v>
      </c>
      <c r="G5" s="110">
        <v>5.9241181033438672E-2</v>
      </c>
      <c r="H5" s="119">
        <v>10.102066687028209</v>
      </c>
      <c r="I5" s="119">
        <v>5.3452360090543126E-3</v>
      </c>
      <c r="K5" s="85"/>
      <c r="M5" s="17"/>
      <c r="N5" s="17"/>
      <c r="O5" s="17"/>
      <c r="P5" s="85"/>
      <c r="Q5" s="17"/>
      <c r="R5" s="17"/>
      <c r="S5" s="17"/>
    </row>
    <row r="6" spans="1:19" x14ac:dyDescent="0.25">
      <c r="A6" s="183"/>
      <c r="B6" s="49" t="s">
        <v>250</v>
      </c>
      <c r="C6" s="14">
        <v>2.6813322961792532E-2</v>
      </c>
      <c r="D6" s="119">
        <v>0.30670744242455611</v>
      </c>
      <c r="E6" s="119">
        <v>2.4981591262334475E-4</v>
      </c>
      <c r="F6" s="119">
        <v>0.15491257077323217</v>
      </c>
      <c r="G6" s="110">
        <v>5.2543635077938841E-2</v>
      </c>
      <c r="H6" s="119">
        <v>21.296249335135965</v>
      </c>
      <c r="I6" s="119">
        <v>4.74092860952177E-3</v>
      </c>
      <c r="K6" s="85"/>
      <c r="M6" s="17"/>
      <c r="N6" s="17"/>
      <c r="O6" s="17"/>
      <c r="P6" s="85"/>
      <c r="Q6" s="17"/>
      <c r="R6" s="17"/>
      <c r="S6" s="17"/>
    </row>
    <row r="7" spans="1:19" x14ac:dyDescent="0.25">
      <c r="A7" s="183"/>
      <c r="B7" s="49" t="s">
        <v>251</v>
      </c>
      <c r="C7" s="14">
        <v>2.7876138744831733E-2</v>
      </c>
      <c r="D7" s="119">
        <v>0.52063653312185976</v>
      </c>
      <c r="E7" s="119">
        <v>4.5159021758357266E-4</v>
      </c>
      <c r="F7" s="119">
        <v>0.23361187679212775</v>
      </c>
      <c r="G7" s="110">
        <v>6.5065908817847115E-2</v>
      </c>
      <c r="H7" s="119">
        <v>40.135234200522738</v>
      </c>
      <c r="I7" s="119">
        <v>5.87079126520129E-3</v>
      </c>
      <c r="K7" s="85"/>
      <c r="M7" s="17"/>
      <c r="N7" s="17"/>
      <c r="O7" s="17"/>
      <c r="P7" s="85"/>
      <c r="Q7" s="17"/>
      <c r="R7" s="17"/>
      <c r="S7" s="17"/>
    </row>
    <row r="8" spans="1:19" x14ac:dyDescent="0.25">
      <c r="A8" s="183"/>
      <c r="B8" s="49" t="s">
        <v>252</v>
      </c>
      <c r="C8" s="14">
        <v>2.5244003826035952E-2</v>
      </c>
      <c r="D8" s="119">
        <v>0.72586061221027676</v>
      </c>
      <c r="E8" s="119">
        <v>6.6970521474906633E-4</v>
      </c>
      <c r="F8" s="119">
        <v>0.18464803194275684</v>
      </c>
      <c r="G8" s="110">
        <v>6.6178391788947341E-2</v>
      </c>
      <c r="H8" s="119">
        <v>59.520288417238831</v>
      </c>
      <c r="I8" s="119">
        <v>5.9711693283208056E-3</v>
      </c>
      <c r="K8" s="85"/>
      <c r="M8" s="17"/>
      <c r="N8" s="17"/>
      <c r="O8" s="17"/>
      <c r="P8" s="85"/>
      <c r="Q8" s="17"/>
      <c r="R8" s="17"/>
      <c r="S8" s="17"/>
    </row>
    <row r="9" spans="1:19" x14ac:dyDescent="0.25">
      <c r="A9" s="183"/>
      <c r="B9" s="49" t="s">
        <v>253</v>
      </c>
      <c r="C9" s="14">
        <v>4.0336893638497413E-2</v>
      </c>
      <c r="D9" s="119">
        <v>1.1550622204087213</v>
      </c>
      <c r="E9" s="119">
        <v>1.0317483647754638E-3</v>
      </c>
      <c r="F9" s="119">
        <v>0.402121481260656</v>
      </c>
      <c r="G9" s="110">
        <v>0.10379006070058584</v>
      </c>
      <c r="H9" s="119">
        <v>105.11607445800242</v>
      </c>
      <c r="I9" s="119">
        <v>9.3648131187621733E-3</v>
      </c>
      <c r="K9" s="85"/>
      <c r="M9" s="17"/>
      <c r="N9" s="17"/>
      <c r="O9" s="17"/>
      <c r="P9" s="85"/>
      <c r="Q9" s="17"/>
      <c r="R9" s="17"/>
      <c r="S9" s="17"/>
    </row>
    <row r="10" spans="1:19" x14ac:dyDescent="0.25">
      <c r="A10" s="183"/>
      <c r="B10" s="49" t="s">
        <v>254</v>
      </c>
      <c r="C10" s="14">
        <v>6.3070895391913226E-2</v>
      </c>
      <c r="D10" s="119">
        <v>1.8271352034139363</v>
      </c>
      <c r="E10" s="119">
        <v>1.6334111645882291E-3</v>
      </c>
      <c r="F10" s="119">
        <v>0.62146053800405066</v>
      </c>
      <c r="G10" s="110">
        <v>0.16360061921108895</v>
      </c>
      <c r="H10" s="119">
        <v>162.45211987921547</v>
      </c>
      <c r="I10" s="119">
        <v>1.4761417941113899E-2</v>
      </c>
      <c r="K10" s="85"/>
      <c r="M10" s="17"/>
      <c r="N10" s="17"/>
      <c r="O10" s="17"/>
      <c r="P10" s="85"/>
      <c r="Q10" s="17"/>
      <c r="R10" s="17"/>
      <c r="S10" s="17"/>
    </row>
    <row r="11" spans="1:19" x14ac:dyDescent="0.25">
      <c r="A11" s="184"/>
      <c r="B11" s="49" t="s">
        <v>255</v>
      </c>
      <c r="C11" s="14">
        <v>9.3152616900510174E-2</v>
      </c>
      <c r="D11" s="119">
        <v>2.9667547625680761</v>
      </c>
      <c r="E11" s="119">
        <v>2.2181451500109589E-3</v>
      </c>
      <c r="F11" s="119">
        <v>1.0548781528439892</v>
      </c>
      <c r="G11" s="110">
        <v>0.27339190958132426</v>
      </c>
      <c r="H11" s="119">
        <v>220.6072646305698</v>
      </c>
      <c r="I11" s="119">
        <v>2.4667714018573181E-2</v>
      </c>
      <c r="K11" s="85"/>
      <c r="M11" s="17"/>
      <c r="N11" s="17"/>
      <c r="O11" s="17"/>
      <c r="P11" s="85"/>
      <c r="Q11" s="17"/>
      <c r="R11" s="17"/>
      <c r="S11" s="17"/>
    </row>
    <row r="12" spans="1:19" x14ac:dyDescent="0.25">
      <c r="A12" s="208" t="s">
        <v>236</v>
      </c>
      <c r="B12" s="148" t="s">
        <v>227</v>
      </c>
      <c r="C12" s="110">
        <v>2.5791989909756769E-3</v>
      </c>
      <c r="D12" s="110">
        <v>3.5760807966820282E-2</v>
      </c>
      <c r="E12" s="84">
        <v>7.3022281038595316E-5</v>
      </c>
      <c r="F12" s="110">
        <v>2.8653193644653595E-2</v>
      </c>
      <c r="G12" s="110">
        <v>5.6122643975531992E-3</v>
      </c>
      <c r="H12" s="110">
        <v>4.6926824886590905</v>
      </c>
      <c r="I12" s="110">
        <v>5.0638563103340265E-4</v>
      </c>
      <c r="K12" s="85"/>
      <c r="M12" s="17"/>
      <c r="N12" s="17"/>
      <c r="O12" s="17"/>
      <c r="P12" s="85"/>
      <c r="Q12" s="17"/>
      <c r="R12" s="17"/>
      <c r="S12" s="17"/>
    </row>
    <row r="13" spans="1:19" x14ac:dyDescent="0.25">
      <c r="A13" s="208"/>
      <c r="B13" s="148" t="s">
        <v>228</v>
      </c>
      <c r="C13" s="110">
        <v>4.0396844264068065E-3</v>
      </c>
      <c r="D13" s="110">
        <v>6.3347615853201075E-2</v>
      </c>
      <c r="E13" s="110">
        <v>9.2018299042390459E-5</v>
      </c>
      <c r="F13" s="110">
        <v>3.1263576668162263E-2</v>
      </c>
      <c r="G13" s="110">
        <v>1.0055394070971795E-2</v>
      </c>
      <c r="H13" s="110">
        <v>7.2523282000776375</v>
      </c>
      <c r="I13" s="110">
        <v>9.0728206974658387E-4</v>
      </c>
      <c r="K13" s="85"/>
      <c r="M13" s="17"/>
      <c r="N13" s="17"/>
      <c r="O13" s="17"/>
      <c r="P13" s="85"/>
      <c r="Q13" s="17"/>
      <c r="R13" s="17"/>
      <c r="S13" s="17"/>
    </row>
    <row r="14" spans="1:19" x14ac:dyDescent="0.25">
      <c r="A14" s="208"/>
      <c r="B14" s="148" t="s">
        <v>229</v>
      </c>
      <c r="C14" s="84">
        <v>1.3062515849022122E-2</v>
      </c>
      <c r="D14" s="84">
        <v>0.1342232926602864</v>
      </c>
      <c r="E14" s="84">
        <v>1.819940499777833E-4</v>
      </c>
      <c r="F14" s="84">
        <v>0.13090289743950206</v>
      </c>
      <c r="G14" s="84">
        <v>4.4439735881982252E-2</v>
      </c>
      <c r="H14" s="84">
        <v>14.078047728038305</v>
      </c>
      <c r="I14" s="84">
        <v>4.0097245659913129E-3</v>
      </c>
      <c r="K14" s="85"/>
      <c r="M14" s="17"/>
      <c r="N14" s="17"/>
      <c r="O14" s="17"/>
      <c r="P14" s="85"/>
      <c r="Q14" s="17"/>
      <c r="R14" s="17"/>
      <c r="S14" s="17"/>
    </row>
    <row r="15" spans="1:19" x14ac:dyDescent="0.25">
      <c r="A15" s="208"/>
      <c r="B15" s="148" t="s">
        <v>230</v>
      </c>
      <c r="C15" s="84">
        <v>3.0851111701145351E-2</v>
      </c>
      <c r="D15" s="84">
        <v>0.38156774928257564</v>
      </c>
      <c r="E15" s="84">
        <v>4.1035456022835983E-4</v>
      </c>
      <c r="F15" s="84">
        <v>0.22728284302573223</v>
      </c>
      <c r="G15" s="84">
        <v>5.4786318976010377E-2</v>
      </c>
      <c r="H15" s="84">
        <v>34.981822359876709</v>
      </c>
      <c r="I15" s="84">
        <v>4.9432823174224922E-3</v>
      </c>
      <c r="K15" s="85"/>
      <c r="M15" s="17"/>
      <c r="N15" s="17"/>
      <c r="O15" s="17"/>
      <c r="P15" s="85"/>
      <c r="Q15" s="17"/>
      <c r="R15" s="17"/>
      <c r="S15" s="17"/>
    </row>
    <row r="16" spans="1:19" x14ac:dyDescent="0.25">
      <c r="A16" s="208"/>
      <c r="B16" s="148" t="s">
        <v>231</v>
      </c>
      <c r="C16" s="84">
        <v>2.946772219347344E-2</v>
      </c>
      <c r="D16" s="84">
        <v>0.58585783879604747</v>
      </c>
      <c r="E16" s="84">
        <v>7.2001003206292804E-4</v>
      </c>
      <c r="F16" s="84">
        <v>0.34194505152787563</v>
      </c>
      <c r="G16" s="84">
        <v>6.2728260565419997E-2</v>
      </c>
      <c r="H16" s="84">
        <v>63.991143039707573</v>
      </c>
      <c r="I16" s="84">
        <v>5.6598700101108852E-3</v>
      </c>
      <c r="K16" s="85"/>
      <c r="M16" s="17"/>
      <c r="N16" s="17"/>
      <c r="O16" s="17"/>
      <c r="P16" s="85"/>
      <c r="Q16" s="17"/>
      <c r="R16" s="17"/>
      <c r="S16" s="17"/>
    </row>
    <row r="17" spans="1:20" s="48" customFormat="1" x14ac:dyDescent="0.25">
      <c r="A17" s="208"/>
      <c r="B17" s="148" t="s">
        <v>232</v>
      </c>
      <c r="C17" s="84">
        <v>1.9306499236409109E-2</v>
      </c>
      <c r="D17" s="84">
        <v>0.74004715098457818</v>
      </c>
      <c r="E17" s="84">
        <v>9.6001348990710546E-4</v>
      </c>
      <c r="F17" s="84">
        <v>0.16018936745394929</v>
      </c>
      <c r="G17" s="84">
        <v>5.1040747473159148E-2</v>
      </c>
      <c r="H17" s="84">
        <v>85.321506353804182</v>
      </c>
      <c r="I17" s="84">
        <v>4.605325170613522E-3</v>
      </c>
      <c r="T17" s="85"/>
    </row>
    <row r="18" spans="1:20" s="48" customFormat="1" x14ac:dyDescent="0.25">
      <c r="A18" s="208"/>
      <c r="B18" s="148" t="s">
        <v>233</v>
      </c>
      <c r="C18" s="84">
        <v>2.9897011769604534E-2</v>
      </c>
      <c r="D18" s="84">
        <v>1.0130508339332434</v>
      </c>
      <c r="E18" s="84">
        <v>1.3859934852064671E-3</v>
      </c>
      <c r="F18" s="84">
        <v>0.25755127568625708</v>
      </c>
      <c r="G18" s="84">
        <v>7.3833362127154634E-2</v>
      </c>
      <c r="H18" s="84">
        <v>141.20705497648558</v>
      </c>
      <c r="I18" s="84">
        <v>6.661865284285343E-3</v>
      </c>
      <c r="T18" s="85"/>
    </row>
    <row r="19" spans="1:20" s="48" customFormat="1" x14ac:dyDescent="0.25">
      <c r="A19" s="208"/>
      <c r="B19" s="148" t="s">
        <v>234</v>
      </c>
      <c r="C19" s="84">
        <v>6.0886904220685642E-2</v>
      </c>
      <c r="D19" s="84">
        <v>2.1112401581673721</v>
      </c>
      <c r="E19" s="84">
        <v>2.8052818432272274E-3</v>
      </c>
      <c r="F19" s="84">
        <v>0.50888816285399285</v>
      </c>
      <c r="G19" s="84">
        <v>0.15275595789289884</v>
      </c>
      <c r="H19" s="84">
        <v>279.00134344884452</v>
      </c>
      <c r="I19" s="84">
        <v>1.3782928153778826E-2</v>
      </c>
      <c r="T19" s="85"/>
    </row>
    <row r="20" spans="1:20" s="48" customFormat="1" x14ac:dyDescent="0.25">
      <c r="A20" s="208"/>
      <c r="B20" s="148" t="s">
        <v>235</v>
      </c>
      <c r="C20" s="84">
        <v>0.1120645797775885</v>
      </c>
      <c r="D20" s="84">
        <v>4.4823794280044851</v>
      </c>
      <c r="E20" s="84">
        <v>4.2336581857762489E-3</v>
      </c>
      <c r="F20" s="84">
        <v>0.87715938371183566</v>
      </c>
      <c r="G20" s="84">
        <v>0.31800275548668488</v>
      </c>
      <c r="H20" s="84">
        <v>421.06153713174876</v>
      </c>
      <c r="I20" s="84">
        <v>2.869288165249315E-2</v>
      </c>
    </row>
    <row r="21" spans="1:20" s="48" customFormat="1" x14ac:dyDescent="0.25">
      <c r="A21" s="208" t="s">
        <v>236</v>
      </c>
      <c r="B21" s="148" t="s">
        <v>237</v>
      </c>
      <c r="C21" s="84">
        <v>1.335939602486903E-3</v>
      </c>
      <c r="D21" s="84">
        <v>3.4208443694813101E-2</v>
      </c>
      <c r="E21" s="84">
        <v>7.3022291169491532E-5</v>
      </c>
      <c r="F21" s="84">
        <v>2.8653196325027538E-2</v>
      </c>
      <c r="G21" s="84">
        <v>5.462530616380995E-3</v>
      </c>
      <c r="H21" s="84">
        <v>4.6926831612613613</v>
      </c>
      <c r="I21" s="84">
        <v>4.9287538700742571E-4</v>
      </c>
    </row>
    <row r="22" spans="1:20" s="48" customFormat="1" x14ac:dyDescent="0.25">
      <c r="A22" s="208"/>
      <c r="B22" s="148" t="s">
        <v>238</v>
      </c>
      <c r="C22" s="84">
        <v>2.119720588275204E-3</v>
      </c>
      <c r="D22" s="84">
        <v>5.5315684597405004E-2</v>
      </c>
      <c r="E22" s="84">
        <v>9.2018283465241811E-5</v>
      </c>
      <c r="F22" s="84">
        <v>2.986177075800699E-2</v>
      </c>
      <c r="G22" s="84">
        <v>8.751153826395023E-3</v>
      </c>
      <c r="H22" s="84">
        <v>7.2523258999138935</v>
      </c>
      <c r="I22" s="84">
        <v>7.8960233601501316E-4</v>
      </c>
    </row>
    <row r="23" spans="1:20" s="48" customFormat="1" x14ac:dyDescent="0.25">
      <c r="A23" s="208"/>
      <c r="B23" s="148" t="s">
        <v>239</v>
      </c>
      <c r="C23" s="84">
        <v>3.3994118247087932E-3</v>
      </c>
      <c r="D23" s="84">
        <v>0.10161347422763009</v>
      </c>
      <c r="E23" s="84">
        <v>1.819940163930413E-4</v>
      </c>
      <c r="F23" s="84">
        <v>0.10138461724671895</v>
      </c>
      <c r="G23" s="84">
        <v>1.0621167183798448E-2</v>
      </c>
      <c r="H23" s="84">
        <v>14.07805025595594</v>
      </c>
      <c r="I23" s="84">
        <v>9.5833088428242264E-4</v>
      </c>
    </row>
    <row r="24" spans="1:20" s="48" customFormat="1" ht="15" customHeight="1" x14ac:dyDescent="0.25">
      <c r="A24" s="208"/>
      <c r="B24" s="148" t="s">
        <v>240</v>
      </c>
      <c r="C24" s="84">
        <v>7.2797140960105325E-3</v>
      </c>
      <c r="D24" s="84">
        <v>0.16945263537125207</v>
      </c>
      <c r="E24" s="84">
        <v>4.1035468530346467E-4</v>
      </c>
      <c r="F24" s="84">
        <v>0.212097820718396</v>
      </c>
      <c r="G24" s="84">
        <v>1.7034342540202203E-2</v>
      </c>
      <c r="H24" s="84">
        <v>34.981816686969395</v>
      </c>
      <c r="I24" s="84">
        <v>1.5369812775733909E-3</v>
      </c>
    </row>
    <row r="25" spans="1:20" s="48" customFormat="1" ht="15" customHeight="1" x14ac:dyDescent="0.25">
      <c r="A25" s="208"/>
      <c r="B25" s="148" t="s">
        <v>241</v>
      </c>
      <c r="C25" s="84">
        <v>8.9795007591541905E-3</v>
      </c>
      <c r="D25" s="84">
        <v>0.24328906647193066</v>
      </c>
      <c r="E25" s="84">
        <v>7.2000995038188156E-4</v>
      </c>
      <c r="F25" s="84">
        <v>0.34199188800939584</v>
      </c>
      <c r="G25" s="84">
        <v>2.8012481926865257E-2</v>
      </c>
      <c r="H25" s="84">
        <v>63.991115111426296</v>
      </c>
      <c r="I25" s="84">
        <v>2.5275208728929698E-3</v>
      </c>
    </row>
    <row r="26" spans="1:20" s="48" customFormat="1" ht="15" customHeight="1" x14ac:dyDescent="0.25">
      <c r="A26" s="208"/>
      <c r="B26" s="148" t="s">
        <v>242</v>
      </c>
      <c r="C26" s="84">
        <v>6.5222026660698229E-3</v>
      </c>
      <c r="D26" s="84">
        <v>0.22224972320022168</v>
      </c>
      <c r="E26" s="84">
        <v>9.6001334487545026E-4</v>
      </c>
      <c r="F26" s="84">
        <v>0.15535367120948906</v>
      </c>
      <c r="G26" s="84">
        <v>3.0876067027096252E-2</v>
      </c>
      <c r="H26" s="84">
        <v>85.321504057551593</v>
      </c>
      <c r="I26" s="84">
        <v>2.7858978586070148E-3</v>
      </c>
    </row>
    <row r="27" spans="1:20" s="48" customFormat="1" ht="15" customHeight="1" x14ac:dyDescent="0.25">
      <c r="A27" s="208"/>
      <c r="B27" s="148" t="s">
        <v>243</v>
      </c>
      <c r="C27" s="84">
        <v>1.0688698386024872E-2</v>
      </c>
      <c r="D27" s="84">
        <v>0.34889191363275834</v>
      </c>
      <c r="E27" s="84">
        <v>1.3859938524085269E-3</v>
      </c>
      <c r="F27" s="84">
        <v>0.24995218648396492</v>
      </c>
      <c r="G27" s="84">
        <v>5.0689092782799081E-2</v>
      </c>
      <c r="H27" s="84">
        <v>141.2070948703516</v>
      </c>
      <c r="I27" s="84">
        <v>4.5735963865124758E-3</v>
      </c>
    </row>
    <row r="28" spans="1:20" s="48" customFormat="1" x14ac:dyDescent="0.25">
      <c r="A28" s="208"/>
      <c r="B28" s="148" t="s">
        <v>244</v>
      </c>
      <c r="C28" s="84">
        <v>2.1159661650667249E-2</v>
      </c>
      <c r="D28" s="84">
        <v>0.69406005637961476</v>
      </c>
      <c r="E28" s="84">
        <v>2.8052815239487843E-3</v>
      </c>
      <c r="F28" s="84">
        <v>0.49388492794427719</v>
      </c>
      <c r="G28" s="84">
        <v>0.10034195954092623</v>
      </c>
      <c r="H28" s="84">
        <v>279.00128802474666</v>
      </c>
      <c r="I28" s="84">
        <v>9.053693169110694E-3</v>
      </c>
    </row>
    <row r="29" spans="1:20" s="48" customFormat="1" x14ac:dyDescent="0.25">
      <c r="A29" s="208"/>
      <c r="B29" s="148" t="s">
        <v>245</v>
      </c>
      <c r="C29" s="84">
        <v>5.4159417630014757E-2</v>
      </c>
      <c r="D29" s="84">
        <v>2.2545439891225389</v>
      </c>
      <c r="E29" s="84">
        <v>4.2336586205515263E-3</v>
      </c>
      <c r="F29" s="84">
        <v>0.74969672737753812</v>
      </c>
      <c r="G29" s="84">
        <v>0.16156219930544938</v>
      </c>
      <c r="H29" s="84">
        <v>421.06164662898721</v>
      </c>
      <c r="I29" s="84">
        <v>1.4577496167098393E-2</v>
      </c>
    </row>
    <row r="30" spans="1:20" s="48" customFormat="1" x14ac:dyDescent="0.25">
      <c r="A30" s="182" t="s">
        <v>178</v>
      </c>
      <c r="B30" s="49" t="s">
        <v>179</v>
      </c>
      <c r="C30" s="84">
        <v>3.4830537144991602E-3</v>
      </c>
      <c r="D30" s="84">
        <v>5.8576809482508679E-2</v>
      </c>
      <c r="E30" s="84">
        <v>9.4616436331605155E-5</v>
      </c>
      <c r="F30" s="84">
        <v>3.0704924633945963E-2</v>
      </c>
      <c r="G30" s="84">
        <v>9.121947296280554E-3</v>
      </c>
      <c r="H30" s="84">
        <v>7.4570975951200973</v>
      </c>
      <c r="I30" s="84">
        <v>8.2305869273206268E-4</v>
      </c>
    </row>
    <row r="31" spans="1:20" s="48" customFormat="1" x14ac:dyDescent="0.25">
      <c r="A31" s="183"/>
      <c r="B31" s="49" t="s">
        <v>180</v>
      </c>
      <c r="C31" s="84">
        <v>1.4479754470040764E-2</v>
      </c>
      <c r="D31" s="84">
        <v>0.12367576829296467</v>
      </c>
      <c r="E31" s="84">
        <v>1.4669824237575774E-4</v>
      </c>
      <c r="F31" s="84">
        <v>0.15389587572246607</v>
      </c>
      <c r="G31" s="84">
        <v>6.2649347420206156E-2</v>
      </c>
      <c r="H31" s="84">
        <v>11.347762272593437</v>
      </c>
      <c r="I31" s="84">
        <v>5.6527496065068468E-3</v>
      </c>
    </row>
    <row r="32" spans="1:20" s="48" customFormat="1" x14ac:dyDescent="0.25">
      <c r="A32" s="183"/>
      <c r="B32" s="49" t="s">
        <v>181</v>
      </c>
      <c r="C32" s="84">
        <v>4.0933041247353218E-2</v>
      </c>
      <c r="D32" s="84">
        <v>0.43690556303991546</v>
      </c>
      <c r="E32" s="84">
        <v>3.9173864025841983E-4</v>
      </c>
      <c r="F32" s="84">
        <v>0.24662084936318143</v>
      </c>
      <c r="G32" s="84">
        <v>7.4787207772959968E-2</v>
      </c>
      <c r="H32" s="84">
        <v>33.39484393829791</v>
      </c>
      <c r="I32" s="84">
        <v>6.7479295754948312E-3</v>
      </c>
    </row>
    <row r="33" spans="1:9" s="48" customFormat="1" x14ac:dyDescent="0.25">
      <c r="A33" s="183"/>
      <c r="B33" s="49" t="s">
        <v>182</v>
      </c>
      <c r="C33" s="84">
        <v>3.3939797103920338E-2</v>
      </c>
      <c r="D33" s="84">
        <v>0.585724028036537</v>
      </c>
      <c r="E33" s="84">
        <v>5.7274388272631404E-4</v>
      </c>
      <c r="F33" s="84">
        <v>0.30549740424659516</v>
      </c>
      <c r="G33" s="84">
        <v>7.5914475050719757E-2</v>
      </c>
      <c r="H33" s="84">
        <v>50.902806369916028</v>
      </c>
      <c r="I33" s="84">
        <v>6.8496407146733098E-3</v>
      </c>
    </row>
    <row r="34" spans="1:9" s="48" customFormat="1" ht="15" customHeight="1" x14ac:dyDescent="0.25">
      <c r="A34" s="183"/>
      <c r="B34" s="49" t="s">
        <v>183</v>
      </c>
      <c r="C34" s="84">
        <v>2.702545958836302E-2</v>
      </c>
      <c r="D34" s="84">
        <v>0.78289341540706159</v>
      </c>
      <c r="E34" s="84">
        <v>8.0986723385679832E-4</v>
      </c>
      <c r="F34" s="84">
        <v>0.19839016716337363</v>
      </c>
      <c r="G34" s="84">
        <v>7.3474917238967791E-2</v>
      </c>
      <c r="H34" s="84">
        <v>71.977229420198157</v>
      </c>
      <c r="I34" s="84">
        <v>6.6295235596293108E-3</v>
      </c>
    </row>
    <row r="35" spans="1:9" s="48" customFormat="1" x14ac:dyDescent="0.25">
      <c r="A35" s="183"/>
      <c r="B35" s="49" t="s">
        <v>184</v>
      </c>
      <c r="C35" s="14">
        <v>3.6403878833071716E-2</v>
      </c>
      <c r="D35" s="14">
        <v>1.0052710664532403</v>
      </c>
      <c r="E35" s="14">
        <v>1.0406259470300372E-3</v>
      </c>
      <c r="F35" s="14">
        <v>0.32167527641859844</v>
      </c>
      <c r="G35" s="14">
        <v>9.8663342968386331E-2</v>
      </c>
      <c r="H35" s="14">
        <v>106.02050367532749</v>
      </c>
      <c r="I35" s="14">
        <v>8.9022329700623824E-3</v>
      </c>
    </row>
    <row r="36" spans="1:9" s="48" customFormat="1" x14ac:dyDescent="0.25">
      <c r="A36" s="184"/>
      <c r="B36" s="49" t="s">
        <v>185</v>
      </c>
      <c r="C36" s="14">
        <v>6.1338201724892988E-2</v>
      </c>
      <c r="D36" s="14">
        <v>1.7215343651553503</v>
      </c>
      <c r="E36" s="14">
        <v>1.766897715631764E-3</v>
      </c>
      <c r="F36" s="14">
        <v>0.53180658216479237</v>
      </c>
      <c r="G36" s="14">
        <v>0.16497069240313941</v>
      </c>
      <c r="H36" s="14">
        <v>175.728128868026</v>
      </c>
      <c r="I36" s="14">
        <v>1.4885040334298025E-2</v>
      </c>
    </row>
    <row r="37" spans="1:9" s="48" customFormat="1" x14ac:dyDescent="0.25">
      <c r="A37" s="207" t="s">
        <v>186</v>
      </c>
      <c r="B37" s="49" t="s">
        <v>187</v>
      </c>
      <c r="C37" s="14">
        <v>2.2545823681270932E-3</v>
      </c>
      <c r="D37" s="14">
        <v>5.6918413748871993E-2</v>
      </c>
      <c r="E37" s="14">
        <v>9.4616452222293592E-5</v>
      </c>
      <c r="F37" s="14">
        <v>3.070493177915104E-2</v>
      </c>
      <c r="G37" s="14">
        <v>9.0012192911978761E-3</v>
      </c>
      <c r="H37" s="14">
        <v>7.4570987844448702</v>
      </c>
      <c r="I37" s="14">
        <v>8.1216557940485927E-4</v>
      </c>
    </row>
    <row r="38" spans="1:9" s="48" customFormat="1" x14ac:dyDescent="0.25">
      <c r="A38" s="208"/>
      <c r="B38" s="49" t="s">
        <v>188</v>
      </c>
      <c r="C38" s="14">
        <v>1.1599182988999751E-2</v>
      </c>
      <c r="D38" s="14">
        <v>0.11799182102519534</v>
      </c>
      <c r="E38" s="14">
        <v>1.4669825559419754E-4</v>
      </c>
      <c r="F38" s="14">
        <v>0.13764688891413182</v>
      </c>
      <c r="G38" s="14">
        <v>4.6153817180152927E-2</v>
      </c>
      <c r="H38" s="14">
        <v>11.347761672767838</v>
      </c>
      <c r="I38" s="14">
        <v>4.1643843031920549E-3</v>
      </c>
    </row>
    <row r="39" spans="1:9" s="48" customFormat="1" x14ac:dyDescent="0.25">
      <c r="A39" s="208"/>
      <c r="B39" s="49" t="s">
        <v>189</v>
      </c>
      <c r="C39" s="14">
        <v>3.2877396745504661E-2</v>
      </c>
      <c r="D39" s="14">
        <v>0.35612320389584745</v>
      </c>
      <c r="E39" s="14">
        <v>3.917386192041183E-4</v>
      </c>
      <c r="F39" s="14">
        <v>0.23889337987237302</v>
      </c>
      <c r="G39" s="14">
        <v>5.8380086705222996E-2</v>
      </c>
      <c r="H39" s="14">
        <v>33.394828538262082</v>
      </c>
      <c r="I39" s="14">
        <v>5.2675432097290262E-3</v>
      </c>
    </row>
    <row r="40" spans="1:9" s="48" customFormat="1" x14ac:dyDescent="0.25">
      <c r="A40" s="208"/>
      <c r="B40" s="49" t="s">
        <v>190</v>
      </c>
      <c r="C40" s="14">
        <v>2.8418671180815241E-2</v>
      </c>
      <c r="D40" s="14">
        <v>0.47003940129307747</v>
      </c>
      <c r="E40" s="14">
        <v>5.7274404934246959E-4</v>
      </c>
      <c r="F40" s="14">
        <v>0.30338510454736561</v>
      </c>
      <c r="G40" s="14">
        <v>6.2357850164792221E-2</v>
      </c>
      <c r="H40" s="14">
        <v>50.902813162529789</v>
      </c>
      <c r="I40" s="14">
        <v>5.6264495410488693E-3</v>
      </c>
    </row>
    <row r="41" spans="1:9" s="48" customFormat="1" x14ac:dyDescent="0.25">
      <c r="A41" s="208"/>
      <c r="B41" s="49" t="s">
        <v>191</v>
      </c>
      <c r="C41" s="14">
        <v>2.1076357747263078E-2</v>
      </c>
      <c r="D41" s="14">
        <v>0.61832011655018271</v>
      </c>
      <c r="E41" s="14">
        <v>8.0986720608371111E-4</v>
      </c>
      <c r="F41" s="14">
        <v>0.17065418882583538</v>
      </c>
      <c r="G41" s="14">
        <v>6.2198247129727928E-2</v>
      </c>
      <c r="H41" s="14">
        <v>71.977230419336323</v>
      </c>
      <c r="I41" s="14">
        <v>5.6120490088281526E-3</v>
      </c>
    </row>
    <row r="42" spans="1:9" s="48" customFormat="1" x14ac:dyDescent="0.25">
      <c r="A42" s="208"/>
      <c r="B42" s="49" t="s">
        <v>192</v>
      </c>
      <c r="C42" s="14">
        <v>2.9003478461868563E-2</v>
      </c>
      <c r="D42" s="14">
        <v>0.79926600567623962</v>
      </c>
      <c r="E42" s="14">
        <v>1.040626158004074E-3</v>
      </c>
      <c r="F42" s="14">
        <v>0.26271674921058069</v>
      </c>
      <c r="G42" s="14">
        <v>8.5667014678400683E-2</v>
      </c>
      <c r="H42" s="14">
        <v>106.02050336420608</v>
      </c>
      <c r="I42" s="14">
        <v>7.729598246908791E-3</v>
      </c>
    </row>
    <row r="43" spans="1:9" s="48" customFormat="1" x14ac:dyDescent="0.25">
      <c r="A43" s="208"/>
      <c r="B43" s="49" t="s">
        <v>193</v>
      </c>
      <c r="C43" s="14">
        <v>4.8913773267102466E-2</v>
      </c>
      <c r="D43" s="14">
        <v>1.3692761084016893</v>
      </c>
      <c r="E43" s="14">
        <v>1.7668980340818752E-3</v>
      </c>
      <c r="F43" s="14">
        <v>0.43490961182853477</v>
      </c>
      <c r="G43" s="14">
        <v>0.14304409607413943</v>
      </c>
      <c r="H43" s="14">
        <v>175.72807247687402</v>
      </c>
      <c r="I43" s="14">
        <v>1.2906637427307079E-2</v>
      </c>
    </row>
    <row r="44" spans="1:9" s="48" customFormat="1" x14ac:dyDescent="0.25">
      <c r="A44" s="207" t="s">
        <v>201</v>
      </c>
      <c r="B44" s="49" t="s">
        <v>194</v>
      </c>
      <c r="C44" s="14">
        <v>2.1185688535655016E-3</v>
      </c>
      <c r="D44" s="14">
        <v>5.6848227037113758E-2</v>
      </c>
      <c r="E44" s="14">
        <v>9.461647584515541E-5</v>
      </c>
      <c r="F44" s="14">
        <v>3.0704940214446572E-2</v>
      </c>
      <c r="G44" s="14">
        <v>8.9961120850078884E-3</v>
      </c>
      <c r="H44" s="14">
        <v>7.4571004908656136</v>
      </c>
      <c r="I44" s="14">
        <v>8.1170470036179233E-4</v>
      </c>
    </row>
    <row r="45" spans="1:9" s="48" customFormat="1" x14ac:dyDescent="0.25">
      <c r="A45" s="208"/>
      <c r="B45" s="49" t="s">
        <v>195</v>
      </c>
      <c r="C45" s="14">
        <v>8.5747061777926518E-3</v>
      </c>
      <c r="D45" s="14">
        <v>0.10677963699071892</v>
      </c>
      <c r="E45" s="14">
        <v>1.4669822452154389E-4</v>
      </c>
      <c r="F45" s="14">
        <v>0.12503940422845178</v>
      </c>
      <c r="G45" s="14">
        <v>3.3013327941516422E-2</v>
      </c>
      <c r="H45" s="14">
        <v>11.347759183615953</v>
      </c>
      <c r="I45" s="14">
        <v>2.9787390210460206E-3</v>
      </c>
    </row>
    <row r="46" spans="1:9" s="48" customFormat="1" x14ac:dyDescent="0.25">
      <c r="A46" s="208"/>
      <c r="B46" s="49" t="s">
        <v>196</v>
      </c>
      <c r="C46" s="14">
        <v>2.3521839616749588E-2</v>
      </c>
      <c r="D46" s="14">
        <v>0.28718326641751701</v>
      </c>
      <c r="E46" s="14">
        <v>3.9173852958143928E-4</v>
      </c>
      <c r="F46" s="14">
        <v>0.23302423449474954</v>
      </c>
      <c r="G46" s="14">
        <v>4.5253876844991027E-2</v>
      </c>
      <c r="H46" s="14">
        <v>33.394849457138442</v>
      </c>
      <c r="I46" s="14">
        <v>4.0831845141214183E-3</v>
      </c>
    </row>
    <row r="47" spans="1:9" s="48" customFormat="1" x14ac:dyDescent="0.25">
      <c r="A47" s="208"/>
      <c r="B47" s="49" t="s">
        <v>197</v>
      </c>
      <c r="C47" s="14">
        <v>2.0747719095890349E-2</v>
      </c>
      <c r="D47" s="14">
        <v>0.37752066278279162</v>
      </c>
      <c r="E47" s="14">
        <v>5.7274392261086402E-4</v>
      </c>
      <c r="F47" s="14">
        <v>0.30210672213552403</v>
      </c>
      <c r="G47" s="14">
        <v>5.1427853847974693E-2</v>
      </c>
      <c r="H47" s="14">
        <v>50.902804482173032</v>
      </c>
      <c r="I47" s="14">
        <v>4.6402527964763763E-3</v>
      </c>
    </row>
    <row r="48" spans="1:9" s="48" customFormat="1" x14ac:dyDescent="0.25">
      <c r="A48" s="208"/>
      <c r="B48" s="49" t="s">
        <v>198</v>
      </c>
      <c r="C48" s="14">
        <v>1.5123331903309542E-2</v>
      </c>
      <c r="D48" s="14">
        <v>0.4580703938197408</v>
      </c>
      <c r="E48" s="14">
        <v>8.0986716204782094E-4</v>
      </c>
      <c r="F48" s="14">
        <v>0.15783651682222283</v>
      </c>
      <c r="G48" s="14">
        <v>5.3505112064122604E-2</v>
      </c>
      <c r="H48" s="14">
        <v>71.977223173278446</v>
      </c>
      <c r="I48" s="14">
        <v>4.8276796504942909E-3</v>
      </c>
    </row>
    <row r="49" spans="1:19" s="48" customFormat="1" x14ac:dyDescent="0.25">
      <c r="A49" s="208"/>
      <c r="B49" s="49" t="s">
        <v>199</v>
      </c>
      <c r="C49" s="14">
        <v>2.1006373247910125E-2</v>
      </c>
      <c r="D49" s="14">
        <v>0.59541575181077255</v>
      </c>
      <c r="E49" s="14">
        <v>1.0406255314883974E-3</v>
      </c>
      <c r="F49" s="14">
        <v>0.23142564261058504</v>
      </c>
      <c r="G49" s="14">
        <v>7.5140788106243014E-2</v>
      </c>
      <c r="H49" s="14">
        <v>106.02049461069909</v>
      </c>
      <c r="I49" s="14">
        <v>6.7798323789797638E-3</v>
      </c>
    </row>
    <row r="50" spans="1:19" s="48" customFormat="1" x14ac:dyDescent="0.25">
      <c r="A50" s="208"/>
      <c r="B50" s="49" t="s">
        <v>200</v>
      </c>
      <c r="C50" s="14">
        <v>3.5473668727331154E-2</v>
      </c>
      <c r="D50" s="14">
        <v>1.0206954029426605</v>
      </c>
      <c r="E50" s="14">
        <v>1.7668980506726389E-3</v>
      </c>
      <c r="F50" s="14">
        <v>0.38339109074396199</v>
      </c>
      <c r="G50" s="14">
        <v>0.1253697873525017</v>
      </c>
      <c r="H50" s="14">
        <v>175.72814136503729</v>
      </c>
      <c r="I50" s="14">
        <v>1.1311917942879947E-2</v>
      </c>
    </row>
    <row r="51" spans="1:19" s="48" customFormat="1" x14ac:dyDescent="0.25">
      <c r="A51" s="209" t="s">
        <v>226</v>
      </c>
      <c r="B51" s="13" t="s">
        <v>220</v>
      </c>
      <c r="C51" s="14">
        <v>1.5546716033283415E-2</v>
      </c>
      <c r="D51" s="14">
        <v>0.13627048915098747</v>
      </c>
      <c r="E51" s="14">
        <v>1.6147837422310764E-4</v>
      </c>
      <c r="F51" s="14">
        <v>0.16772568501247775</v>
      </c>
      <c r="G51" s="14">
        <v>6.8519541486442945E-2</v>
      </c>
      <c r="H51" s="14">
        <v>12.491071632559654</v>
      </c>
      <c r="I51" s="14">
        <v>6.1824091206309651E-3</v>
      </c>
    </row>
    <row r="52" spans="1:19" s="48" customFormat="1" x14ac:dyDescent="0.25">
      <c r="A52" s="209"/>
      <c r="B52" s="13" t="s">
        <v>221</v>
      </c>
      <c r="C52" s="14">
        <v>4.075027225046491E-2</v>
      </c>
      <c r="D52" s="14">
        <v>0.44539812340533552</v>
      </c>
      <c r="E52" s="14">
        <v>3.9887809274011038E-4</v>
      </c>
      <c r="F52" s="14">
        <v>0.25031513426602925</v>
      </c>
      <c r="G52" s="14">
        <v>7.544252539500694E-2</v>
      </c>
      <c r="H52" s="14">
        <v>34.003459609649077</v>
      </c>
      <c r="I52" s="14">
        <v>6.8070562969738584E-3</v>
      </c>
    </row>
    <row r="53" spans="1:19" s="48" customFormat="1" x14ac:dyDescent="0.25">
      <c r="A53" s="209"/>
      <c r="B53" s="13" t="s">
        <v>222</v>
      </c>
      <c r="C53" s="14">
        <v>3.7330620673259061E-2</v>
      </c>
      <c r="D53" s="14">
        <v>0.65277264456981288</v>
      </c>
      <c r="E53" s="14">
        <v>6.3245662489481438E-4</v>
      </c>
      <c r="F53" s="14">
        <v>0.33759062411103619</v>
      </c>
      <c r="G53" s="14">
        <v>8.3733664889560883E-2</v>
      </c>
      <c r="H53" s="14">
        <v>56.209811880338187</v>
      </c>
      <c r="I53" s="14">
        <v>7.5551550634193635E-3</v>
      </c>
    </row>
    <row r="54" spans="1:19" s="48" customFormat="1" x14ac:dyDescent="0.25">
      <c r="A54" s="209"/>
      <c r="B54" s="13" t="s">
        <v>223</v>
      </c>
      <c r="C54" s="14">
        <v>3.1966174633806993E-2</v>
      </c>
      <c r="D54" s="14">
        <v>0.86306860457768875</v>
      </c>
      <c r="E54" s="14">
        <v>8.7841266545552539E-4</v>
      </c>
      <c r="F54" s="14">
        <v>0.23548151292999614</v>
      </c>
      <c r="G54" s="14">
        <v>8.4229915426404553E-2</v>
      </c>
      <c r="H54" s="14">
        <v>78.069186199201596</v>
      </c>
      <c r="I54" s="14">
        <v>7.5999323460532106E-3</v>
      </c>
    </row>
    <row r="55" spans="1:19" s="48" customFormat="1" x14ac:dyDescent="0.25">
      <c r="A55" s="209"/>
      <c r="B55" s="13" t="s">
        <v>224</v>
      </c>
      <c r="C55" s="14">
        <v>3.8699849410131659E-2</v>
      </c>
      <c r="D55" s="14">
        <v>1.0206597571791078</v>
      </c>
      <c r="E55" s="14">
        <v>1.0216993878289316E-3</v>
      </c>
      <c r="F55" s="14">
        <v>0.36800587015055869</v>
      </c>
      <c r="G55" s="14">
        <v>0.10198636420432097</v>
      </c>
      <c r="H55" s="14">
        <v>104.09223011714886</v>
      </c>
      <c r="I55" s="14">
        <v>9.2020653532741414E-3</v>
      </c>
    </row>
    <row r="56" spans="1:19" s="48" customFormat="1" x14ac:dyDescent="0.25">
      <c r="A56" s="209"/>
      <c r="B56" s="13" t="s">
        <v>225</v>
      </c>
      <c r="C56" s="14">
        <v>8.2903249198631179E-2</v>
      </c>
      <c r="D56" s="14">
        <v>2.2188662508818466</v>
      </c>
      <c r="E56" s="14">
        <v>2.2153428841163001E-3</v>
      </c>
      <c r="F56" s="14">
        <v>0.77622769833236183</v>
      </c>
      <c r="G56" s="14">
        <v>0.21749708586695185</v>
      </c>
      <c r="H56" s="14">
        <v>220.32859156349778</v>
      </c>
      <c r="I56" s="14">
        <v>1.9624409989811003E-2</v>
      </c>
    </row>
    <row r="57" spans="1:19" x14ac:dyDescent="0.25">
      <c r="A57" s="206" t="s">
        <v>210</v>
      </c>
      <c r="B57" s="16" t="s">
        <v>202</v>
      </c>
      <c r="C57" s="84">
        <v>4.1647481574952775E-3</v>
      </c>
      <c r="D57" s="84">
        <v>6.5318933034944765E-2</v>
      </c>
      <c r="E57" s="84">
        <v>9.7431139391112798E-5</v>
      </c>
      <c r="F57" s="84">
        <v>3.2117661168667613E-2</v>
      </c>
      <c r="G57" s="84">
        <v>1.0013560541894806E-2</v>
      </c>
      <c r="H57" s="84">
        <v>7.6789363702976381</v>
      </c>
      <c r="I57" s="84">
        <v>9.0350737078986789E-4</v>
      </c>
    </row>
    <row r="58" spans="1:19" x14ac:dyDescent="0.25">
      <c r="A58" s="173"/>
      <c r="B58" s="16" t="s">
        <v>203</v>
      </c>
      <c r="C58" s="84">
        <v>1.9389461005136124E-2</v>
      </c>
      <c r="D58" s="84">
        <v>0.15850781980120351</v>
      </c>
      <c r="E58" s="84">
        <v>1.8265581631205882E-4</v>
      </c>
      <c r="F58" s="84">
        <v>0.19953638186759515</v>
      </c>
      <c r="G58" s="84">
        <v>8.7889870552575564E-2</v>
      </c>
      <c r="H58" s="84">
        <v>14.129238189499569</v>
      </c>
      <c r="I58" s="84">
        <v>7.9301638618412291E-3</v>
      </c>
    </row>
    <row r="59" spans="1:19" x14ac:dyDescent="0.25">
      <c r="A59" s="173"/>
      <c r="B59" s="16" t="s">
        <v>204</v>
      </c>
      <c r="C59" s="84">
        <v>3.5159649405128737E-2</v>
      </c>
      <c r="D59" s="84">
        <v>0.39013010201093185</v>
      </c>
      <c r="E59" s="84">
        <v>3.1347091665644508E-4</v>
      </c>
      <c r="F59" s="84">
        <v>0.2004419223709539</v>
      </c>
      <c r="G59" s="84">
        <v>6.7138814469940591E-2</v>
      </c>
      <c r="H59" s="84">
        <v>26.722695910514073</v>
      </c>
      <c r="I59" s="84">
        <v>6.0578280967871325E-3</v>
      </c>
    </row>
    <row r="60" spans="1:19" x14ac:dyDescent="0.25">
      <c r="A60" s="173"/>
      <c r="B60" s="16" t="s">
        <v>205</v>
      </c>
      <c r="C60" s="84">
        <v>3.4873730864910753E-2</v>
      </c>
      <c r="D60" s="84">
        <v>0.62819014565488085</v>
      </c>
      <c r="E60" s="84">
        <v>5.4259968788077681E-4</v>
      </c>
      <c r="F60" s="84">
        <v>0.29143683660988179</v>
      </c>
      <c r="G60" s="84">
        <v>7.9806989940830519E-2</v>
      </c>
      <c r="H60" s="84">
        <v>48.223729179933819</v>
      </c>
      <c r="I60" s="84">
        <v>7.2008552575325378E-3</v>
      </c>
    </row>
    <row r="61" spans="1:19" x14ac:dyDescent="0.25">
      <c r="A61" s="173"/>
      <c r="B61" s="16" t="s">
        <v>206</v>
      </c>
      <c r="C61" s="14">
        <v>3.101083119228833E-2</v>
      </c>
      <c r="D61" s="14">
        <v>0.83698143551687265</v>
      </c>
      <c r="E61" s="14">
        <v>7.6033040375300068E-4</v>
      </c>
      <c r="F61" s="14">
        <v>0.22495851814724077</v>
      </c>
      <c r="G61" s="14">
        <v>8.0781384871570633E-2</v>
      </c>
      <c r="H61" s="14">
        <v>67.57462749683539</v>
      </c>
      <c r="I61" s="14">
        <v>7.2887737155482657E-3</v>
      </c>
    </row>
    <row r="62" spans="1:19" x14ac:dyDescent="0.25">
      <c r="A62" s="173"/>
      <c r="B62" s="16" t="s">
        <v>207</v>
      </c>
      <c r="C62" s="14">
        <v>4.4312637095619792E-2</v>
      </c>
      <c r="D62" s="14">
        <v>1.1811178567160983</v>
      </c>
      <c r="E62" s="14">
        <v>1.0551972934755545E-3</v>
      </c>
      <c r="F62" s="14">
        <v>0.44023160723795168</v>
      </c>
      <c r="G62" s="14">
        <v>0.11468313954524458</v>
      </c>
      <c r="H62" s="14">
        <v>107.50511325477065</v>
      </c>
      <c r="I62" s="14">
        <v>1.0347677695252593E-2</v>
      </c>
    </row>
    <row r="63" spans="1:19" x14ac:dyDescent="0.25">
      <c r="A63" s="173"/>
      <c r="B63" s="16" t="s">
        <v>208</v>
      </c>
      <c r="C63" s="14">
        <v>9.1699292295937748E-2</v>
      </c>
      <c r="D63" s="14">
        <v>2.4816495823931239</v>
      </c>
      <c r="E63" s="14">
        <v>2.2143711863278365E-3</v>
      </c>
      <c r="F63" s="14">
        <v>0.8977989810489746</v>
      </c>
      <c r="G63" s="14">
        <v>0.2376690359121682</v>
      </c>
      <c r="H63" s="14">
        <v>220.23193257962103</v>
      </c>
      <c r="I63" s="14">
        <v>2.1444490325478866E-2</v>
      </c>
      <c r="S63" s="85"/>
    </row>
    <row r="64" spans="1:19" x14ac:dyDescent="0.25">
      <c r="A64" s="173"/>
      <c r="B64" s="16" t="s">
        <v>209</v>
      </c>
      <c r="C64" s="14">
        <v>0.11281698418835924</v>
      </c>
      <c r="D64" s="14">
        <v>3.6320533542247149</v>
      </c>
      <c r="E64" s="14">
        <v>2.708513011176045E-3</v>
      </c>
      <c r="F64" s="14">
        <v>1.2834306373108464</v>
      </c>
      <c r="G64" s="14">
        <v>0.33188731556128104</v>
      </c>
      <c r="H64" s="14">
        <v>269.37717766866973</v>
      </c>
      <c r="I64" s="14">
        <v>2.9945664738985911E-2</v>
      </c>
      <c r="S64" s="85"/>
    </row>
    <row r="65" spans="1:19" x14ac:dyDescent="0.25">
      <c r="A65" s="206" t="s">
        <v>211</v>
      </c>
      <c r="B65" s="16" t="s">
        <v>212</v>
      </c>
      <c r="C65" s="14">
        <v>3.2903002898611415E-3</v>
      </c>
      <c r="D65" s="14">
        <v>6.0351818370876394E-2</v>
      </c>
      <c r="E65" s="14">
        <v>9.7431146584265514E-5</v>
      </c>
      <c r="F65" s="14">
        <v>3.1618350806841208E-2</v>
      </c>
      <c r="G65" s="14">
        <v>9.3956722388321093E-3</v>
      </c>
      <c r="H65" s="14">
        <v>7.6789357543319419</v>
      </c>
      <c r="I65" s="14">
        <v>8.4775634359354974E-4</v>
      </c>
      <c r="S65" s="85"/>
    </row>
    <row r="66" spans="1:19" x14ac:dyDescent="0.25">
      <c r="A66" s="173"/>
      <c r="B66" s="16" t="s">
        <v>213</v>
      </c>
      <c r="C66" s="14">
        <v>1.7396720472009724E-2</v>
      </c>
      <c r="D66" s="14">
        <v>0.15346606761948517</v>
      </c>
      <c r="E66" s="14">
        <v>1.8265583803462687E-4</v>
      </c>
      <c r="F66" s="14">
        <v>0.18755399158466543</v>
      </c>
      <c r="G66" s="14">
        <v>7.6458894663515881E-2</v>
      </c>
      <c r="H66" s="14">
        <v>14.129242592385312</v>
      </c>
      <c r="I66" s="14">
        <v>6.8987619982596249E-3</v>
      </c>
      <c r="S66" s="85"/>
    </row>
    <row r="67" spans="1:19" x14ac:dyDescent="0.25">
      <c r="A67" s="173"/>
      <c r="B67" s="16" t="s">
        <v>214</v>
      </c>
      <c r="C67" s="14">
        <v>3.1709942775795155E-2</v>
      </c>
      <c r="D67" s="14">
        <v>0.34743865594346229</v>
      </c>
      <c r="E67" s="14">
        <v>3.1347086879144335E-4</v>
      </c>
      <c r="F67" s="14">
        <v>0.19567962380709361</v>
      </c>
      <c r="G67" s="14">
        <v>5.8641930740096153E-2</v>
      </c>
      <c r="H67" s="14">
        <v>26.722695832208441</v>
      </c>
      <c r="I67" s="14">
        <v>5.2911671598863874E-3</v>
      </c>
      <c r="S67" s="85"/>
    </row>
    <row r="68" spans="1:19" x14ac:dyDescent="0.25">
      <c r="A68" s="173"/>
      <c r="B68" s="16" t="s">
        <v>215</v>
      </c>
      <c r="C68" s="14">
        <v>3.1676639454112171E-2</v>
      </c>
      <c r="D68" s="14">
        <v>0.55570626718065985</v>
      </c>
      <c r="E68" s="14">
        <v>5.4259958295527851E-4</v>
      </c>
      <c r="F68" s="14">
        <v>0.28809166684048632</v>
      </c>
      <c r="G68" s="14">
        <v>7.0961880335545346E-2</v>
      </c>
      <c r="H68" s="14">
        <v>48.223718880862187</v>
      </c>
      <c r="I68" s="14">
        <v>6.4027736698685995E-3</v>
      </c>
      <c r="S68" s="85"/>
    </row>
    <row r="69" spans="1:19" x14ac:dyDescent="0.25">
      <c r="A69" s="173"/>
      <c r="B69" s="16" t="s">
        <v>216</v>
      </c>
      <c r="C69" s="14">
        <v>2.7195650853984048E-2</v>
      </c>
      <c r="D69" s="14">
        <v>0.74076653329900899</v>
      </c>
      <c r="E69" s="14">
        <v>7.6033063163936151E-4</v>
      </c>
      <c r="F69" s="14">
        <v>0.20101915288471109</v>
      </c>
      <c r="G69" s="14">
        <v>7.1589444380089101E-2</v>
      </c>
      <c r="H69" s="14">
        <v>67.574628362385084</v>
      </c>
      <c r="I69" s="14">
        <v>6.4594017912534413E-3</v>
      </c>
      <c r="S69" s="85"/>
    </row>
    <row r="70" spans="1:19" x14ac:dyDescent="0.25">
      <c r="A70" s="173"/>
      <c r="B70" s="16" t="s">
        <v>217</v>
      </c>
      <c r="C70" s="14">
        <v>3.9322932968231562E-2</v>
      </c>
      <c r="D70" s="14">
        <v>1.044875360711242</v>
      </c>
      <c r="E70" s="14">
        <v>1.0551979065758059E-3</v>
      </c>
      <c r="F70" s="14">
        <v>0.37266200284083328</v>
      </c>
      <c r="G70" s="14">
        <v>0.10327325871714316</v>
      </c>
      <c r="H70" s="14">
        <v>107.50513430989052</v>
      </c>
      <c r="I70" s="14">
        <v>9.3181813322807464E-3</v>
      </c>
      <c r="S70" s="85"/>
    </row>
    <row r="71" spans="1:19" x14ac:dyDescent="0.25">
      <c r="A71" s="173"/>
      <c r="B71" s="16" t="s">
        <v>218</v>
      </c>
      <c r="C71" s="14">
        <v>8.1552394524264785E-2</v>
      </c>
      <c r="D71" s="14">
        <v>2.1992306970093716</v>
      </c>
      <c r="E71" s="14">
        <v>2.2143711569758569E-3</v>
      </c>
      <c r="F71" s="14">
        <v>0.76093309512184293</v>
      </c>
      <c r="G71" s="14">
        <v>0.21338242553213027</v>
      </c>
      <c r="H71" s="14">
        <v>220.2319084810523</v>
      </c>
      <c r="I71" s="14">
        <v>1.9253158733331964E-2</v>
      </c>
      <c r="K71" s="85"/>
      <c r="L71" s="85"/>
      <c r="M71" s="17"/>
      <c r="N71" s="17"/>
      <c r="O71" s="17"/>
      <c r="P71" s="17"/>
      <c r="Q71" s="17"/>
      <c r="R71" s="17"/>
      <c r="S71" s="17"/>
    </row>
    <row r="72" spans="1:19" x14ac:dyDescent="0.25">
      <c r="A72" s="173"/>
      <c r="B72" s="16" t="s">
        <v>219</v>
      </c>
      <c r="C72" s="14">
        <v>0.10231027633243897</v>
      </c>
      <c r="D72" s="14">
        <v>3.3662902896027194</v>
      </c>
      <c r="E72" s="14">
        <v>2.7085124782902071E-3</v>
      </c>
      <c r="F72" s="14">
        <v>1.0887959746988425</v>
      </c>
      <c r="G72" s="14">
        <v>0.2952096997260914</v>
      </c>
      <c r="H72" s="14">
        <v>269.37710996950443</v>
      </c>
      <c r="I72" s="14">
        <v>2.6636293126600673E-2</v>
      </c>
      <c r="K72" s="118"/>
      <c r="L72" s="118"/>
      <c r="M72" s="118"/>
      <c r="N72" s="118"/>
      <c r="O72" s="118"/>
      <c r="P72" s="118"/>
      <c r="Q72" s="118"/>
      <c r="R72" s="118"/>
      <c r="S72" s="118"/>
    </row>
    <row r="73" spans="1:19" x14ac:dyDescent="0.25">
      <c r="A73" s="2"/>
      <c r="B73" s="152"/>
      <c r="C73" s="152"/>
      <c r="D73" s="152"/>
      <c r="E73" s="152"/>
      <c r="F73" s="152"/>
      <c r="G73" s="152"/>
      <c r="H73" s="152"/>
      <c r="I73" s="152"/>
      <c r="K73" s="118"/>
      <c r="L73" s="118"/>
      <c r="M73" s="118"/>
      <c r="N73" s="118"/>
      <c r="O73" s="118"/>
      <c r="P73" s="118"/>
      <c r="Q73" s="118"/>
      <c r="R73" s="118"/>
      <c r="S73" s="118"/>
    </row>
    <row r="74" spans="1:19" x14ac:dyDescent="0.25">
      <c r="A74" s="185" t="s">
        <v>21</v>
      </c>
      <c r="B74" s="188"/>
      <c r="C74" s="189"/>
      <c r="D74" s="189"/>
      <c r="E74" s="190"/>
      <c r="F74" s="152"/>
      <c r="G74" s="152"/>
      <c r="H74" s="152"/>
      <c r="I74" s="152"/>
    </row>
    <row r="75" spans="1:19" x14ac:dyDescent="0.25">
      <c r="A75" s="186"/>
      <c r="B75" s="191"/>
      <c r="C75" s="192"/>
      <c r="D75" s="192"/>
      <c r="E75" s="193"/>
      <c r="F75" s="152"/>
      <c r="G75" s="152"/>
      <c r="H75" s="152"/>
      <c r="I75" s="152"/>
    </row>
    <row r="76" spans="1:19" x14ac:dyDescent="0.25">
      <c r="A76" s="186"/>
      <c r="B76" s="194"/>
      <c r="C76" s="195"/>
      <c r="D76" s="195"/>
      <c r="E76" s="196"/>
      <c r="F76" s="152"/>
      <c r="G76" s="152"/>
      <c r="H76" s="152"/>
      <c r="I76" s="152"/>
    </row>
    <row r="77" spans="1:19" x14ac:dyDescent="0.25">
      <c r="A77" s="186"/>
      <c r="B77" s="197" t="s">
        <v>22</v>
      </c>
      <c r="C77" s="198"/>
      <c r="D77" s="198"/>
      <c r="E77" s="199"/>
      <c r="F77" s="152"/>
      <c r="G77" s="152"/>
      <c r="H77" s="152"/>
      <c r="I77" s="152"/>
    </row>
    <row r="78" spans="1:19" x14ac:dyDescent="0.25">
      <c r="A78" s="186"/>
      <c r="B78" s="200"/>
      <c r="C78" s="201"/>
      <c r="D78" s="201"/>
      <c r="E78" s="202"/>
      <c r="F78" s="152"/>
      <c r="G78" s="152"/>
      <c r="H78" s="152"/>
      <c r="I78" s="152"/>
    </row>
    <row r="79" spans="1:19" x14ac:dyDescent="0.25">
      <c r="A79" s="186"/>
      <c r="B79" s="200"/>
      <c r="C79" s="201"/>
      <c r="D79" s="201"/>
      <c r="E79" s="202"/>
      <c r="F79" s="152"/>
      <c r="G79" s="152"/>
      <c r="H79" s="152"/>
      <c r="I79" s="152"/>
    </row>
    <row r="80" spans="1:19" x14ac:dyDescent="0.25">
      <c r="A80" s="187"/>
      <c r="B80" s="203"/>
      <c r="C80" s="204"/>
      <c r="D80" s="204"/>
      <c r="E80" s="205"/>
      <c r="F80" s="152"/>
      <c r="G80" s="152"/>
      <c r="H80" s="152"/>
      <c r="I80" s="152"/>
    </row>
    <row r="81" spans="1:9" x14ac:dyDescent="0.25">
      <c r="A81" s="152"/>
      <c r="B81" s="152"/>
      <c r="C81" s="152"/>
      <c r="D81" s="152"/>
      <c r="E81" s="152"/>
      <c r="F81" s="152"/>
      <c r="G81" s="152"/>
      <c r="H81" s="152"/>
      <c r="I81" s="152"/>
    </row>
    <row r="82" spans="1:9" x14ac:dyDescent="0.25">
      <c r="A82" s="152"/>
      <c r="B82" s="152"/>
      <c r="C82" s="152"/>
      <c r="D82" s="152"/>
      <c r="E82" s="152"/>
      <c r="F82" s="152"/>
      <c r="G82" s="152"/>
      <c r="H82" s="152"/>
      <c r="I82" s="152"/>
    </row>
  </sheetData>
  <sheetProtection algorithmName="SHA-512" hashValue="8vepPa5baC+0PXHY1rLSU22Enic1vzin3xTKJEUqNlNxXjXuw4OVtFREm3cUNdwHHDdrNLGdlye196PE87q5mQ==" saltValue="5978PjTHkpBoVxFRHtQN+w==" spinCount="100000" sheet="1" objects="1" scenarios="1"/>
  <mergeCells count="12">
    <mergeCell ref="A3:A11"/>
    <mergeCell ref="A30:A36"/>
    <mergeCell ref="A74:A80"/>
    <mergeCell ref="B74:E76"/>
    <mergeCell ref="B77:E80"/>
    <mergeCell ref="A57:A64"/>
    <mergeCell ref="A37:A43"/>
    <mergeCell ref="A44:A50"/>
    <mergeCell ref="A65:A72"/>
    <mergeCell ref="A51:A56"/>
    <mergeCell ref="A12:A20"/>
    <mergeCell ref="A21:A29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7" width="14.5703125" customWidth="1"/>
  </cols>
  <sheetData>
    <row r="1" spans="1:5" x14ac:dyDescent="0.25">
      <c r="A1" s="210" t="s">
        <v>341</v>
      </c>
      <c r="B1" s="211"/>
      <c r="C1" s="211"/>
      <c r="D1" s="211"/>
    </row>
    <row r="2" spans="1:5" x14ac:dyDescent="0.25">
      <c r="A2" s="12"/>
      <c r="B2" s="12" t="s">
        <v>2</v>
      </c>
      <c r="C2" s="12" t="s">
        <v>25</v>
      </c>
      <c r="D2" s="12" t="s">
        <v>26</v>
      </c>
    </row>
    <row r="3" spans="1:5" x14ac:dyDescent="0.25">
      <c r="A3" s="11" t="s">
        <v>27</v>
      </c>
      <c r="B3" s="21">
        <v>0.74</v>
      </c>
      <c r="C3" s="21">
        <v>0.35</v>
      </c>
      <c r="D3" s="21">
        <v>5.2999999999999999E-2</v>
      </c>
    </row>
    <row r="5" spans="1:5" x14ac:dyDescent="0.25">
      <c r="A5" s="185" t="s">
        <v>21</v>
      </c>
      <c r="B5" s="22"/>
      <c r="C5" s="23"/>
      <c r="D5" s="23"/>
      <c r="E5" s="28"/>
    </row>
    <row r="6" spans="1:5" x14ac:dyDescent="0.25">
      <c r="A6" s="186"/>
      <c r="B6" s="24"/>
      <c r="C6" s="25"/>
      <c r="D6" s="25"/>
      <c r="E6" s="28"/>
    </row>
    <row r="7" spans="1:5" x14ac:dyDescent="0.25">
      <c r="A7" s="186"/>
      <c r="B7" s="26"/>
      <c r="C7" s="27"/>
      <c r="D7" s="27"/>
      <c r="E7" s="28"/>
    </row>
    <row r="8" spans="1:5" ht="15" customHeight="1" x14ac:dyDescent="0.25">
      <c r="A8" s="186"/>
      <c r="B8" s="197" t="s">
        <v>28</v>
      </c>
      <c r="C8" s="198"/>
      <c r="D8" s="198"/>
      <c r="E8" s="29"/>
    </row>
    <row r="9" spans="1:5" x14ac:dyDescent="0.25">
      <c r="A9" s="186"/>
      <c r="B9" s="200"/>
      <c r="C9" s="201"/>
      <c r="D9" s="201"/>
      <c r="E9" s="29"/>
    </row>
    <row r="10" spans="1:5" ht="17.25" customHeight="1" x14ac:dyDescent="0.25">
      <c r="A10" s="186"/>
      <c r="B10" s="200"/>
      <c r="C10" s="201"/>
      <c r="D10" s="201"/>
      <c r="E10" s="29"/>
    </row>
    <row r="11" spans="1:5" ht="19.5" customHeight="1" x14ac:dyDescent="0.25">
      <c r="A11" s="187"/>
      <c r="B11" s="203"/>
      <c r="C11" s="204"/>
      <c r="D11" s="204"/>
      <c r="E11" s="29"/>
    </row>
  </sheetData>
  <sheetProtection algorithmName="SHA-512" hashValue="MgzQofxuSlK5+QGsuYsIwtLsornK2XaecfTiF9dRUcz4G7zvwyboQ/EOHwaoz5h7P6tVdHStD1SnjEm+MahnpQ==" saltValue="ivOxSRVzNabT79MMblnI2w==" spinCount="100000" sheet="1" objects="1" scenarios="1"/>
  <mergeCells count="3">
    <mergeCell ref="A1:D1"/>
    <mergeCell ref="A5:A11"/>
    <mergeCell ref="B8:D1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workbookViewId="0">
      <selection activeCell="C11" sqref="C11"/>
    </sheetView>
  </sheetViews>
  <sheetFormatPr defaultRowHeight="15" x14ac:dyDescent="0.25"/>
  <cols>
    <col min="1" max="1" width="24.42578125" customWidth="1"/>
    <col min="2" max="5" width="20.42578125" customWidth="1"/>
    <col min="6" max="6" width="20.85546875" customWidth="1"/>
    <col min="7" max="7" width="18.42578125" customWidth="1"/>
  </cols>
  <sheetData>
    <row r="1" spans="1:7" x14ac:dyDescent="0.25">
      <c r="A1" s="2" t="s">
        <v>340</v>
      </c>
    </row>
    <row r="2" spans="1:7" x14ac:dyDescent="0.25">
      <c r="A2" s="212" t="s">
        <v>104</v>
      </c>
      <c r="B2" s="213"/>
      <c r="C2" s="213"/>
      <c r="D2" s="213"/>
      <c r="E2" s="213"/>
      <c r="F2" s="213"/>
      <c r="G2" s="213"/>
    </row>
    <row r="3" spans="1:7" ht="15" customHeight="1" x14ac:dyDescent="0.25">
      <c r="A3" s="175" t="s">
        <v>105</v>
      </c>
      <c r="B3" s="175"/>
      <c r="C3" s="175"/>
      <c r="D3" s="175"/>
      <c r="E3" s="175"/>
      <c r="F3" s="175"/>
      <c r="G3" s="175"/>
    </row>
    <row r="4" spans="1:7" x14ac:dyDescent="0.25">
      <c r="A4" s="143" t="s">
        <v>90</v>
      </c>
      <c r="B4" s="144" t="s">
        <v>2</v>
      </c>
      <c r="C4" s="144" t="s">
        <v>110</v>
      </c>
      <c r="D4" s="144" t="s">
        <v>25</v>
      </c>
      <c r="E4" s="144" t="s">
        <v>110</v>
      </c>
      <c r="F4" s="144" t="s">
        <v>99</v>
      </c>
      <c r="G4" s="144" t="s">
        <v>110</v>
      </c>
    </row>
    <row r="5" spans="1:7" x14ac:dyDescent="0.25">
      <c r="A5" s="76" t="s">
        <v>106</v>
      </c>
      <c r="B5" s="77">
        <v>2.7000000000000001E-3</v>
      </c>
      <c r="C5" s="77" t="s">
        <v>111</v>
      </c>
      <c r="D5" s="77">
        <v>1.1999999999999999E-3</v>
      </c>
      <c r="E5" s="77" t="s">
        <v>112</v>
      </c>
      <c r="F5" s="77" t="s">
        <v>92</v>
      </c>
      <c r="G5" s="51"/>
    </row>
    <row r="6" spans="1:7" x14ac:dyDescent="0.25">
      <c r="A6" s="19" t="s">
        <v>107</v>
      </c>
      <c r="B6" s="146">
        <v>5.9999999999999995E-4</v>
      </c>
      <c r="C6" s="146" t="s">
        <v>111</v>
      </c>
      <c r="D6" s="146">
        <v>2.7E-4</v>
      </c>
      <c r="E6" s="146" t="s">
        <v>112</v>
      </c>
      <c r="F6" s="146">
        <v>5.0000000000000002E-5</v>
      </c>
      <c r="G6" s="32" t="s">
        <v>111</v>
      </c>
    </row>
    <row r="7" spans="1:7" x14ac:dyDescent="0.25">
      <c r="A7" s="59" t="s">
        <v>91</v>
      </c>
      <c r="B7" s="145">
        <v>1.2500000000000001E-2</v>
      </c>
      <c r="C7" s="145" t="s">
        <v>111</v>
      </c>
      <c r="D7" s="145">
        <v>4.3E-3</v>
      </c>
      <c r="E7" s="145" t="s">
        <v>112</v>
      </c>
      <c r="F7" s="145" t="s">
        <v>92</v>
      </c>
      <c r="G7" s="51"/>
    </row>
    <row r="8" spans="1:7" x14ac:dyDescent="0.25">
      <c r="A8" s="2" t="s">
        <v>108</v>
      </c>
      <c r="B8" s="32">
        <v>1.1000000000000001E-3</v>
      </c>
      <c r="C8" s="32" t="s">
        <v>111</v>
      </c>
      <c r="D8" s="32">
        <v>3.6999999999999999E-4</v>
      </c>
      <c r="E8" s="32" t="s">
        <v>112</v>
      </c>
      <c r="F8" s="146">
        <v>2.5000000000000001E-5</v>
      </c>
      <c r="G8" s="32" t="s">
        <v>111</v>
      </c>
    </row>
    <row r="9" spans="1:7" x14ac:dyDescent="0.25">
      <c r="A9" s="2"/>
      <c r="B9" s="1"/>
      <c r="C9" s="1"/>
      <c r="D9" s="1"/>
      <c r="E9" s="1"/>
    </row>
    <row r="10" spans="1:7" x14ac:dyDescent="0.25">
      <c r="D10" s="86"/>
    </row>
    <row r="11" spans="1:7" x14ac:dyDescent="0.25">
      <c r="D11" s="86"/>
    </row>
    <row r="13" spans="1:7" x14ac:dyDescent="0.25">
      <c r="F13" s="86"/>
    </row>
    <row r="15" spans="1:7" x14ac:dyDescent="0.25">
      <c r="D15" s="87"/>
      <c r="F15" s="86"/>
    </row>
    <row r="16" spans="1:7" x14ac:dyDescent="0.25">
      <c r="D16" s="87"/>
      <c r="F16" s="86"/>
    </row>
  </sheetData>
  <sheetProtection algorithmName="SHA-512" hashValue="10FHCo5WV9fVvSFT/fAfiYTwF3bw5wmFp7CWjrSbp5NfBJeXfayubgrPuDG0tk5mSdrl7vaB04sWII5glMcf1Q==" saltValue="da+zy2k+bUg+0Yzb578SUw==" spinCount="100000" sheet="1" objects="1" scenarios="1"/>
  <mergeCells count="2">
    <mergeCell ref="A3:G3"/>
    <mergeCell ref="A2:G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4"/>
  <sheetViews>
    <sheetView topLeftCell="A31" workbookViewId="0">
      <selection activeCell="C43" sqref="C43"/>
    </sheetView>
  </sheetViews>
  <sheetFormatPr defaultRowHeight="15" x14ac:dyDescent="0.25"/>
  <cols>
    <col min="1" max="4" width="13.42578125" customWidth="1"/>
    <col min="5" max="6" width="10.5703125" customWidth="1"/>
    <col min="7" max="7" width="14" customWidth="1"/>
    <col min="8" max="8" width="18.140625" customWidth="1"/>
    <col min="9" max="9" width="11.28515625" bestFit="1" customWidth="1"/>
    <col min="10" max="10" width="11.5703125" bestFit="1" customWidth="1"/>
  </cols>
  <sheetData>
    <row r="1" spans="1:10" x14ac:dyDescent="0.25">
      <c r="A1" s="2" t="s">
        <v>342</v>
      </c>
      <c r="B1" s="2"/>
      <c r="C1" s="2"/>
      <c r="D1" s="2"/>
    </row>
    <row r="2" spans="1:10" ht="26.25" customHeight="1" x14ac:dyDescent="0.25">
      <c r="A2" s="176" t="s">
        <v>33</v>
      </c>
      <c r="B2" s="176"/>
      <c r="C2" s="176"/>
      <c r="D2" s="176"/>
    </row>
    <row r="3" spans="1:10" x14ac:dyDescent="0.25">
      <c r="A3" s="214" t="s">
        <v>34</v>
      </c>
      <c r="B3" s="214"/>
      <c r="C3" s="214"/>
      <c r="D3" s="214"/>
      <c r="F3" s="174" t="s">
        <v>48</v>
      </c>
      <c r="G3" s="174"/>
      <c r="H3" s="174"/>
      <c r="I3" s="174"/>
      <c r="J3" s="174"/>
    </row>
    <row r="4" spans="1:10" ht="22.5" x14ac:dyDescent="0.25">
      <c r="A4" s="214" t="s">
        <v>35</v>
      </c>
      <c r="B4" s="214" t="s">
        <v>36</v>
      </c>
      <c r="C4" s="214"/>
      <c r="D4" s="214"/>
      <c r="F4" s="93" t="s">
        <v>49</v>
      </c>
      <c r="G4" s="92" t="s">
        <v>50</v>
      </c>
      <c r="H4" s="92" t="s">
        <v>51</v>
      </c>
      <c r="I4" s="93" t="s">
        <v>52</v>
      </c>
      <c r="J4" s="93" t="s">
        <v>53</v>
      </c>
    </row>
    <row r="5" spans="1:10" x14ac:dyDescent="0.25">
      <c r="A5" s="214"/>
      <c r="B5" s="154" t="s">
        <v>37</v>
      </c>
      <c r="C5" s="154" t="s">
        <v>38</v>
      </c>
      <c r="D5" s="154" t="s">
        <v>39</v>
      </c>
      <c r="F5" s="94" t="s">
        <v>54</v>
      </c>
      <c r="G5" s="94">
        <v>0</v>
      </c>
      <c r="H5" s="94">
        <v>0</v>
      </c>
      <c r="I5" s="94">
        <v>31</v>
      </c>
      <c r="J5" s="43">
        <f>(I5-H5)/I5</f>
        <v>1</v>
      </c>
    </row>
    <row r="6" spans="1:10" x14ac:dyDescent="0.25">
      <c r="A6" s="37" t="s">
        <v>40</v>
      </c>
      <c r="B6" s="37">
        <v>0.15</v>
      </c>
      <c r="C6" s="37">
        <v>1.5</v>
      </c>
      <c r="D6" s="37">
        <v>4.9000000000000004</v>
      </c>
      <c r="F6" s="94" t="s">
        <v>55</v>
      </c>
      <c r="G6" s="94">
        <v>52</v>
      </c>
      <c r="H6" s="94">
        <v>7</v>
      </c>
      <c r="I6" s="94">
        <v>28</v>
      </c>
      <c r="J6" s="43">
        <f t="shared" ref="J6:J16" si="0">(I6-H6)/I6</f>
        <v>0.75</v>
      </c>
    </row>
    <row r="7" spans="1:10" x14ac:dyDescent="0.25">
      <c r="A7" s="37" t="s">
        <v>41</v>
      </c>
      <c r="B7" s="37">
        <v>0.9</v>
      </c>
      <c r="C7" s="37">
        <v>0.9</v>
      </c>
      <c r="D7" s="37">
        <v>0.7</v>
      </c>
      <c r="F7" s="94" t="s">
        <v>56</v>
      </c>
      <c r="G7" s="94">
        <v>69</v>
      </c>
      <c r="H7" s="94">
        <v>7</v>
      </c>
      <c r="I7" s="94">
        <v>31</v>
      </c>
      <c r="J7" s="43">
        <f t="shared" si="0"/>
        <v>0.77419354838709675</v>
      </c>
    </row>
    <row r="8" spans="1:10" x14ac:dyDescent="0.25">
      <c r="A8" s="37" t="s">
        <v>42</v>
      </c>
      <c r="B8" s="37">
        <v>0.45</v>
      </c>
      <c r="C8" s="37">
        <v>0.45</v>
      </c>
      <c r="D8" s="37">
        <v>0.45</v>
      </c>
      <c r="F8" s="94" t="s">
        <v>57</v>
      </c>
      <c r="G8" s="94">
        <v>44</v>
      </c>
      <c r="H8" s="94">
        <v>8</v>
      </c>
      <c r="I8" s="94">
        <v>30</v>
      </c>
      <c r="J8" s="43">
        <f t="shared" si="0"/>
        <v>0.73333333333333328</v>
      </c>
    </row>
    <row r="9" spans="1:10" x14ac:dyDescent="0.25">
      <c r="A9" s="37" t="s">
        <v>44</v>
      </c>
      <c r="B9" s="13">
        <v>281.89999999999998</v>
      </c>
      <c r="C9" s="37" t="s">
        <v>45</v>
      </c>
      <c r="D9" s="37"/>
      <c r="F9" s="94" t="s">
        <v>58</v>
      </c>
      <c r="G9" s="94">
        <v>185.8</v>
      </c>
      <c r="H9" s="94">
        <v>16</v>
      </c>
      <c r="I9" s="94">
        <v>31</v>
      </c>
      <c r="J9" s="43">
        <f t="shared" si="0"/>
        <v>0.4838709677419355</v>
      </c>
    </row>
    <row r="10" spans="1:10" x14ac:dyDescent="0.25">
      <c r="A10" s="215" t="s">
        <v>43</v>
      </c>
      <c r="B10" s="215"/>
      <c r="C10" s="215"/>
      <c r="D10" s="215"/>
      <c r="F10" s="94" t="s">
        <v>59</v>
      </c>
      <c r="G10" s="94">
        <v>119.2</v>
      </c>
      <c r="H10" s="94">
        <v>9</v>
      </c>
      <c r="I10" s="94">
        <v>30</v>
      </c>
      <c r="J10" s="43">
        <f t="shared" si="0"/>
        <v>0.7</v>
      </c>
    </row>
    <row r="11" spans="1:10" x14ac:dyDescent="0.25">
      <c r="A11" s="215"/>
      <c r="B11" s="215"/>
      <c r="C11" s="215"/>
      <c r="D11" s="215"/>
      <c r="F11" s="94" t="s">
        <v>60</v>
      </c>
      <c r="G11" s="94">
        <v>17.8</v>
      </c>
      <c r="H11" s="94">
        <v>6</v>
      </c>
      <c r="I11" s="94">
        <v>31</v>
      </c>
      <c r="J11" s="43">
        <f t="shared" si="0"/>
        <v>0.80645161290322576</v>
      </c>
    </row>
    <row r="12" spans="1:10" ht="15" customHeight="1" x14ac:dyDescent="0.25">
      <c r="A12" s="215"/>
      <c r="B12" s="216" t="s">
        <v>130</v>
      </c>
      <c r="C12" s="216"/>
      <c r="D12" s="216"/>
      <c r="F12" s="94" t="s">
        <v>61</v>
      </c>
      <c r="G12" s="94">
        <v>70.2</v>
      </c>
      <c r="H12" s="94">
        <v>11</v>
      </c>
      <c r="I12" s="94">
        <v>31</v>
      </c>
      <c r="J12" s="43">
        <f t="shared" si="0"/>
        <v>0.64516129032258063</v>
      </c>
    </row>
    <row r="13" spans="1:10" x14ac:dyDescent="0.25">
      <c r="A13" s="215"/>
      <c r="B13" s="216"/>
      <c r="C13" s="216"/>
      <c r="D13" s="216"/>
      <c r="F13" s="94" t="s">
        <v>62</v>
      </c>
      <c r="G13" s="94">
        <v>25.2</v>
      </c>
      <c r="H13" s="94">
        <v>7</v>
      </c>
      <c r="I13" s="94">
        <v>30</v>
      </c>
      <c r="J13" s="43">
        <f t="shared" si="0"/>
        <v>0.76666666666666672</v>
      </c>
    </row>
    <row r="14" spans="1:10" x14ac:dyDescent="0.25">
      <c r="A14" s="215"/>
      <c r="B14" s="216"/>
      <c r="C14" s="216"/>
      <c r="D14" s="216"/>
      <c r="F14" s="94" t="s">
        <v>63</v>
      </c>
      <c r="G14" s="94">
        <v>54.4</v>
      </c>
      <c r="H14" s="94">
        <v>6</v>
      </c>
      <c r="I14" s="94">
        <v>31</v>
      </c>
      <c r="J14" s="43">
        <f t="shared" si="0"/>
        <v>0.80645161290322576</v>
      </c>
    </row>
    <row r="15" spans="1:10" x14ac:dyDescent="0.25">
      <c r="A15" s="215"/>
      <c r="B15" s="216"/>
      <c r="C15" s="216"/>
      <c r="D15" s="216"/>
      <c r="F15" s="94" t="s">
        <v>64</v>
      </c>
      <c r="G15" s="44">
        <v>48.6</v>
      </c>
      <c r="H15" s="94">
        <v>9</v>
      </c>
      <c r="I15" s="94">
        <v>30</v>
      </c>
      <c r="J15" s="43">
        <f t="shared" si="0"/>
        <v>0.7</v>
      </c>
    </row>
    <row r="16" spans="1:10" x14ac:dyDescent="0.25">
      <c r="A16" s="215"/>
      <c r="B16" s="216"/>
      <c r="C16" s="216"/>
      <c r="D16" s="216"/>
      <c r="F16" s="94" t="s">
        <v>65</v>
      </c>
      <c r="G16" s="94">
        <v>91.4</v>
      </c>
      <c r="H16" s="94">
        <v>6</v>
      </c>
      <c r="I16" s="94">
        <v>31</v>
      </c>
      <c r="J16" s="43">
        <f t="shared" si="0"/>
        <v>0.80645161290322576</v>
      </c>
    </row>
    <row r="17" spans="1:10" x14ac:dyDescent="0.25">
      <c r="A17" s="215"/>
      <c r="B17" s="216"/>
      <c r="C17" s="216"/>
      <c r="D17" s="216"/>
      <c r="F17" s="95" t="s">
        <v>66</v>
      </c>
      <c r="G17" s="7">
        <f>(365-SUM(H5:H16))/365</f>
        <v>0.74794520547945209</v>
      </c>
    </row>
    <row r="19" spans="1:10" x14ac:dyDescent="0.25">
      <c r="A19" s="174" t="s">
        <v>67</v>
      </c>
      <c r="B19" s="174" t="s">
        <v>68</v>
      </c>
      <c r="C19" s="174"/>
      <c r="D19" s="174"/>
      <c r="E19" s="174"/>
      <c r="F19" s="174"/>
      <c r="G19" s="174"/>
      <c r="H19" s="174"/>
    </row>
    <row r="20" spans="1:10" x14ac:dyDescent="0.25">
      <c r="A20" s="174"/>
      <c r="B20" s="174" t="s">
        <v>69</v>
      </c>
      <c r="C20" s="174"/>
      <c r="D20" s="174"/>
      <c r="E20" s="174"/>
      <c r="F20" s="174"/>
      <c r="G20" s="174"/>
      <c r="H20" s="174"/>
    </row>
    <row r="21" spans="1:10" x14ac:dyDescent="0.25">
      <c r="A21" s="174"/>
      <c r="B21" s="41" t="s">
        <v>2</v>
      </c>
      <c r="C21" s="41" t="s">
        <v>25</v>
      </c>
      <c r="D21" s="41" t="s">
        <v>72</v>
      </c>
      <c r="E21" s="41" t="s">
        <v>73</v>
      </c>
      <c r="F21" s="41" t="s">
        <v>74</v>
      </c>
      <c r="G21" s="41" t="s">
        <v>4</v>
      </c>
      <c r="H21" s="41" t="s">
        <v>70</v>
      </c>
    </row>
    <row r="22" spans="1:10" x14ac:dyDescent="0.25">
      <c r="A22" s="89" t="s">
        <v>71</v>
      </c>
      <c r="B22" s="90">
        <v>0.17489827604766656</v>
      </c>
      <c r="C22" s="90">
        <v>0.17489827604766656</v>
      </c>
      <c r="D22" s="90">
        <v>0.17489827604766656</v>
      </c>
      <c r="E22" s="90">
        <v>5.4345140567386743</v>
      </c>
      <c r="F22" s="90">
        <v>4.163753615797702E-3</v>
      </c>
      <c r="G22" s="90">
        <v>1.0383730075038093</v>
      </c>
      <c r="H22" s="90">
        <v>0.24766340643796464</v>
      </c>
    </row>
    <row r="24" spans="1:10" x14ac:dyDescent="0.25">
      <c r="A24" s="2" t="s">
        <v>343</v>
      </c>
      <c r="C24" s="115"/>
      <c r="D24" s="115"/>
    </row>
    <row r="25" spans="1:10" x14ac:dyDescent="0.25">
      <c r="A25" s="175" t="s">
        <v>289</v>
      </c>
      <c r="B25" s="175"/>
      <c r="C25" s="175"/>
      <c r="D25" s="175"/>
      <c r="F25" s="174" t="s">
        <v>48</v>
      </c>
      <c r="G25" s="174"/>
      <c r="H25" s="174"/>
      <c r="I25" s="174"/>
      <c r="J25" s="174"/>
    </row>
    <row r="26" spans="1:10" ht="22.5" x14ac:dyDescent="0.25">
      <c r="A26" s="174" t="s">
        <v>291</v>
      </c>
      <c r="B26" s="174" t="s">
        <v>292</v>
      </c>
      <c r="C26" s="174"/>
      <c r="D26" s="174"/>
      <c r="F26" s="111" t="s">
        <v>49</v>
      </c>
      <c r="G26" s="112" t="s">
        <v>50</v>
      </c>
      <c r="H26" s="112" t="s">
        <v>290</v>
      </c>
      <c r="I26" s="111" t="s">
        <v>52</v>
      </c>
      <c r="J26" s="111" t="s">
        <v>53</v>
      </c>
    </row>
    <row r="27" spans="1:10" x14ac:dyDescent="0.25">
      <c r="A27" s="174"/>
      <c r="B27" s="111" t="s">
        <v>37</v>
      </c>
      <c r="C27" s="111" t="s">
        <v>38</v>
      </c>
      <c r="D27" s="111" t="s">
        <v>39</v>
      </c>
      <c r="F27" s="113" t="s">
        <v>54</v>
      </c>
      <c r="G27" s="113">
        <v>0</v>
      </c>
      <c r="H27" s="113">
        <v>0</v>
      </c>
      <c r="I27" s="113">
        <v>31</v>
      </c>
      <c r="J27" s="43">
        <f>1-((1.2*H27)/(I27*24))</f>
        <v>1</v>
      </c>
    </row>
    <row r="28" spans="1:10" x14ac:dyDescent="0.25">
      <c r="A28" s="123" t="s">
        <v>45</v>
      </c>
      <c r="B28" s="55">
        <v>0.15</v>
      </c>
      <c r="C28" s="124">
        <v>0.62</v>
      </c>
      <c r="D28" s="124">
        <v>3.23</v>
      </c>
      <c r="F28" s="113" t="s">
        <v>55</v>
      </c>
      <c r="G28" s="113">
        <v>52</v>
      </c>
      <c r="H28" s="113">
        <v>17</v>
      </c>
      <c r="I28" s="113">
        <v>28</v>
      </c>
      <c r="J28" s="43">
        <f t="shared" ref="J28:J37" si="1">1-((1.2*H28)/(I28*24))</f>
        <v>0.96964285714285714</v>
      </c>
    </row>
    <row r="29" spans="1:10" x14ac:dyDescent="0.25">
      <c r="C29" s="115"/>
      <c r="D29" s="115"/>
      <c r="F29" s="113" t="s">
        <v>56</v>
      </c>
      <c r="G29" s="113">
        <v>69</v>
      </c>
      <c r="H29" s="113">
        <v>21</v>
      </c>
      <c r="I29" s="113">
        <v>31</v>
      </c>
      <c r="J29" s="43">
        <f t="shared" si="1"/>
        <v>0.96612903225806457</v>
      </c>
    </row>
    <row r="30" spans="1:10" x14ac:dyDescent="0.25">
      <c r="A30" s="185" t="s">
        <v>21</v>
      </c>
      <c r="B30" s="22"/>
      <c r="C30" s="23"/>
      <c r="D30" s="23"/>
      <c r="E30" s="28"/>
      <c r="F30" s="113" t="s">
        <v>57</v>
      </c>
      <c r="G30" s="113">
        <v>44</v>
      </c>
      <c r="H30" s="113">
        <v>17</v>
      </c>
      <c r="I30" s="113">
        <v>30</v>
      </c>
      <c r="J30" s="43">
        <f t="shared" si="1"/>
        <v>0.97166666666666668</v>
      </c>
    </row>
    <row r="31" spans="1:10" x14ac:dyDescent="0.25">
      <c r="A31" s="186"/>
      <c r="B31" s="24"/>
      <c r="C31" s="25"/>
      <c r="D31" s="25"/>
      <c r="E31" s="28"/>
      <c r="F31" s="113" t="s">
        <v>58</v>
      </c>
      <c r="G31" s="113">
        <v>185.8</v>
      </c>
      <c r="H31" s="113">
        <v>87</v>
      </c>
      <c r="I31" s="113">
        <v>31</v>
      </c>
      <c r="J31" s="43">
        <f t="shared" si="1"/>
        <v>0.85967741935483866</v>
      </c>
    </row>
    <row r="32" spans="1:10" x14ac:dyDescent="0.25">
      <c r="A32" s="186"/>
      <c r="B32" s="26"/>
      <c r="C32" s="27"/>
      <c r="D32" s="27"/>
      <c r="E32" s="28"/>
      <c r="F32" s="113" t="s">
        <v>59</v>
      </c>
      <c r="G32" s="113">
        <v>119.2</v>
      </c>
      <c r="H32" s="113">
        <v>37</v>
      </c>
      <c r="I32" s="113">
        <v>30</v>
      </c>
      <c r="J32" s="43">
        <f t="shared" si="1"/>
        <v>0.93833333333333335</v>
      </c>
    </row>
    <row r="33" spans="1:14" x14ac:dyDescent="0.25">
      <c r="A33" s="186"/>
      <c r="B33" s="197" t="s">
        <v>293</v>
      </c>
      <c r="C33" s="198"/>
      <c r="D33" s="198"/>
      <c r="E33" s="29"/>
      <c r="F33" s="113" t="s">
        <v>60</v>
      </c>
      <c r="G33" s="113">
        <v>17.8</v>
      </c>
      <c r="H33" s="113">
        <v>16</v>
      </c>
      <c r="I33" s="113">
        <v>31</v>
      </c>
      <c r="J33" s="43">
        <f t="shared" si="1"/>
        <v>0.97419354838709682</v>
      </c>
    </row>
    <row r="34" spans="1:14" x14ac:dyDescent="0.25">
      <c r="A34" s="186"/>
      <c r="B34" s="200"/>
      <c r="C34" s="201"/>
      <c r="D34" s="201"/>
      <c r="E34" s="29"/>
      <c r="F34" s="113" t="s">
        <v>61</v>
      </c>
      <c r="G34" s="113">
        <v>70.2</v>
      </c>
      <c r="H34" s="113">
        <v>41</v>
      </c>
      <c r="I34" s="113">
        <v>31</v>
      </c>
      <c r="J34" s="43">
        <f t="shared" si="1"/>
        <v>0.93387096774193545</v>
      </c>
    </row>
    <row r="35" spans="1:14" x14ac:dyDescent="0.25">
      <c r="A35" s="186"/>
      <c r="B35" s="200"/>
      <c r="C35" s="201"/>
      <c r="D35" s="201"/>
      <c r="E35" s="29"/>
      <c r="F35" s="113" t="s">
        <v>62</v>
      </c>
      <c r="G35" s="113">
        <v>25.2</v>
      </c>
      <c r="H35" s="113">
        <v>20</v>
      </c>
      <c r="I35" s="113">
        <v>30</v>
      </c>
      <c r="J35" s="43">
        <f t="shared" si="1"/>
        <v>0.96666666666666667</v>
      </c>
    </row>
    <row r="36" spans="1:14" x14ac:dyDescent="0.25">
      <c r="A36" s="186"/>
      <c r="B36" s="200"/>
      <c r="C36" s="201"/>
      <c r="D36" s="201"/>
      <c r="E36" s="29"/>
      <c r="F36" s="113" t="s">
        <v>63</v>
      </c>
      <c r="G36" s="113">
        <v>54.4</v>
      </c>
      <c r="H36" s="113">
        <v>29</v>
      </c>
      <c r="I36" s="113">
        <v>31</v>
      </c>
      <c r="J36" s="43">
        <f t="shared" si="1"/>
        <v>0.95322580645161292</v>
      </c>
    </row>
    <row r="37" spans="1:14" x14ac:dyDescent="0.25">
      <c r="A37" s="186"/>
      <c r="B37" s="200"/>
      <c r="C37" s="201"/>
      <c r="D37" s="201"/>
      <c r="E37" s="29"/>
      <c r="F37" s="113" t="s">
        <v>64</v>
      </c>
      <c r="G37" s="44">
        <v>48.6</v>
      </c>
      <c r="H37" s="113">
        <v>30</v>
      </c>
      <c r="I37" s="113">
        <v>30</v>
      </c>
      <c r="J37" s="43">
        <f t="shared" si="1"/>
        <v>0.95</v>
      </c>
    </row>
    <row r="38" spans="1:14" x14ac:dyDescent="0.25">
      <c r="A38" s="186"/>
      <c r="B38" s="200"/>
      <c r="C38" s="201"/>
      <c r="D38" s="201"/>
      <c r="E38" s="29"/>
      <c r="F38" s="113" t="s">
        <v>65</v>
      </c>
      <c r="G38" s="113">
        <v>91.4</v>
      </c>
      <c r="H38" s="113">
        <v>22</v>
      </c>
      <c r="I38" s="113">
        <v>31</v>
      </c>
      <c r="J38" s="43">
        <f>1-((1.2*H38)/(I38*24))</f>
        <v>0.96451612903225803</v>
      </c>
    </row>
    <row r="39" spans="1:14" x14ac:dyDescent="0.25">
      <c r="A39" s="187"/>
      <c r="B39" s="203"/>
      <c r="C39" s="204"/>
      <c r="D39" s="204"/>
      <c r="E39" s="29"/>
      <c r="F39" s="95" t="s">
        <v>66</v>
      </c>
      <c r="G39" s="7">
        <f>(1-(1.2*SUM(H27:H38))/8760)</f>
        <v>0.95383561643835613</v>
      </c>
      <c r="H39" s="2"/>
      <c r="I39" s="32"/>
      <c r="J39" s="2"/>
    </row>
    <row r="41" spans="1:14" x14ac:dyDescent="0.25">
      <c r="A41" s="174" t="s">
        <v>67</v>
      </c>
      <c r="B41" s="217" t="s">
        <v>68</v>
      </c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</row>
    <row r="42" spans="1:14" x14ac:dyDescent="0.25">
      <c r="A42" s="174"/>
      <c r="B42" s="174" t="s">
        <v>69</v>
      </c>
      <c r="C42" s="174"/>
      <c r="D42" s="174"/>
      <c r="E42" s="174"/>
      <c r="F42" s="174"/>
      <c r="G42" s="174"/>
      <c r="H42" s="174"/>
      <c r="I42" s="174" t="s">
        <v>294</v>
      </c>
      <c r="J42" s="174"/>
      <c r="K42" s="174"/>
      <c r="L42" s="174" t="s">
        <v>295</v>
      </c>
      <c r="M42" s="174"/>
      <c r="N42" s="174"/>
    </row>
    <row r="43" spans="1:14" x14ac:dyDescent="0.25">
      <c r="A43" s="174"/>
      <c r="B43" s="144" t="s">
        <v>2</v>
      </c>
      <c r="C43" s="144" t="s">
        <v>25</v>
      </c>
      <c r="D43" s="144" t="s">
        <v>72</v>
      </c>
      <c r="E43" s="144" t="s">
        <v>73</v>
      </c>
      <c r="F43" s="144" t="s">
        <v>74</v>
      </c>
      <c r="G43" s="144" t="s">
        <v>4</v>
      </c>
      <c r="H43" s="144" t="s">
        <v>70</v>
      </c>
      <c r="I43" s="144" t="s">
        <v>2</v>
      </c>
      <c r="J43" s="144" t="s">
        <v>25</v>
      </c>
      <c r="K43" s="144" t="s">
        <v>72</v>
      </c>
      <c r="L43" s="144" t="s">
        <v>2</v>
      </c>
      <c r="M43" s="144" t="s">
        <v>25</v>
      </c>
      <c r="N43" s="144" t="s">
        <v>72</v>
      </c>
    </row>
    <row r="44" spans="1:14" x14ac:dyDescent="0.25">
      <c r="A44" s="114" t="s">
        <v>71</v>
      </c>
      <c r="B44" s="90">
        <v>0.17489827604766656</v>
      </c>
      <c r="C44" s="90">
        <v>0.17489827604766656</v>
      </c>
      <c r="D44" s="90">
        <v>0.17489827604766656</v>
      </c>
      <c r="E44" s="90">
        <v>5.4345140567386743</v>
      </c>
      <c r="F44" s="90">
        <v>0.21032135261668511</v>
      </c>
      <c r="G44" s="90">
        <v>1.0383730075038093</v>
      </c>
      <c r="H44" s="90">
        <v>0.24766340643796464</v>
      </c>
      <c r="I44" s="125">
        <v>6.7633804693835883E-2</v>
      </c>
      <c r="J44" s="125">
        <v>5.1332470377789451E-2</v>
      </c>
      <c r="K44" s="125">
        <v>2.7520218195668727E-2</v>
      </c>
      <c r="L44" s="125">
        <v>6.3494136177677976E-2</v>
      </c>
      <c r="M44" s="125">
        <v>3.1747068088838988E-2</v>
      </c>
      <c r="N44" s="125">
        <v>1.7137767759244575E-2</v>
      </c>
    </row>
  </sheetData>
  <sheetProtection algorithmName="SHA-512" hashValue="EbXlo8dvGmKYxhwTOhaTbbnPUCOJP2C7mlKFmajCYqjCGwiOI2gWzQL7qlLQ9qm8bg8T9w3Nm9HPXYQCy6+/Qw==" saltValue="kHKW+eByzuofQjk0XGpECg==" spinCount="100000" sheet="1" objects="1" scenarios="1"/>
  <mergeCells count="22">
    <mergeCell ref="A41:A43"/>
    <mergeCell ref="B41:N41"/>
    <mergeCell ref="B42:H42"/>
    <mergeCell ref="I42:K42"/>
    <mergeCell ref="L42:N42"/>
    <mergeCell ref="F25:J25"/>
    <mergeCell ref="A25:D25"/>
    <mergeCell ref="A26:A27"/>
    <mergeCell ref="B26:D26"/>
    <mergeCell ref="A30:A39"/>
    <mergeCell ref="B33:D39"/>
    <mergeCell ref="F3:J3"/>
    <mergeCell ref="A19:A21"/>
    <mergeCell ref="B19:H19"/>
    <mergeCell ref="B20:H20"/>
    <mergeCell ref="A2:D2"/>
    <mergeCell ref="A3:D3"/>
    <mergeCell ref="A4:A5"/>
    <mergeCell ref="B4:D4"/>
    <mergeCell ref="B10:D11"/>
    <mergeCell ref="A10:A17"/>
    <mergeCell ref="B12:D1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16" defaultRowHeight="15" customHeight="1" x14ac:dyDescent="0.2"/>
  <cols>
    <col min="1" max="1" width="33.85546875" style="1" customWidth="1"/>
    <col min="2" max="2" width="25.28515625" style="1" customWidth="1"/>
    <col min="3" max="3" width="22.85546875" style="1" customWidth="1"/>
    <col min="4" max="6" width="16" style="1"/>
    <col min="7" max="7" width="22.28515625" style="1" customWidth="1"/>
    <col min="8" max="16384" width="16" style="1"/>
  </cols>
  <sheetData>
    <row r="1" spans="1:4" ht="15" customHeight="1" x14ac:dyDescent="0.2">
      <c r="A1" s="98" t="s">
        <v>338</v>
      </c>
      <c r="B1" s="34" t="s">
        <v>337</v>
      </c>
    </row>
    <row r="2" spans="1:4" ht="15" customHeight="1" x14ac:dyDescent="0.2">
      <c r="A2" s="219" t="s">
        <v>113</v>
      </c>
      <c r="B2" s="219"/>
      <c r="C2" s="219"/>
    </row>
    <row r="3" spans="1:4" ht="15" customHeight="1" x14ac:dyDescent="0.2">
      <c r="A3" s="51" t="s">
        <v>318</v>
      </c>
      <c r="B3" s="142" t="s">
        <v>316</v>
      </c>
      <c r="C3" s="142" t="s">
        <v>317</v>
      </c>
    </row>
    <row r="4" spans="1:4" ht="15" customHeight="1" x14ac:dyDescent="0.2">
      <c r="A4" s="6" t="s">
        <v>315</v>
      </c>
      <c r="B4" s="6" t="s">
        <v>319</v>
      </c>
      <c r="C4" s="32" t="s">
        <v>320</v>
      </c>
    </row>
    <row r="5" spans="1:4" ht="15" customHeight="1" x14ac:dyDescent="0.2">
      <c r="A5" s="6" t="s">
        <v>321</v>
      </c>
      <c r="B5" s="6" t="s">
        <v>319</v>
      </c>
      <c r="C5" s="32" t="s">
        <v>322</v>
      </c>
    </row>
    <row r="6" spans="1:4" ht="15" customHeight="1" x14ac:dyDescent="0.2">
      <c r="A6" s="6" t="s">
        <v>323</v>
      </c>
      <c r="B6" s="6" t="s">
        <v>319</v>
      </c>
      <c r="C6" s="32" t="s">
        <v>326</v>
      </c>
    </row>
    <row r="7" spans="1:4" ht="15" customHeight="1" x14ac:dyDescent="0.2">
      <c r="A7" s="6" t="s">
        <v>324</v>
      </c>
      <c r="B7" s="6" t="s">
        <v>327</v>
      </c>
      <c r="C7" s="32" t="s">
        <v>320</v>
      </c>
    </row>
    <row r="8" spans="1:4" ht="15" customHeight="1" x14ac:dyDescent="0.2">
      <c r="A8" s="6" t="s">
        <v>325</v>
      </c>
      <c r="B8" s="6" t="s">
        <v>328</v>
      </c>
    </row>
    <row r="9" spans="1:4" ht="15" customHeight="1" x14ac:dyDescent="0.2">
      <c r="A9" s="142"/>
      <c r="B9" s="142"/>
    </row>
    <row r="10" spans="1:4" ht="15" customHeight="1" x14ac:dyDescent="0.2">
      <c r="A10" s="65" t="s">
        <v>132</v>
      </c>
      <c r="C10" s="140"/>
    </row>
    <row r="11" spans="1:4" ht="15" customHeight="1" x14ac:dyDescent="0.2">
      <c r="A11" s="104">
        <v>1383770.02</v>
      </c>
      <c r="B11" s="105"/>
      <c r="C11" s="130"/>
    </row>
    <row r="12" spans="1:4" ht="15" customHeight="1" x14ac:dyDescent="0.2">
      <c r="D12" s="47"/>
    </row>
    <row r="13" spans="1:4" ht="15" customHeight="1" x14ac:dyDescent="0.2">
      <c r="A13" s="102" t="s">
        <v>29</v>
      </c>
      <c r="B13" s="102" t="s">
        <v>153</v>
      </c>
      <c r="C13" s="52" t="s">
        <v>164</v>
      </c>
    </row>
    <row r="14" spans="1:4" ht="15" customHeight="1" x14ac:dyDescent="0.2">
      <c r="A14" s="3" t="s">
        <v>152</v>
      </c>
      <c r="B14" s="6">
        <v>161</v>
      </c>
      <c r="C14" s="121">
        <f t="shared" ref="C14:C25" si="0">(B14/$B$26)*$A$11</f>
        <v>43164.058825124972</v>
      </c>
    </row>
    <row r="15" spans="1:4" ht="15" customHeight="1" x14ac:dyDescent="0.2">
      <c r="A15" s="3" t="s">
        <v>157</v>
      </c>
      <c r="B15" s="6">
        <v>494</v>
      </c>
      <c r="C15" s="121">
        <f t="shared" si="0"/>
        <v>132441.27366218469</v>
      </c>
      <c r="D15" s="50"/>
    </row>
    <row r="16" spans="1:4" ht="15" customHeight="1" x14ac:dyDescent="0.2">
      <c r="A16" s="3" t="s">
        <v>158</v>
      </c>
      <c r="B16" s="6">
        <v>161</v>
      </c>
      <c r="C16" s="121">
        <f t="shared" si="0"/>
        <v>43164.058825124972</v>
      </c>
      <c r="D16" s="50"/>
    </row>
    <row r="17" spans="1:4" ht="15" customHeight="1" x14ac:dyDescent="0.2">
      <c r="A17" s="3" t="s">
        <v>159</v>
      </c>
      <c r="B17" s="6">
        <v>1264</v>
      </c>
      <c r="C17" s="121">
        <f t="shared" si="0"/>
        <v>338878.07673886936</v>
      </c>
      <c r="D17" s="50"/>
    </row>
    <row r="18" spans="1:4" ht="15" customHeight="1" x14ac:dyDescent="0.2">
      <c r="A18" s="3" t="s">
        <v>156</v>
      </c>
      <c r="B18" s="6">
        <v>534</v>
      </c>
      <c r="C18" s="121">
        <f t="shared" si="0"/>
        <v>143165.26343240208</v>
      </c>
      <c r="D18" s="50"/>
    </row>
    <row r="19" spans="1:4" ht="15" customHeight="1" x14ac:dyDescent="0.2">
      <c r="A19" s="3" t="s">
        <v>155</v>
      </c>
      <c r="B19" s="6">
        <v>481</v>
      </c>
      <c r="C19" s="121">
        <f t="shared" si="0"/>
        <v>128955.97698686403</v>
      </c>
      <c r="D19" s="50"/>
    </row>
    <row r="20" spans="1:4" ht="15" customHeight="1" x14ac:dyDescent="0.2">
      <c r="A20" s="3" t="s">
        <v>160</v>
      </c>
      <c r="B20" s="6">
        <v>960</v>
      </c>
      <c r="C20" s="121">
        <f t="shared" si="0"/>
        <v>257375.75448521721</v>
      </c>
      <c r="D20" s="50"/>
    </row>
    <row r="21" spans="1:4" ht="15" customHeight="1" x14ac:dyDescent="0.2">
      <c r="A21" s="2" t="s">
        <v>162</v>
      </c>
      <c r="B21" s="32">
        <v>273</v>
      </c>
      <c r="C21" s="121">
        <f t="shared" si="0"/>
        <v>73191.230181733641</v>
      </c>
      <c r="D21" s="50"/>
    </row>
    <row r="22" spans="1:4" ht="15" customHeight="1" x14ac:dyDescent="0.2">
      <c r="A22" s="2" t="s">
        <v>161</v>
      </c>
      <c r="B22" s="32">
        <v>82.4</v>
      </c>
      <c r="C22" s="121">
        <f t="shared" si="0"/>
        <v>22091.41892664781</v>
      </c>
      <c r="D22" s="50"/>
    </row>
    <row r="23" spans="1:4" ht="15" customHeight="1" x14ac:dyDescent="0.2">
      <c r="A23" s="2" t="s">
        <v>157</v>
      </c>
      <c r="B23" s="32">
        <v>114</v>
      </c>
      <c r="C23" s="121">
        <f t="shared" si="0"/>
        <v>30563.370845119545</v>
      </c>
      <c r="D23" s="50"/>
    </row>
    <row r="24" spans="1:4" ht="15" customHeight="1" x14ac:dyDescent="0.2">
      <c r="A24" s="2" t="s">
        <v>158</v>
      </c>
      <c r="B24" s="32">
        <v>300</v>
      </c>
      <c r="C24" s="121">
        <f t="shared" si="0"/>
        <v>80429.923276630376</v>
      </c>
      <c r="D24" s="50"/>
    </row>
    <row r="25" spans="1:4" ht="15" customHeight="1" x14ac:dyDescent="0.2">
      <c r="A25" s="2" t="s">
        <v>156</v>
      </c>
      <c r="B25" s="32">
        <v>337</v>
      </c>
      <c r="C25" s="121">
        <f t="shared" si="0"/>
        <v>90349.613814081458</v>
      </c>
      <c r="D25" s="50"/>
    </row>
    <row r="26" spans="1:4" ht="15" customHeight="1" x14ac:dyDescent="0.2">
      <c r="A26" s="51" t="s">
        <v>163</v>
      </c>
      <c r="B26" s="104">
        <f>SUM(B14:B25)</f>
        <v>5161.3999999999996</v>
      </c>
      <c r="C26" s="104">
        <f>SUM(C14:C25)</f>
        <v>1383770.0200000003</v>
      </c>
      <c r="D26" s="50"/>
    </row>
    <row r="28" spans="1:4" ht="15" customHeight="1" x14ac:dyDescent="0.2">
      <c r="A28" s="220" t="s">
        <v>141</v>
      </c>
      <c r="B28" s="220"/>
      <c r="C28" s="34"/>
    </row>
    <row r="29" spans="1:4" ht="15" customHeight="1" x14ac:dyDescent="0.2">
      <c r="A29" s="19" t="s">
        <v>134</v>
      </c>
      <c r="B29" s="32">
        <v>118</v>
      </c>
    </row>
    <row r="30" spans="1:4" ht="15" customHeight="1" x14ac:dyDescent="0.2">
      <c r="A30" s="19" t="s">
        <v>140</v>
      </c>
      <c r="B30" s="32">
        <v>325</v>
      </c>
    </row>
    <row r="31" spans="1:4" ht="15" customHeight="1" x14ac:dyDescent="0.2">
      <c r="A31" s="13"/>
      <c r="B31" s="2"/>
    </row>
    <row r="32" spans="1:4" ht="15" customHeight="1" x14ac:dyDescent="0.2">
      <c r="A32" s="220" t="s">
        <v>142</v>
      </c>
      <c r="B32" s="220"/>
    </row>
    <row r="33" spans="1:4" ht="15" customHeight="1" x14ac:dyDescent="0.2">
      <c r="A33" s="3" t="s">
        <v>134</v>
      </c>
      <c r="B33" s="32">
        <v>792</v>
      </c>
    </row>
    <row r="34" spans="1:4" ht="15" customHeight="1" x14ac:dyDescent="0.2">
      <c r="A34" s="19" t="s">
        <v>140</v>
      </c>
      <c r="B34" s="6">
        <v>2155</v>
      </c>
    </row>
    <row r="35" spans="1:4" ht="15" customHeight="1" x14ac:dyDescent="0.2">
      <c r="A35" s="19"/>
      <c r="B35" s="3"/>
    </row>
    <row r="36" spans="1:4" ht="15" customHeight="1" x14ac:dyDescent="0.2">
      <c r="A36" s="220" t="s">
        <v>143</v>
      </c>
      <c r="B36" s="220"/>
      <c r="C36" s="34"/>
    </row>
    <row r="37" spans="1:4" ht="15" customHeight="1" x14ac:dyDescent="0.2">
      <c r="A37" s="19" t="s">
        <v>144</v>
      </c>
      <c r="B37" s="153">
        <v>15900</v>
      </c>
    </row>
    <row r="38" spans="1:4" ht="15" customHeight="1" x14ac:dyDescent="0.2">
      <c r="A38" s="19" t="s">
        <v>145</v>
      </c>
      <c r="B38" s="153">
        <v>29525</v>
      </c>
    </row>
    <row r="39" spans="1:4" ht="15" customHeight="1" x14ac:dyDescent="0.2">
      <c r="A39" s="33" t="s">
        <v>76</v>
      </c>
      <c r="B39" s="32" t="s">
        <v>135</v>
      </c>
    </row>
    <row r="40" spans="1:4" ht="15" customHeight="1" x14ac:dyDescent="0.2">
      <c r="D40" s="109"/>
    </row>
    <row r="41" spans="1:4" ht="15" customHeight="1" x14ac:dyDescent="0.2">
      <c r="A41" s="220" t="s">
        <v>96</v>
      </c>
      <c r="B41" s="220"/>
    </row>
    <row r="42" spans="1:4" ht="15" customHeight="1" x14ac:dyDescent="0.2">
      <c r="A42" s="2" t="s">
        <v>134</v>
      </c>
      <c r="B42" s="32">
        <v>36</v>
      </c>
    </row>
    <row r="43" spans="1:4" ht="15" customHeight="1" x14ac:dyDescent="0.2">
      <c r="A43" s="1" t="s">
        <v>145</v>
      </c>
      <c r="B43" s="32">
        <v>4</v>
      </c>
      <c r="C43" s="2"/>
    </row>
    <row r="45" spans="1:4" ht="15" customHeight="1" x14ac:dyDescent="0.2">
      <c r="A45" s="220" t="s">
        <v>329</v>
      </c>
      <c r="B45" s="220"/>
    </row>
    <row r="46" spans="1:4" ht="15" customHeight="1" x14ac:dyDescent="0.2">
      <c r="A46" s="40" t="s">
        <v>330</v>
      </c>
      <c r="B46" s="32">
        <v>180</v>
      </c>
    </row>
    <row r="47" spans="1:4" ht="15" customHeight="1" x14ac:dyDescent="0.2">
      <c r="A47" s="2" t="s">
        <v>331</v>
      </c>
      <c r="B47" s="32">
        <v>161</v>
      </c>
    </row>
  </sheetData>
  <sheetProtection algorithmName="SHA-512" hashValue="eusZXJ7AGUqglBK8fHmtojYECWk/S5IeIAenimI6r8Um+V5CmraljKcBsnwO2brEuLhWcXn/E5XSI3XdtvioTg==" saltValue="0DZczwsqSNQZtsk2RvqOFQ==" spinCount="100000" sheet="1" objects="1" scenarios="1"/>
  <mergeCells count="6">
    <mergeCell ref="A2:C2"/>
    <mergeCell ref="A45:B45"/>
    <mergeCell ref="A36:B36"/>
    <mergeCell ref="A41:B41"/>
    <mergeCell ref="A28:B28"/>
    <mergeCell ref="A32:B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K27" sqref="K27"/>
    </sheetView>
  </sheetViews>
  <sheetFormatPr defaultRowHeight="15" x14ac:dyDescent="0.25"/>
  <cols>
    <col min="1" max="1" width="27.28515625" bestFit="1" customWidth="1"/>
    <col min="2" max="2" width="15.7109375" customWidth="1"/>
    <col min="3" max="3" width="13.42578125" customWidth="1"/>
    <col min="4" max="4" width="16.28515625" customWidth="1"/>
    <col min="5" max="5" width="13.85546875" customWidth="1"/>
    <col min="6" max="6" width="14.7109375" customWidth="1"/>
    <col min="7" max="7" width="15" customWidth="1"/>
    <col min="8" max="12" width="10.7109375" customWidth="1"/>
  </cols>
  <sheetData>
    <row r="1" spans="1:12" ht="22.5" customHeight="1" x14ac:dyDescent="0.25">
      <c r="A1" s="222" t="s">
        <v>0</v>
      </c>
      <c r="B1" s="224" t="s">
        <v>344</v>
      </c>
      <c r="C1" s="224" t="s">
        <v>345</v>
      </c>
      <c r="D1" s="223" t="s">
        <v>77</v>
      </c>
      <c r="E1" s="223" t="s">
        <v>165</v>
      </c>
      <c r="F1" s="223"/>
      <c r="G1" s="223"/>
      <c r="H1" s="223" t="s">
        <v>133</v>
      </c>
      <c r="I1" s="222" t="s">
        <v>1</v>
      </c>
      <c r="J1" s="222"/>
      <c r="K1" s="222"/>
    </row>
    <row r="2" spans="1:12" x14ac:dyDescent="0.25">
      <c r="A2" s="222"/>
      <c r="B2" s="224"/>
      <c r="C2" s="224"/>
      <c r="D2" s="223"/>
      <c r="E2" s="156" t="s">
        <v>24</v>
      </c>
      <c r="F2" s="156" t="s">
        <v>3</v>
      </c>
      <c r="G2" s="156" t="s">
        <v>101</v>
      </c>
      <c r="H2" s="223"/>
      <c r="I2" s="156" t="s">
        <v>24</v>
      </c>
      <c r="J2" s="156" t="s">
        <v>3</v>
      </c>
      <c r="K2" s="156" t="s">
        <v>101</v>
      </c>
    </row>
    <row r="3" spans="1:12" x14ac:dyDescent="0.25">
      <c r="A3" s="53" t="s">
        <v>136</v>
      </c>
      <c r="B3" s="215">
        <v>-20.317350999999999</v>
      </c>
      <c r="C3" s="215">
        <v>-40.402070999999999</v>
      </c>
      <c r="D3" s="138">
        <f>Dados!B29*Dados!B42</f>
        <v>4248</v>
      </c>
      <c r="E3" s="157">
        <f>'FE-Perf e Det'!$C$6</f>
        <v>0.59</v>
      </c>
      <c r="F3" s="157">
        <f>'FE-Perf e Det'!$D$6</f>
        <v>0.31</v>
      </c>
      <c r="G3" s="157">
        <f>0.03*E3</f>
        <v>1.7699999999999997E-2</v>
      </c>
      <c r="H3" s="32">
        <v>74</v>
      </c>
      <c r="I3" s="158">
        <f>(D3*E3/8760)*(1-H3/100)</f>
        <v>7.4388493150684923E-2</v>
      </c>
      <c r="J3" s="158">
        <f>(F3*D3/8760)*(1-H3/100)</f>
        <v>3.9085479452054796E-2</v>
      </c>
      <c r="K3" s="159">
        <f>(G3*D3/8760)*(1-H3/100)</f>
        <v>2.2316547945205475E-3</v>
      </c>
    </row>
    <row r="4" spans="1:12" x14ac:dyDescent="0.25">
      <c r="A4" s="106" t="s">
        <v>137</v>
      </c>
      <c r="B4" s="221"/>
      <c r="C4" s="221"/>
      <c r="D4" s="107">
        <f>Dados!B30*Dados!B43</f>
        <v>1300</v>
      </c>
      <c r="E4" s="62">
        <f>'FE-Perf e Det'!$C$6</f>
        <v>0.59</v>
      </c>
      <c r="F4" s="62">
        <f>'FE-Perf e Det'!$D$6</f>
        <v>0.31</v>
      </c>
      <c r="G4" s="62">
        <f>0.03*E4</f>
        <v>1.7699999999999997E-2</v>
      </c>
      <c r="H4" s="32">
        <v>74</v>
      </c>
      <c r="I4" s="160">
        <f>(D4*E4/8760)*(1-H4/100)</f>
        <v>2.2764840182648401E-2</v>
      </c>
      <c r="J4" s="160">
        <f>(F4*D4/8760)*(1-H4/100)</f>
        <v>1.1961187214611873E-2</v>
      </c>
      <c r="K4" s="159">
        <f>(G4*D4/8760)*(1-H4/100)</f>
        <v>6.8294520547945194E-4</v>
      </c>
    </row>
    <row r="5" spans="1:12" x14ac:dyDescent="0.25">
      <c r="A5" s="225" t="s">
        <v>346</v>
      </c>
      <c r="B5" s="181"/>
      <c r="C5" s="181"/>
      <c r="D5" s="181"/>
      <c r="E5" s="181"/>
      <c r="F5" s="181"/>
      <c r="G5" s="181"/>
      <c r="H5" s="226"/>
      <c r="I5" s="31">
        <f>SUM(I3:I4)</f>
        <v>9.7153333333333328E-2</v>
      </c>
      <c r="J5" s="31">
        <f t="shared" ref="J5:K5" si="0">SUM(J3:J4)</f>
        <v>5.1046666666666671E-2</v>
      </c>
      <c r="K5" s="15">
        <f t="shared" si="0"/>
        <v>2.9145999999999994E-3</v>
      </c>
    </row>
    <row r="6" spans="1:12" x14ac:dyDescent="0.25">
      <c r="A6" s="63"/>
    </row>
    <row r="8" spans="1:12" ht="15" customHeight="1" x14ac:dyDescent="0.25">
      <c r="A8" s="222" t="s">
        <v>0</v>
      </c>
      <c r="B8" s="224" t="s">
        <v>344</v>
      </c>
      <c r="C8" s="224" t="s">
        <v>345</v>
      </c>
      <c r="D8" s="223" t="s">
        <v>166</v>
      </c>
      <c r="E8" s="223" t="s">
        <v>75</v>
      </c>
      <c r="F8" s="223" t="s">
        <v>308</v>
      </c>
      <c r="G8" s="223"/>
      <c r="H8" s="222" t="s">
        <v>1</v>
      </c>
      <c r="I8" s="222"/>
      <c r="J8" s="222"/>
      <c r="K8" s="222"/>
      <c r="L8" s="222"/>
    </row>
    <row r="9" spans="1:12" ht="24.75" customHeight="1" x14ac:dyDescent="0.25">
      <c r="A9" s="222"/>
      <c r="B9" s="224"/>
      <c r="C9" s="224"/>
      <c r="D9" s="223"/>
      <c r="E9" s="223"/>
      <c r="F9" s="155" t="s">
        <v>310</v>
      </c>
      <c r="G9" s="155" t="s">
        <v>311</v>
      </c>
      <c r="H9" s="156" t="s">
        <v>24</v>
      </c>
      <c r="I9" s="156" t="s">
        <v>46</v>
      </c>
      <c r="J9" s="156" t="s">
        <v>47</v>
      </c>
      <c r="K9" s="156" t="s">
        <v>5</v>
      </c>
      <c r="L9" s="156" t="s">
        <v>4</v>
      </c>
    </row>
    <row r="10" spans="1:12" x14ac:dyDescent="0.25">
      <c r="A10" s="53" t="s">
        <v>138</v>
      </c>
      <c r="B10" s="215">
        <v>-20.317350999999999</v>
      </c>
      <c r="C10" s="215">
        <v>-40.402070999999999</v>
      </c>
      <c r="D10" s="138">
        <f>Dados!B33</f>
        <v>792</v>
      </c>
      <c r="E10" s="54">
        <f>Dados!B42</f>
        <v>36</v>
      </c>
      <c r="F10" s="138">
        <f>(Dados!B37*Dados!B42/1000)/2</f>
        <v>286.2</v>
      </c>
      <c r="G10" s="138">
        <f>(Dados!B37*Dados!B42/1000)/2</f>
        <v>286.2</v>
      </c>
      <c r="H10" s="7">
        <f>0.00022*(D10^1.5)*E10/8760</f>
        <v>2.0151568158697845E-2</v>
      </c>
      <c r="I10" s="14">
        <f>H10*0.52</f>
        <v>1.047881544252288E-2</v>
      </c>
      <c r="J10" s="14">
        <f>H10*0.03</f>
        <v>6.0454704476093528E-4</v>
      </c>
      <c r="K10" s="14">
        <f>$F$10*'FE-Perf e Det'!$D$20/8760</f>
        <v>6.534246575342466E-3</v>
      </c>
      <c r="L10" s="84">
        <f>((F10*'FE-Perf e Det'!$C$20)+(G10*'FE-Perf e Det'!$C$27))/8760</f>
        <v>1.6008904109589039</v>
      </c>
    </row>
    <row r="11" spans="1:12" x14ac:dyDescent="0.25">
      <c r="A11" s="37" t="s">
        <v>139</v>
      </c>
      <c r="B11" s="221"/>
      <c r="C11" s="221"/>
      <c r="D11" s="107">
        <f>Dados!B34</f>
        <v>2155</v>
      </c>
      <c r="E11" s="108">
        <f>Dados!B43</f>
        <v>4</v>
      </c>
      <c r="F11" s="107">
        <f>(Dados!B38*Dados!B43/1000)/2</f>
        <v>59.05</v>
      </c>
      <c r="G11" s="107">
        <f>(Dados!B38*Dados!B43/1000)/2</f>
        <v>59.05</v>
      </c>
      <c r="H11" s="7">
        <f>0.00022*(D11^1.5)*E11/8760</f>
        <v>1.0049616236633979E-2</v>
      </c>
      <c r="I11" s="14">
        <f>H11*0.52</f>
        <v>5.2258004430496691E-3</v>
      </c>
      <c r="J11" s="14">
        <f>H11*0.03</f>
        <v>3.0148848709901936E-4</v>
      </c>
      <c r="K11" s="14">
        <f>$F$11*'FE-Perf e Det'!$D$20/8760</f>
        <v>1.3481735159817352E-3</v>
      </c>
      <c r="L11" s="84">
        <f>(($F$11*'FE-Perf e Det'!$C$20)+(G11*'FE-Perf e Det'!$C$27))/8760</f>
        <v>0.33030251141552508</v>
      </c>
    </row>
    <row r="12" spans="1:12" x14ac:dyDescent="0.25">
      <c r="A12" s="181" t="s">
        <v>346</v>
      </c>
      <c r="B12" s="181"/>
      <c r="C12" s="181"/>
      <c r="D12" s="181"/>
      <c r="E12" s="181"/>
      <c r="F12" s="181"/>
      <c r="G12" s="181"/>
      <c r="H12" s="15">
        <f>SUM(H10:H11)</f>
        <v>3.0201184395331822E-2</v>
      </c>
      <c r="I12" s="15">
        <f t="shared" ref="I12:L12" si="1">SUM(I10:I11)</f>
        <v>1.5704615885572551E-2</v>
      </c>
      <c r="J12" s="15">
        <f t="shared" si="1"/>
        <v>9.0603553185995465E-4</v>
      </c>
      <c r="K12" s="15">
        <f t="shared" si="1"/>
        <v>7.882420091324201E-3</v>
      </c>
      <c r="L12" s="15">
        <f t="shared" si="1"/>
        <v>1.9311929223744291</v>
      </c>
    </row>
    <row r="13" spans="1:12" x14ac:dyDescent="0.25">
      <c r="A13" s="2"/>
      <c r="F13" s="96"/>
      <c r="J13" s="88"/>
    </row>
  </sheetData>
  <sheetProtection algorithmName="SHA-512" hashValue="+tTDNcYdVvawM9jJ76vG2QwsBU9Se+d5Pvk0igBT0C78ZJg3X/alEzY51y8pkg960PVyCJRPylCJZDgaWqJnPg==" saltValue="o//KDBPk5ww9eFRQ7GjWUw==" spinCount="100000" sheet="1" objects="1" scenarios="1"/>
  <mergeCells count="20">
    <mergeCell ref="A1:A2"/>
    <mergeCell ref="D1:D2"/>
    <mergeCell ref="I1:K1"/>
    <mergeCell ref="E1:G1"/>
    <mergeCell ref="A8:A9"/>
    <mergeCell ref="D8:D9"/>
    <mergeCell ref="B1:B2"/>
    <mergeCell ref="C1:C2"/>
    <mergeCell ref="H1:H2"/>
    <mergeCell ref="A5:H5"/>
    <mergeCell ref="B8:B9"/>
    <mergeCell ref="C8:C9"/>
    <mergeCell ref="E8:E9"/>
    <mergeCell ref="F8:G8"/>
    <mergeCell ref="C3:C4"/>
    <mergeCell ref="B3:B4"/>
    <mergeCell ref="C10:C11"/>
    <mergeCell ref="B10:B11"/>
    <mergeCell ref="A12:G12"/>
    <mergeCell ref="H8:L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3"/>
  <sheetViews>
    <sheetView workbookViewId="0">
      <selection activeCell="J29" sqref="J29"/>
    </sheetView>
  </sheetViews>
  <sheetFormatPr defaultRowHeight="15" customHeight="1" x14ac:dyDescent="0.2"/>
  <cols>
    <col min="1" max="1" width="33.85546875" style="1" customWidth="1"/>
    <col min="2" max="2" width="19.28515625" style="1" customWidth="1"/>
    <col min="3" max="3" width="24.140625" style="1" customWidth="1"/>
    <col min="4" max="7" width="13.7109375" style="1" customWidth="1"/>
    <col min="8" max="8" width="9.28515625" style="1" customWidth="1"/>
    <col min="9" max="13" width="8.7109375" style="1" customWidth="1"/>
    <col min="14" max="14" width="11.7109375" style="1" bestFit="1" customWidth="1"/>
    <col min="15" max="16384" width="9.140625" style="1"/>
  </cols>
  <sheetData>
    <row r="1" spans="1:15" ht="15" customHeight="1" x14ac:dyDescent="0.2">
      <c r="A1" s="98" t="s">
        <v>338</v>
      </c>
    </row>
    <row r="2" spans="1:15" ht="15" customHeight="1" x14ac:dyDescent="0.2">
      <c r="A2" s="227" t="s">
        <v>0</v>
      </c>
      <c r="B2" s="227" t="s">
        <v>16</v>
      </c>
      <c r="C2" s="227" t="s">
        <v>17</v>
      </c>
      <c r="D2" s="224" t="s">
        <v>344</v>
      </c>
      <c r="E2" s="224" t="s">
        <v>345</v>
      </c>
      <c r="F2" s="227" t="s">
        <v>18</v>
      </c>
      <c r="G2" s="227" t="s">
        <v>19</v>
      </c>
      <c r="H2" s="229" t="s">
        <v>1</v>
      </c>
      <c r="I2" s="230"/>
      <c r="J2" s="230"/>
      <c r="K2" s="230"/>
      <c r="L2" s="230"/>
      <c r="M2" s="230"/>
      <c r="N2" s="230"/>
    </row>
    <row r="3" spans="1:15" ht="15" customHeight="1" x14ac:dyDescent="0.2">
      <c r="A3" s="228"/>
      <c r="B3" s="228"/>
      <c r="C3" s="228"/>
      <c r="D3" s="224"/>
      <c r="E3" s="224"/>
      <c r="F3" s="228"/>
      <c r="G3" s="228"/>
      <c r="H3" s="5" t="s">
        <v>2</v>
      </c>
      <c r="I3" s="5" t="s">
        <v>3</v>
      </c>
      <c r="J3" s="5" t="s">
        <v>20</v>
      </c>
      <c r="K3" s="5" t="s">
        <v>5</v>
      </c>
      <c r="L3" s="5" t="s">
        <v>6</v>
      </c>
      <c r="M3" s="5" t="s">
        <v>4</v>
      </c>
      <c r="N3" s="5" t="s">
        <v>347</v>
      </c>
    </row>
    <row r="4" spans="1:15" ht="15" customHeight="1" x14ac:dyDescent="0.2">
      <c r="A4" s="3" t="s">
        <v>167</v>
      </c>
      <c r="B4" s="10">
        <v>321</v>
      </c>
      <c r="C4" s="3" t="s">
        <v>184</v>
      </c>
      <c r="D4" s="231">
        <v>-20.317350999999999</v>
      </c>
      <c r="E4" s="231">
        <v>-40.402070999999999</v>
      </c>
      <c r="F4" s="6">
        <v>2</v>
      </c>
      <c r="G4" s="117">
        <v>1.85</v>
      </c>
      <c r="H4" s="30">
        <f t="shared" ref="H4" si="0">(INDEX(FE_Equip,MATCH($C4,Pot_Equip,0),2))*F4*G4/(24)</f>
        <v>5.6122646534318898E-3</v>
      </c>
      <c r="I4" s="30">
        <f>H4</f>
        <v>5.6122646534318898E-3</v>
      </c>
      <c r="J4" s="30">
        <f>H4</f>
        <v>5.6122646534318898E-3</v>
      </c>
      <c r="K4" s="30">
        <f t="shared" ref="K4" si="1">(INDEX(FE_Equip,MATCH($C4,Pot_Equip,0),3))*F4*G4/(24)</f>
        <v>0.15497928941154121</v>
      </c>
      <c r="L4" s="30">
        <f t="shared" ref="L4" si="2">(INDEX(FE_Equip,MATCH($C4,Pot_Equip,0),4))*F4*G4/(24)</f>
        <v>1.6042983350046406E-4</v>
      </c>
      <c r="M4" s="30">
        <f t="shared" ref="M4" si="3">(INDEX(FE_Equip,MATCH($C4,Pot_Equip,0),5))*F4*G4/(24)</f>
        <v>4.9591605114533928E-2</v>
      </c>
      <c r="N4" s="30">
        <f t="shared" ref="N4" si="4">(INDEX(FE_Equip,MATCH($C4,Pot_Equip,0),6))*F4*G4/(24)</f>
        <v>1.5210598707626227E-2</v>
      </c>
    </row>
    <row r="5" spans="1:15" ht="15" customHeight="1" x14ac:dyDescent="0.2">
      <c r="A5" s="3" t="s">
        <v>168</v>
      </c>
      <c r="B5" s="10">
        <v>180</v>
      </c>
      <c r="C5" s="3" t="s">
        <v>191</v>
      </c>
      <c r="D5" s="232"/>
      <c r="E5" s="232"/>
      <c r="F5" s="6">
        <v>2</v>
      </c>
      <c r="G5" s="117">
        <v>1.26</v>
      </c>
      <c r="H5" s="30">
        <f t="shared" ref="H5:H13" si="5">(INDEX(FE_Equip,MATCH($C5,Pot_Equip,0),2))*F5*G5/(24)</f>
        <v>2.2130175634626232E-3</v>
      </c>
      <c r="I5" s="30">
        <f t="shared" ref="I5:I14" si="6">H5</f>
        <v>2.2130175634626232E-3</v>
      </c>
      <c r="J5" s="30">
        <f t="shared" ref="J5:J13" si="7">H5</f>
        <v>2.2130175634626232E-3</v>
      </c>
      <c r="K5" s="30">
        <f t="shared" ref="K5:K13" si="8">(INDEX(FE_Equip,MATCH($C5,Pot_Equip,0),3))*F5*G5/(24)</f>
        <v>6.4923612237769185E-2</v>
      </c>
      <c r="L5" s="30">
        <f t="shared" ref="L5:L13" si="9">(INDEX(FE_Equip,MATCH($C5,Pot_Equip,0),4))*F5*G5/(24)</f>
        <v>8.5036056638789664E-5</v>
      </c>
      <c r="M5" s="30">
        <f t="shared" ref="M5:M13" si="10">(INDEX(FE_Equip,MATCH($C5,Pot_Equip,0),5))*F5*G5/(24)</f>
        <v>1.7918689826712717E-2</v>
      </c>
      <c r="N5" s="30">
        <f t="shared" ref="N5:N13" si="11">(INDEX(FE_Equip,MATCH($C5,Pot_Equip,0),6))*F5*G5/(24)</f>
        <v>6.5308159486214329E-3</v>
      </c>
    </row>
    <row r="6" spans="1:15" ht="15" customHeight="1" x14ac:dyDescent="0.2">
      <c r="A6" s="3" t="s">
        <v>169</v>
      </c>
      <c r="B6" s="10">
        <v>360</v>
      </c>
      <c r="C6" s="3" t="s">
        <v>199</v>
      </c>
      <c r="D6" s="232"/>
      <c r="E6" s="232"/>
      <c r="F6" s="6">
        <v>2</v>
      </c>
      <c r="G6" s="117">
        <v>5.67</v>
      </c>
      <c r="H6" s="30">
        <f t="shared" si="5"/>
        <v>9.9255113596375347E-3</v>
      </c>
      <c r="I6" s="30">
        <f t="shared" si="6"/>
        <v>9.9255113596375347E-3</v>
      </c>
      <c r="J6" s="30">
        <f t="shared" si="7"/>
        <v>9.9255113596375347E-3</v>
      </c>
      <c r="K6" s="30">
        <f t="shared" si="8"/>
        <v>0.28133394273059004</v>
      </c>
      <c r="L6" s="30">
        <f t="shared" si="9"/>
        <v>4.9169556362826776E-4</v>
      </c>
      <c r="M6" s="30">
        <f t="shared" si="10"/>
        <v>0.10934861613350143</v>
      </c>
      <c r="N6" s="30">
        <f t="shared" si="11"/>
        <v>3.5504022380199826E-2</v>
      </c>
    </row>
    <row r="7" spans="1:15" ht="15" customHeight="1" x14ac:dyDescent="0.2">
      <c r="A7" s="3" t="s">
        <v>170</v>
      </c>
      <c r="B7" s="10">
        <v>170</v>
      </c>
      <c r="C7" s="3" t="s">
        <v>182</v>
      </c>
      <c r="D7" s="232"/>
      <c r="E7" s="232"/>
      <c r="F7" s="6">
        <v>2</v>
      </c>
      <c r="G7" s="117">
        <v>0.34</v>
      </c>
      <c r="H7" s="30">
        <f t="shared" si="5"/>
        <v>9.6162758461107629E-4</v>
      </c>
      <c r="I7" s="30">
        <f t="shared" si="6"/>
        <v>9.6162758461107629E-4</v>
      </c>
      <c r="J7" s="30">
        <f t="shared" si="7"/>
        <v>9.6162758461107629E-4</v>
      </c>
      <c r="K7" s="30">
        <f t="shared" si="8"/>
        <v>1.6595514127701883E-2</v>
      </c>
      <c r="L7" s="30">
        <f t="shared" si="9"/>
        <v>1.6227743343912231E-5</v>
      </c>
      <c r="M7" s="30">
        <f t="shared" si="10"/>
        <v>8.6557597869868635E-3</v>
      </c>
      <c r="N7" s="30">
        <f t="shared" si="11"/>
        <v>2.1509101264370598E-3</v>
      </c>
    </row>
    <row r="8" spans="1:15" ht="15" customHeight="1" x14ac:dyDescent="0.2">
      <c r="A8" s="3" t="s">
        <v>171</v>
      </c>
      <c r="B8" s="10">
        <v>268</v>
      </c>
      <c r="C8" s="3" t="s">
        <v>207</v>
      </c>
      <c r="D8" s="232"/>
      <c r="E8" s="232"/>
      <c r="F8" s="6">
        <v>3</v>
      </c>
      <c r="G8" s="117">
        <v>2.2400000000000002</v>
      </c>
      <c r="H8" s="30">
        <f t="shared" si="5"/>
        <v>1.2407538386773545E-2</v>
      </c>
      <c r="I8" s="30">
        <f t="shared" si="6"/>
        <v>1.2407538386773545E-2</v>
      </c>
      <c r="J8" s="30">
        <f t="shared" si="7"/>
        <v>1.2407538386773545E-2</v>
      </c>
      <c r="K8" s="30">
        <f t="shared" si="8"/>
        <v>0.33071299988050751</v>
      </c>
      <c r="L8" s="30">
        <f t="shared" si="9"/>
        <v>2.954552421731553E-4</v>
      </c>
      <c r="M8" s="30">
        <f t="shared" si="10"/>
        <v>0.12326485002662647</v>
      </c>
      <c r="N8" s="30">
        <f t="shared" si="11"/>
        <v>3.2111279072668482E-2</v>
      </c>
    </row>
    <row r="9" spans="1:15" ht="15" customHeight="1" x14ac:dyDescent="0.2">
      <c r="A9" s="3" t="s">
        <v>172</v>
      </c>
      <c r="B9" s="10">
        <v>241</v>
      </c>
      <c r="C9" s="3" t="s">
        <v>216</v>
      </c>
      <c r="D9" s="232"/>
      <c r="E9" s="232"/>
      <c r="F9" s="6">
        <v>3</v>
      </c>
      <c r="G9" s="117">
        <v>4.9000000000000004</v>
      </c>
      <c r="H9" s="30">
        <f t="shared" si="5"/>
        <v>1.6657336148065232E-2</v>
      </c>
      <c r="I9" s="30">
        <f t="shared" si="6"/>
        <v>1.6657336148065232E-2</v>
      </c>
      <c r="J9" s="30">
        <f t="shared" si="7"/>
        <v>1.6657336148065232E-2</v>
      </c>
      <c r="K9" s="30">
        <f t="shared" si="8"/>
        <v>0.45371950164564301</v>
      </c>
      <c r="L9" s="30">
        <f t="shared" si="9"/>
        <v>4.6570251187910895E-4</v>
      </c>
      <c r="M9" s="30">
        <f t="shared" si="10"/>
        <v>0.12312423114188555</v>
      </c>
      <c r="N9" s="30">
        <f t="shared" si="11"/>
        <v>4.3848534682804578E-2</v>
      </c>
    </row>
    <row r="10" spans="1:15" ht="15" customHeight="1" x14ac:dyDescent="0.2">
      <c r="A10" s="3" t="s">
        <v>173</v>
      </c>
      <c r="B10" s="10">
        <v>183</v>
      </c>
      <c r="C10" s="3" t="s">
        <v>206</v>
      </c>
      <c r="D10" s="232"/>
      <c r="E10" s="232"/>
      <c r="F10" s="6">
        <v>2</v>
      </c>
      <c r="G10" s="117">
        <v>1.48</v>
      </c>
      <c r="H10" s="30">
        <f t="shared" si="5"/>
        <v>3.8246691803822275E-3</v>
      </c>
      <c r="I10" s="30">
        <f t="shared" si="6"/>
        <v>3.8246691803822275E-3</v>
      </c>
      <c r="J10" s="30">
        <f t="shared" si="7"/>
        <v>3.8246691803822275E-3</v>
      </c>
      <c r="K10" s="30">
        <f t="shared" si="8"/>
        <v>0.10322771038041428</v>
      </c>
      <c r="L10" s="30">
        <f t="shared" si="9"/>
        <v>9.3774083129536756E-5</v>
      </c>
      <c r="M10" s="30">
        <f t="shared" si="10"/>
        <v>2.7744883904826361E-2</v>
      </c>
      <c r="N10" s="30">
        <f t="shared" si="11"/>
        <v>9.9630374674937114E-3</v>
      </c>
    </row>
    <row r="11" spans="1:15" ht="15" customHeight="1" x14ac:dyDescent="0.2">
      <c r="A11" s="3" t="s">
        <v>174</v>
      </c>
      <c r="B11" s="10">
        <v>160</v>
      </c>
      <c r="C11" s="3" t="s">
        <v>222</v>
      </c>
      <c r="D11" s="232"/>
      <c r="E11" s="232"/>
      <c r="F11" s="6">
        <v>1</v>
      </c>
      <c r="G11" s="117">
        <v>0.42</v>
      </c>
      <c r="H11" s="30">
        <f t="shared" si="5"/>
        <v>6.5328586178203362E-4</v>
      </c>
      <c r="I11" s="30">
        <f t="shared" si="6"/>
        <v>6.5328586178203362E-4</v>
      </c>
      <c r="J11" s="30">
        <f t="shared" si="7"/>
        <v>6.5328586178203362E-4</v>
      </c>
      <c r="K11" s="30">
        <f t="shared" si="8"/>
        <v>1.1423521279971725E-2</v>
      </c>
      <c r="L11" s="30">
        <f t="shared" si="9"/>
        <v>1.1067990935659252E-5</v>
      </c>
      <c r="M11" s="30">
        <f t="shared" si="10"/>
        <v>5.9078359219431331E-3</v>
      </c>
      <c r="N11" s="30">
        <f t="shared" si="11"/>
        <v>1.4653391355673154E-3</v>
      </c>
    </row>
    <row r="12" spans="1:15" ht="15" customHeight="1" x14ac:dyDescent="0.2">
      <c r="A12" s="3" t="s">
        <v>175</v>
      </c>
      <c r="B12" s="10">
        <v>225</v>
      </c>
      <c r="C12" s="3" t="s">
        <v>232</v>
      </c>
      <c r="D12" s="232"/>
      <c r="E12" s="232"/>
      <c r="F12" s="6">
        <v>2</v>
      </c>
      <c r="G12" s="117">
        <v>1.95</v>
      </c>
      <c r="H12" s="30">
        <f t="shared" si="5"/>
        <v>3.1373061259164802E-3</v>
      </c>
      <c r="I12" s="30">
        <f t="shared" si="6"/>
        <v>3.1373061259164802E-3</v>
      </c>
      <c r="J12" s="30">
        <f t="shared" si="7"/>
        <v>3.1373061259164802E-3</v>
      </c>
      <c r="K12" s="30">
        <f t="shared" si="8"/>
        <v>0.12025766203499395</v>
      </c>
      <c r="L12" s="30">
        <f t="shared" si="9"/>
        <v>1.5600219210990465E-4</v>
      </c>
      <c r="M12" s="30">
        <f t="shared" si="10"/>
        <v>2.6030772211266762E-2</v>
      </c>
      <c r="N12" s="30">
        <f t="shared" si="11"/>
        <v>8.2941214643883609E-3</v>
      </c>
    </row>
    <row r="13" spans="1:15" ht="15" customHeight="1" x14ac:dyDescent="0.2">
      <c r="A13" s="3" t="s">
        <v>176</v>
      </c>
      <c r="B13" s="10">
        <v>214</v>
      </c>
      <c r="C13" s="3" t="s">
        <v>242</v>
      </c>
      <c r="D13" s="232"/>
      <c r="E13" s="232"/>
      <c r="F13" s="6">
        <v>1</v>
      </c>
      <c r="G13" s="117">
        <v>1.78</v>
      </c>
      <c r="H13" s="30">
        <f t="shared" si="5"/>
        <v>4.837300310668452E-4</v>
      </c>
      <c r="I13" s="30">
        <f t="shared" si="6"/>
        <v>4.837300310668452E-4</v>
      </c>
      <c r="J13" s="30">
        <f t="shared" si="7"/>
        <v>4.837300310668452E-4</v>
      </c>
      <c r="K13" s="30">
        <f t="shared" si="8"/>
        <v>1.6483521137349775E-2</v>
      </c>
      <c r="L13" s="30">
        <f t="shared" si="9"/>
        <v>7.1200989744929226E-5</v>
      </c>
      <c r="M13" s="30">
        <f t="shared" si="10"/>
        <v>1.1522063948037106E-2</v>
      </c>
      <c r="N13" s="30">
        <f t="shared" si="11"/>
        <v>2.2899749711763054E-3</v>
      </c>
    </row>
    <row r="14" spans="1:15" ht="15" customHeight="1" x14ac:dyDescent="0.2">
      <c r="A14" s="3" t="s">
        <v>177</v>
      </c>
      <c r="B14" s="10">
        <v>250</v>
      </c>
      <c r="C14" s="3" t="s">
        <v>252</v>
      </c>
      <c r="D14" s="232"/>
      <c r="E14" s="232"/>
      <c r="F14" s="6">
        <v>3</v>
      </c>
      <c r="G14" s="117">
        <v>1.4</v>
      </c>
      <c r="H14" s="30">
        <f t="shared" ref="H14" si="12">(INDEX(FE_Equip,MATCH($C14,Pot_Equip,0),2))*F14*G14/(24)</f>
        <v>4.4177006695562916E-3</v>
      </c>
      <c r="I14" s="30">
        <f t="shared" si="6"/>
        <v>4.4177006695562916E-3</v>
      </c>
      <c r="J14" s="30">
        <f t="shared" ref="J14" si="13">H14</f>
        <v>4.4177006695562916E-3</v>
      </c>
      <c r="K14" s="30">
        <f t="shared" ref="K14" si="14">(INDEX(FE_Equip,MATCH($C14,Pot_Equip,0),3))*F14*G14/(24)</f>
        <v>0.12702560713679842</v>
      </c>
      <c r="L14" s="30">
        <f t="shared" ref="L14" si="15">(INDEX(FE_Equip,MATCH($C14,Pot_Equip,0),4))*F14*G14/(24)</f>
        <v>1.171984125810866E-4</v>
      </c>
      <c r="M14" s="30">
        <f t="shared" ref="M14" si="16">(INDEX(FE_Equip,MATCH($C14,Pot_Equip,0),5))*F14*G14/(24)</f>
        <v>3.2313405589982448E-2</v>
      </c>
      <c r="N14" s="30">
        <f t="shared" ref="N14" si="17">(INDEX(FE_Equip,MATCH($C14,Pot_Equip,0),6))*F14*G14/(24)</f>
        <v>1.1581218563065784E-2</v>
      </c>
    </row>
    <row r="15" spans="1:15" ht="15" customHeight="1" x14ac:dyDescent="0.2">
      <c r="A15" s="220" t="s">
        <v>346</v>
      </c>
      <c r="B15" s="220"/>
      <c r="C15" s="220"/>
      <c r="D15" s="220"/>
      <c r="E15" s="220"/>
      <c r="F15" s="220"/>
      <c r="G15" s="220"/>
      <c r="H15" s="15">
        <f>SUM(H4:H14)</f>
        <v>6.0293987564685764E-2</v>
      </c>
      <c r="I15" s="15">
        <f t="shared" ref="I15:N15" si="18">SUM(I4:I14)</f>
        <v>6.0293987564685764E-2</v>
      </c>
      <c r="J15" s="15">
        <f t="shared" si="18"/>
        <v>6.0293987564685764E-2</v>
      </c>
      <c r="K15" s="15">
        <f t="shared" si="18"/>
        <v>1.6806828820032809</v>
      </c>
      <c r="L15" s="15">
        <f t="shared" si="18"/>
        <v>1.9637906196648142E-3</v>
      </c>
      <c r="M15" s="15">
        <f t="shared" si="18"/>
        <v>0.53542271360630267</v>
      </c>
      <c r="N15" s="15">
        <f t="shared" si="18"/>
        <v>0.1689498525200491</v>
      </c>
      <c r="O15" s="18"/>
    </row>
    <row r="16" spans="1:15" ht="15" customHeight="1" x14ac:dyDescent="0.2">
      <c r="A16" s="34"/>
      <c r="B16" s="40"/>
      <c r="G16" s="34"/>
      <c r="H16" s="8"/>
      <c r="I16" s="8"/>
      <c r="J16" s="8"/>
      <c r="K16" s="8"/>
      <c r="L16" s="9"/>
      <c r="M16" s="8"/>
      <c r="N16" s="8"/>
    </row>
    <row r="17" spans="1:12" ht="15" customHeight="1" x14ac:dyDescent="0.2">
      <c r="A17" s="98"/>
      <c r="B17" s="6"/>
      <c r="D17" s="96"/>
      <c r="E17" s="96"/>
      <c r="F17" s="96"/>
      <c r="G17" s="96"/>
      <c r="H17" s="47"/>
      <c r="I17" s="47"/>
      <c r="J17" s="47"/>
      <c r="K17" s="47"/>
      <c r="L17" s="47"/>
    </row>
    <row r="18" spans="1:12" ht="15" customHeight="1" x14ac:dyDescent="0.25">
      <c r="D18" s="97"/>
      <c r="E18" s="97"/>
      <c r="F18" s="96"/>
      <c r="G18" s="96"/>
    </row>
    <row r="19" spans="1:12" ht="15" customHeight="1" x14ac:dyDescent="0.2">
      <c r="D19" s="96"/>
      <c r="E19" s="96"/>
      <c r="F19" s="96"/>
      <c r="G19" s="96"/>
    </row>
    <row r="21" spans="1:12" ht="15" customHeight="1" x14ac:dyDescent="0.2">
      <c r="A21" s="3"/>
      <c r="B21" s="6"/>
      <c r="C21" s="2"/>
    </row>
    <row r="22" spans="1:12" ht="15" customHeight="1" x14ac:dyDescent="0.2">
      <c r="A22" s="2"/>
    </row>
    <row r="23" spans="1:12" ht="15" customHeight="1" x14ac:dyDescent="0.2">
      <c r="A23" s="2"/>
    </row>
    <row r="29" spans="1:12" ht="15" customHeight="1" x14ac:dyDescent="0.2">
      <c r="B29" s="96"/>
      <c r="C29" s="96"/>
      <c r="D29" s="96"/>
      <c r="E29" s="96"/>
      <c r="F29" s="96"/>
      <c r="G29" s="96"/>
      <c r="H29" s="96"/>
    </row>
    <row r="30" spans="1:12" ht="15" customHeight="1" x14ac:dyDescent="0.2">
      <c r="B30" s="96"/>
      <c r="C30" s="96"/>
      <c r="D30" s="96"/>
      <c r="E30" s="96"/>
      <c r="F30" s="96"/>
      <c r="G30" s="96"/>
      <c r="H30" s="96"/>
    </row>
    <row r="31" spans="1:12" ht="15" customHeight="1" x14ac:dyDescent="0.2">
      <c r="B31" s="96"/>
      <c r="C31" s="96"/>
      <c r="D31" s="96"/>
      <c r="E31" s="96"/>
      <c r="F31" s="96"/>
      <c r="G31" s="132"/>
      <c r="H31" s="96"/>
    </row>
    <row r="32" spans="1:12" ht="15" customHeight="1" x14ac:dyDescent="0.2">
      <c r="B32" s="96"/>
      <c r="C32" s="96"/>
      <c r="D32" s="96"/>
      <c r="E32" s="96"/>
      <c r="F32" s="96"/>
      <c r="G32" s="132"/>
      <c r="H32" s="96"/>
    </row>
    <row r="33" spans="2:8" ht="15" customHeight="1" x14ac:dyDescent="0.2">
      <c r="B33" s="96"/>
      <c r="C33" s="96"/>
      <c r="D33" s="96"/>
      <c r="E33" s="96"/>
      <c r="F33" s="96"/>
      <c r="G33" s="132"/>
      <c r="H33" s="96"/>
    </row>
    <row r="34" spans="2:8" ht="15" customHeight="1" x14ac:dyDescent="0.2">
      <c r="B34" s="96"/>
      <c r="C34" s="96"/>
      <c r="D34" s="96"/>
      <c r="E34" s="96"/>
      <c r="F34" s="96"/>
      <c r="G34" s="132"/>
      <c r="H34" s="96"/>
    </row>
    <row r="35" spans="2:8" ht="15" customHeight="1" x14ac:dyDescent="0.2">
      <c r="B35" s="96"/>
      <c r="C35" s="96"/>
      <c r="D35" s="96"/>
      <c r="E35" s="96"/>
      <c r="F35" s="96"/>
      <c r="G35" s="132"/>
      <c r="H35" s="96"/>
    </row>
    <row r="36" spans="2:8" ht="15" customHeight="1" x14ac:dyDescent="0.2">
      <c r="B36" s="96"/>
      <c r="C36" s="96"/>
      <c r="D36" s="96"/>
      <c r="E36" s="96"/>
      <c r="F36" s="96"/>
      <c r="G36" s="132"/>
      <c r="H36" s="96"/>
    </row>
    <row r="37" spans="2:8" ht="15" customHeight="1" x14ac:dyDescent="0.2">
      <c r="B37" s="96"/>
      <c r="C37" s="96"/>
      <c r="D37" s="96"/>
      <c r="E37" s="96"/>
      <c r="F37" s="96"/>
      <c r="G37" s="132"/>
      <c r="H37" s="96"/>
    </row>
    <row r="38" spans="2:8" ht="15" customHeight="1" x14ac:dyDescent="0.2">
      <c r="B38" s="96"/>
      <c r="C38" s="96"/>
      <c r="D38" s="96"/>
      <c r="E38" s="96"/>
      <c r="F38" s="96"/>
      <c r="G38" s="132"/>
      <c r="H38" s="96"/>
    </row>
    <row r="39" spans="2:8" ht="15" customHeight="1" x14ac:dyDescent="0.2">
      <c r="B39" s="96"/>
      <c r="C39" s="96"/>
      <c r="D39" s="96"/>
      <c r="E39" s="96"/>
      <c r="F39" s="96"/>
      <c r="G39" s="132"/>
      <c r="H39" s="96"/>
    </row>
    <row r="40" spans="2:8" ht="15" customHeight="1" x14ac:dyDescent="0.2">
      <c r="B40" s="96"/>
      <c r="C40" s="96"/>
      <c r="D40" s="96"/>
      <c r="E40" s="96"/>
      <c r="F40" s="96"/>
      <c r="G40" s="132"/>
      <c r="H40" s="96"/>
    </row>
    <row r="41" spans="2:8" ht="15" customHeight="1" x14ac:dyDescent="0.2">
      <c r="B41" s="96"/>
      <c r="C41" s="96"/>
      <c r="D41" s="96"/>
      <c r="E41" s="96"/>
      <c r="F41" s="96"/>
      <c r="G41" s="132"/>
      <c r="H41" s="96"/>
    </row>
    <row r="42" spans="2:8" ht="15" customHeight="1" x14ac:dyDescent="0.2">
      <c r="B42" s="96"/>
      <c r="C42" s="96"/>
      <c r="D42" s="96"/>
      <c r="E42" s="96"/>
      <c r="F42" s="96"/>
      <c r="G42" s="132"/>
      <c r="H42" s="96"/>
    </row>
    <row r="43" spans="2:8" ht="15" customHeight="1" x14ac:dyDescent="0.2">
      <c r="B43" s="96"/>
      <c r="C43" s="96"/>
      <c r="D43" s="96"/>
      <c r="E43" s="96"/>
      <c r="F43" s="96"/>
      <c r="G43" s="132"/>
      <c r="H43" s="96"/>
    </row>
    <row r="44" spans="2:8" ht="15" customHeight="1" x14ac:dyDescent="0.2">
      <c r="B44" s="96"/>
      <c r="C44" s="96"/>
      <c r="D44" s="96"/>
      <c r="E44" s="96"/>
      <c r="F44" s="96"/>
      <c r="G44" s="132"/>
      <c r="H44" s="96"/>
    </row>
    <row r="45" spans="2:8" ht="15" customHeight="1" x14ac:dyDescent="0.2">
      <c r="B45" s="96"/>
      <c r="C45" s="96"/>
      <c r="D45" s="96"/>
      <c r="E45" s="96"/>
      <c r="F45" s="96"/>
      <c r="G45" s="132"/>
      <c r="H45" s="96"/>
    </row>
    <row r="46" spans="2:8" ht="15" customHeight="1" x14ac:dyDescent="0.2">
      <c r="B46" s="96"/>
      <c r="C46" s="96"/>
      <c r="D46" s="96"/>
      <c r="E46" s="96"/>
      <c r="F46" s="96"/>
      <c r="G46" s="132"/>
      <c r="H46" s="96"/>
    </row>
    <row r="47" spans="2:8" ht="15" customHeight="1" x14ac:dyDescent="0.2">
      <c r="B47" s="96"/>
      <c r="C47" s="96"/>
      <c r="D47" s="96"/>
      <c r="E47" s="96"/>
      <c r="F47" s="96"/>
      <c r="G47" s="132"/>
      <c r="H47" s="96"/>
    </row>
    <row r="48" spans="2:8" ht="15" customHeight="1" x14ac:dyDescent="0.2">
      <c r="B48" s="96"/>
      <c r="C48" s="96"/>
      <c r="D48" s="96"/>
      <c r="E48" s="96"/>
      <c r="F48" s="96"/>
      <c r="G48" s="132"/>
      <c r="H48" s="96"/>
    </row>
    <row r="49" spans="2:8" ht="15" customHeight="1" x14ac:dyDescent="0.2">
      <c r="B49" s="96"/>
      <c r="C49" s="96"/>
      <c r="D49" s="96"/>
      <c r="E49" s="96"/>
      <c r="F49" s="96"/>
      <c r="G49" s="132"/>
      <c r="H49" s="96"/>
    </row>
    <row r="50" spans="2:8" ht="15" customHeight="1" x14ac:dyDescent="0.2">
      <c r="B50" s="96"/>
      <c r="C50" s="96"/>
      <c r="D50" s="96"/>
      <c r="E50" s="96"/>
      <c r="F50" s="96"/>
      <c r="G50" s="132"/>
      <c r="H50" s="96"/>
    </row>
    <row r="51" spans="2:8" ht="15" customHeight="1" x14ac:dyDescent="0.2">
      <c r="B51" s="96"/>
      <c r="C51" s="96"/>
      <c r="D51" s="96"/>
      <c r="E51" s="96"/>
      <c r="F51" s="96"/>
      <c r="G51" s="132"/>
      <c r="H51" s="96"/>
    </row>
    <row r="52" spans="2:8" ht="15" customHeight="1" x14ac:dyDescent="0.2">
      <c r="B52" s="96"/>
      <c r="C52" s="96"/>
      <c r="D52" s="96"/>
      <c r="E52" s="96"/>
      <c r="F52" s="96"/>
      <c r="G52" s="132"/>
      <c r="H52" s="96"/>
    </row>
    <row r="53" spans="2:8" ht="15" customHeight="1" x14ac:dyDescent="0.2">
      <c r="B53" s="96"/>
      <c r="C53" s="96"/>
      <c r="D53" s="96"/>
      <c r="E53" s="96"/>
      <c r="F53" s="96"/>
      <c r="G53" s="132"/>
      <c r="H53" s="96"/>
    </row>
    <row r="54" spans="2:8" ht="15" customHeight="1" x14ac:dyDescent="0.2">
      <c r="B54" s="96"/>
      <c r="C54" s="96"/>
      <c r="D54" s="96"/>
      <c r="E54" s="96"/>
      <c r="F54" s="96"/>
      <c r="G54" s="132"/>
      <c r="H54" s="96"/>
    </row>
    <row r="55" spans="2:8" ht="15" customHeight="1" x14ac:dyDescent="0.2">
      <c r="B55" s="96"/>
      <c r="C55" s="96"/>
      <c r="D55" s="96"/>
      <c r="E55" s="96"/>
      <c r="F55" s="96"/>
      <c r="G55" s="132"/>
      <c r="H55" s="96"/>
    </row>
    <row r="56" spans="2:8" ht="15" customHeight="1" x14ac:dyDescent="0.2">
      <c r="B56" s="96"/>
      <c r="C56" s="96"/>
      <c r="D56" s="96"/>
      <c r="E56" s="96"/>
      <c r="F56" s="96"/>
      <c r="G56" s="132"/>
      <c r="H56" s="96"/>
    </row>
    <row r="57" spans="2:8" ht="15" customHeight="1" x14ac:dyDescent="0.2">
      <c r="B57" s="96"/>
      <c r="C57" s="96"/>
      <c r="D57" s="96"/>
      <c r="E57" s="96"/>
      <c r="F57" s="96"/>
      <c r="G57" s="132"/>
      <c r="H57" s="96"/>
    </row>
    <row r="58" spans="2:8" ht="15" customHeight="1" x14ac:dyDescent="0.2">
      <c r="B58" s="96"/>
      <c r="C58" s="96"/>
      <c r="D58" s="96"/>
      <c r="E58" s="96"/>
      <c r="F58" s="96"/>
      <c r="G58" s="132"/>
      <c r="H58" s="96"/>
    </row>
    <row r="59" spans="2:8" ht="15" customHeight="1" x14ac:dyDescent="0.2">
      <c r="B59" s="96"/>
      <c r="C59" s="96"/>
      <c r="D59" s="96"/>
      <c r="E59" s="96"/>
      <c r="F59" s="96"/>
      <c r="G59" s="132"/>
      <c r="H59" s="96"/>
    </row>
    <row r="60" spans="2:8" ht="15" customHeight="1" x14ac:dyDescent="0.2">
      <c r="B60" s="96"/>
      <c r="C60" s="96"/>
      <c r="D60" s="96"/>
      <c r="E60" s="96"/>
      <c r="F60" s="96"/>
      <c r="G60" s="132"/>
      <c r="H60" s="96"/>
    </row>
    <row r="61" spans="2:8" ht="15" customHeight="1" x14ac:dyDescent="0.2">
      <c r="B61" s="96"/>
      <c r="C61" s="96"/>
      <c r="D61" s="96"/>
      <c r="E61" s="96"/>
      <c r="F61" s="96"/>
      <c r="G61" s="132"/>
      <c r="H61" s="96"/>
    </row>
    <row r="62" spans="2:8" ht="15" customHeight="1" x14ac:dyDescent="0.2">
      <c r="B62" s="96"/>
      <c r="C62" s="96"/>
      <c r="D62" s="96"/>
      <c r="E62" s="96"/>
      <c r="F62" s="96"/>
      <c r="G62" s="132"/>
      <c r="H62" s="96"/>
    </row>
    <row r="63" spans="2:8" ht="15" customHeight="1" x14ac:dyDescent="0.2">
      <c r="B63" s="96"/>
      <c r="C63" s="96"/>
      <c r="D63" s="96"/>
      <c r="E63" s="96"/>
      <c r="F63" s="96"/>
      <c r="G63" s="132"/>
      <c r="H63" s="96"/>
    </row>
    <row r="64" spans="2:8" ht="15" customHeight="1" x14ac:dyDescent="0.2">
      <c r="B64" s="96"/>
      <c r="C64" s="96"/>
      <c r="D64" s="96"/>
      <c r="E64" s="96"/>
      <c r="F64" s="96"/>
      <c r="G64" s="132"/>
      <c r="H64" s="96"/>
    </row>
    <row r="65" spans="2:8" ht="15" customHeight="1" x14ac:dyDescent="0.2">
      <c r="B65" s="96"/>
      <c r="C65" s="96"/>
      <c r="D65" s="96"/>
      <c r="E65" s="96"/>
      <c r="F65" s="96"/>
      <c r="G65" s="132"/>
      <c r="H65" s="96"/>
    </row>
    <row r="66" spans="2:8" ht="15" customHeight="1" x14ac:dyDescent="0.2">
      <c r="B66" s="96"/>
      <c r="C66" s="96"/>
      <c r="D66" s="96"/>
      <c r="E66" s="96"/>
      <c r="F66" s="96"/>
      <c r="G66" s="132"/>
      <c r="H66" s="96"/>
    </row>
    <row r="67" spans="2:8" ht="15" customHeight="1" x14ac:dyDescent="0.2">
      <c r="B67" s="96"/>
      <c r="C67" s="96"/>
      <c r="D67" s="96"/>
      <c r="E67" s="96"/>
      <c r="F67" s="96"/>
      <c r="G67" s="132"/>
      <c r="H67" s="96"/>
    </row>
    <row r="68" spans="2:8" ht="15" customHeight="1" x14ac:dyDescent="0.2">
      <c r="B68" s="96"/>
      <c r="C68" s="96"/>
      <c r="D68" s="96"/>
      <c r="E68" s="96"/>
      <c r="F68" s="96"/>
      <c r="G68" s="132"/>
      <c r="H68" s="96"/>
    </row>
    <row r="69" spans="2:8" ht="15" customHeight="1" x14ac:dyDescent="0.2">
      <c r="B69" s="96"/>
      <c r="C69" s="96"/>
      <c r="D69" s="96"/>
      <c r="E69" s="96"/>
      <c r="F69" s="96"/>
      <c r="G69" s="132"/>
      <c r="H69" s="96"/>
    </row>
    <row r="70" spans="2:8" ht="15" customHeight="1" x14ac:dyDescent="0.2">
      <c r="B70" s="96"/>
      <c r="C70" s="96"/>
      <c r="D70" s="96"/>
      <c r="E70" s="96"/>
      <c r="F70" s="96"/>
      <c r="G70" s="132"/>
      <c r="H70" s="96"/>
    </row>
    <row r="71" spans="2:8" ht="15" customHeight="1" x14ac:dyDescent="0.2">
      <c r="B71" s="96"/>
      <c r="C71" s="96"/>
      <c r="D71" s="96"/>
      <c r="E71" s="96"/>
      <c r="F71" s="96"/>
      <c r="G71" s="96"/>
      <c r="H71" s="96"/>
    </row>
    <row r="72" spans="2:8" ht="15" customHeight="1" x14ac:dyDescent="0.2">
      <c r="B72" s="96"/>
      <c r="C72" s="96"/>
      <c r="D72" s="96"/>
      <c r="E72" s="96"/>
      <c r="F72" s="96"/>
      <c r="G72" s="96"/>
      <c r="H72" s="96"/>
    </row>
    <row r="73" spans="2:8" ht="15" customHeight="1" x14ac:dyDescent="0.2">
      <c r="B73" s="96"/>
      <c r="C73" s="96"/>
      <c r="D73" s="96"/>
      <c r="E73" s="96"/>
      <c r="F73" s="96"/>
      <c r="G73" s="96"/>
      <c r="H73" s="96"/>
    </row>
    <row r="74" spans="2:8" ht="15" customHeight="1" x14ac:dyDescent="0.2">
      <c r="B74" s="96"/>
      <c r="C74" s="96"/>
      <c r="D74" s="96"/>
      <c r="E74" s="96"/>
      <c r="F74" s="96"/>
      <c r="G74" s="96"/>
      <c r="H74" s="96"/>
    </row>
    <row r="75" spans="2:8" ht="15" customHeight="1" x14ac:dyDescent="0.2">
      <c r="B75" s="96"/>
      <c r="C75" s="96"/>
      <c r="D75" s="96"/>
      <c r="E75" s="96"/>
      <c r="F75" s="96"/>
      <c r="G75" s="96"/>
      <c r="H75" s="96"/>
    </row>
    <row r="76" spans="2:8" ht="15" customHeight="1" x14ac:dyDescent="0.2">
      <c r="B76" s="96"/>
      <c r="C76" s="96"/>
      <c r="D76" s="96"/>
      <c r="E76" s="96"/>
      <c r="F76" s="96"/>
      <c r="G76" s="96"/>
      <c r="H76" s="96"/>
    </row>
    <row r="77" spans="2:8" ht="15" customHeight="1" x14ac:dyDescent="0.2">
      <c r="B77" s="96"/>
      <c r="C77" s="96"/>
      <c r="D77" s="96"/>
      <c r="E77" s="96"/>
      <c r="F77" s="96"/>
      <c r="G77" s="96"/>
      <c r="H77" s="96"/>
    </row>
    <row r="78" spans="2:8" ht="15" customHeight="1" x14ac:dyDescent="0.2">
      <c r="B78" s="96"/>
      <c r="C78" s="96"/>
      <c r="D78" s="96"/>
      <c r="E78" s="96"/>
      <c r="F78" s="96"/>
      <c r="G78" s="96"/>
      <c r="H78" s="96"/>
    </row>
    <row r="79" spans="2:8" ht="15" customHeight="1" x14ac:dyDescent="0.2">
      <c r="B79" s="96"/>
      <c r="C79" s="96"/>
      <c r="D79" s="96"/>
      <c r="E79" s="96"/>
      <c r="F79" s="96"/>
      <c r="G79" s="96"/>
      <c r="H79" s="96"/>
    </row>
    <row r="80" spans="2:8" ht="15" customHeight="1" x14ac:dyDescent="0.2">
      <c r="B80" s="96"/>
      <c r="C80" s="96"/>
      <c r="D80" s="96"/>
      <c r="E80" s="96"/>
      <c r="F80" s="96"/>
      <c r="G80" s="96"/>
      <c r="H80" s="96"/>
    </row>
    <row r="81" spans="2:8" ht="15" customHeight="1" x14ac:dyDescent="0.2">
      <c r="B81" s="96"/>
      <c r="C81" s="96"/>
      <c r="D81" s="96"/>
      <c r="E81" s="96"/>
      <c r="F81" s="96"/>
      <c r="G81" s="96"/>
      <c r="H81" s="96"/>
    </row>
    <row r="82" spans="2:8" ht="15" customHeight="1" x14ac:dyDescent="0.2">
      <c r="B82" s="96"/>
      <c r="C82" s="96"/>
      <c r="D82" s="96"/>
      <c r="E82" s="96"/>
      <c r="F82" s="96"/>
      <c r="G82" s="96"/>
      <c r="H82" s="96"/>
    </row>
    <row r="83" spans="2:8" ht="15" customHeight="1" x14ac:dyDescent="0.2">
      <c r="B83" s="96"/>
      <c r="C83" s="96"/>
      <c r="D83" s="96"/>
      <c r="E83" s="96"/>
      <c r="F83" s="96"/>
      <c r="G83" s="96"/>
      <c r="H83" s="96"/>
    </row>
    <row r="84" spans="2:8" ht="15" customHeight="1" x14ac:dyDescent="0.2">
      <c r="B84" s="96"/>
      <c r="C84" s="96"/>
      <c r="D84" s="96"/>
      <c r="E84" s="96"/>
      <c r="F84" s="96"/>
      <c r="G84" s="96"/>
      <c r="H84" s="96"/>
    </row>
    <row r="85" spans="2:8" ht="15" customHeight="1" x14ac:dyDescent="0.2">
      <c r="B85" s="96"/>
      <c r="C85" s="96"/>
      <c r="D85" s="96"/>
      <c r="E85" s="96"/>
      <c r="F85" s="96"/>
      <c r="G85" s="96"/>
      <c r="H85" s="96"/>
    </row>
    <row r="86" spans="2:8" ht="15" customHeight="1" x14ac:dyDescent="0.2">
      <c r="B86" s="96"/>
      <c r="C86" s="96"/>
      <c r="D86" s="96"/>
      <c r="E86" s="96"/>
      <c r="F86" s="96"/>
      <c r="G86" s="96"/>
      <c r="H86" s="96"/>
    </row>
    <row r="87" spans="2:8" ht="15" customHeight="1" x14ac:dyDescent="0.2">
      <c r="B87" s="96"/>
      <c r="C87" s="96"/>
      <c r="D87" s="96"/>
      <c r="E87" s="96"/>
      <c r="F87" s="96"/>
      <c r="G87" s="96"/>
      <c r="H87" s="96"/>
    </row>
    <row r="88" spans="2:8" ht="15" customHeight="1" x14ac:dyDescent="0.2">
      <c r="B88" s="96"/>
      <c r="C88" s="96"/>
      <c r="D88" s="96"/>
      <c r="E88" s="96"/>
      <c r="F88" s="96"/>
      <c r="G88" s="96"/>
      <c r="H88" s="96"/>
    </row>
    <row r="89" spans="2:8" ht="15" customHeight="1" x14ac:dyDescent="0.2">
      <c r="B89" s="96"/>
      <c r="C89" s="96"/>
      <c r="D89" s="96"/>
      <c r="E89" s="96"/>
      <c r="F89" s="96"/>
      <c r="G89" s="96"/>
      <c r="H89" s="96"/>
    </row>
    <row r="90" spans="2:8" ht="15" customHeight="1" x14ac:dyDescent="0.2">
      <c r="B90" s="96"/>
      <c r="C90" s="96"/>
      <c r="D90" s="96"/>
      <c r="E90" s="96"/>
      <c r="F90" s="96"/>
      <c r="G90" s="96"/>
      <c r="H90" s="96"/>
    </row>
    <row r="91" spans="2:8" ht="15" customHeight="1" x14ac:dyDescent="0.2">
      <c r="B91" s="96"/>
      <c r="C91" s="96"/>
      <c r="D91" s="96"/>
      <c r="E91" s="96"/>
      <c r="F91" s="96"/>
      <c r="G91" s="96"/>
      <c r="H91" s="96"/>
    </row>
    <row r="92" spans="2:8" ht="15" customHeight="1" x14ac:dyDescent="0.2">
      <c r="B92" s="96"/>
      <c r="C92" s="96"/>
      <c r="D92" s="96"/>
      <c r="E92" s="96"/>
      <c r="F92" s="96"/>
      <c r="G92" s="96"/>
      <c r="H92" s="96"/>
    </row>
    <row r="93" spans="2:8" ht="15" customHeight="1" x14ac:dyDescent="0.2">
      <c r="B93" s="96"/>
      <c r="C93" s="96"/>
      <c r="D93" s="96"/>
      <c r="E93" s="96"/>
      <c r="F93" s="96"/>
      <c r="G93" s="96"/>
      <c r="H93" s="96"/>
    </row>
    <row r="94" spans="2:8" ht="15" customHeight="1" x14ac:dyDescent="0.2">
      <c r="B94" s="96"/>
      <c r="C94" s="96"/>
      <c r="D94" s="96"/>
      <c r="E94" s="96"/>
      <c r="F94" s="96"/>
      <c r="G94" s="96"/>
      <c r="H94" s="96"/>
    </row>
    <row r="95" spans="2:8" ht="15" customHeight="1" x14ac:dyDescent="0.2">
      <c r="B95" s="96"/>
      <c r="C95" s="96"/>
      <c r="D95" s="96"/>
      <c r="E95" s="96"/>
      <c r="F95" s="96"/>
      <c r="G95" s="96"/>
      <c r="H95" s="96"/>
    </row>
    <row r="96" spans="2:8" ht="15" customHeight="1" x14ac:dyDescent="0.2">
      <c r="B96" s="96"/>
      <c r="C96" s="96"/>
      <c r="D96" s="96"/>
      <c r="E96" s="96"/>
      <c r="F96" s="96"/>
      <c r="G96" s="96"/>
      <c r="H96" s="96"/>
    </row>
    <row r="97" spans="2:8" ht="15" customHeight="1" x14ac:dyDescent="0.2">
      <c r="B97" s="96"/>
      <c r="C97" s="96"/>
      <c r="D97" s="96"/>
      <c r="E97" s="96"/>
      <c r="F97" s="96"/>
      <c r="G97" s="96"/>
      <c r="H97" s="96"/>
    </row>
    <row r="98" spans="2:8" ht="15" customHeight="1" x14ac:dyDescent="0.2">
      <c r="B98" s="96"/>
      <c r="C98" s="96"/>
      <c r="D98" s="96"/>
      <c r="E98" s="96"/>
      <c r="F98" s="96"/>
      <c r="G98" s="96"/>
      <c r="H98" s="96"/>
    </row>
    <row r="99" spans="2:8" ht="15" customHeight="1" x14ac:dyDescent="0.2">
      <c r="B99" s="96"/>
      <c r="C99" s="96"/>
      <c r="D99" s="96"/>
      <c r="E99" s="96"/>
      <c r="F99" s="96"/>
      <c r="G99" s="96"/>
      <c r="H99" s="96"/>
    </row>
    <row r="100" spans="2:8" ht="15" customHeight="1" x14ac:dyDescent="0.2">
      <c r="B100" s="96"/>
      <c r="C100" s="96"/>
      <c r="D100" s="96"/>
      <c r="E100" s="96"/>
      <c r="F100" s="96"/>
      <c r="G100" s="96"/>
      <c r="H100" s="96"/>
    </row>
    <row r="101" spans="2:8" ht="15" customHeight="1" x14ac:dyDescent="0.2">
      <c r="B101" s="96"/>
      <c r="C101" s="96"/>
      <c r="D101" s="96"/>
      <c r="E101" s="96"/>
      <c r="F101" s="96"/>
      <c r="G101" s="96"/>
      <c r="H101" s="96"/>
    </row>
    <row r="102" spans="2:8" ht="15" customHeight="1" x14ac:dyDescent="0.2">
      <c r="B102" s="96"/>
      <c r="C102" s="96"/>
      <c r="D102" s="96"/>
      <c r="E102" s="96"/>
      <c r="F102" s="96"/>
      <c r="G102" s="96"/>
      <c r="H102" s="96"/>
    </row>
    <row r="103" spans="2:8" ht="15" customHeight="1" x14ac:dyDescent="0.2">
      <c r="B103" s="96"/>
      <c r="C103" s="96"/>
      <c r="D103" s="96"/>
      <c r="E103" s="96"/>
      <c r="F103" s="96"/>
      <c r="G103" s="96"/>
      <c r="H103" s="96"/>
    </row>
  </sheetData>
  <sheetProtection algorithmName="SHA-512" hashValue="P07GPrGq+6Z+PPhTFHcnDoQpK+HYdYdD7jGBnn7vJAJnWc4AQ6zXm9k2D7aktCY/IjmI9gwPsG+1PFQsRglkTg==" saltValue="iM5cT+3Vs/66k4z5waplLA==" spinCount="100000" sheet="1" objects="1" scenarios="1"/>
  <mergeCells count="11">
    <mergeCell ref="A15:G15"/>
    <mergeCell ref="G2:G3"/>
    <mergeCell ref="H2:N2"/>
    <mergeCell ref="A2:A3"/>
    <mergeCell ref="B2:B3"/>
    <mergeCell ref="C2:C3"/>
    <mergeCell ref="F2:F3"/>
    <mergeCell ref="D2:D3"/>
    <mergeCell ref="E2:E3"/>
    <mergeCell ref="E4:E14"/>
    <mergeCell ref="D4:D14"/>
  </mergeCells>
  <dataValidations disablePrompts="1" count="1">
    <dataValidation type="list" allowBlank="1" showInputMessage="1" showErrorMessage="1" sqref="C4:C14">
      <formula1>Pot_Equip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D20" sqref="D20"/>
    </sheetView>
  </sheetViews>
  <sheetFormatPr defaultRowHeight="15" x14ac:dyDescent="0.25"/>
  <cols>
    <col min="1" max="1" width="32.42578125" bestFit="1" customWidth="1"/>
    <col min="2" max="2" width="17.5703125" customWidth="1"/>
    <col min="3" max="3" width="17.7109375" customWidth="1"/>
    <col min="4" max="5" width="18.28515625" customWidth="1"/>
    <col min="6" max="13" width="11" customWidth="1"/>
  </cols>
  <sheetData>
    <row r="1" spans="1:14" x14ac:dyDescent="0.25">
      <c r="A1" s="19" t="s">
        <v>348</v>
      </c>
      <c r="B1" s="164">
        <v>4.1937865160171146</v>
      </c>
    </row>
    <row r="2" spans="1:14" x14ac:dyDescent="0.25">
      <c r="A2" s="19"/>
      <c r="B2" s="135"/>
    </row>
    <row r="3" spans="1:14" ht="15" customHeight="1" x14ac:dyDescent="0.25">
      <c r="A3" s="235" t="s">
        <v>0</v>
      </c>
      <c r="B3" s="224" t="s">
        <v>344</v>
      </c>
      <c r="C3" s="224" t="s">
        <v>345</v>
      </c>
      <c r="D3" s="236" t="s">
        <v>259</v>
      </c>
      <c r="E3" s="237" t="s">
        <v>258</v>
      </c>
      <c r="F3" s="239" t="s">
        <v>257</v>
      </c>
      <c r="G3" s="240"/>
      <c r="H3" s="241"/>
      <c r="I3" s="239" t="s">
        <v>95</v>
      </c>
      <c r="J3" s="241"/>
      <c r="K3" s="239" t="s">
        <v>1</v>
      </c>
      <c r="L3" s="240"/>
      <c r="M3" s="241"/>
    </row>
    <row r="4" spans="1:14" x14ac:dyDescent="0.25">
      <c r="A4" s="235"/>
      <c r="B4" s="224"/>
      <c r="C4" s="224"/>
      <c r="D4" s="236"/>
      <c r="E4" s="238"/>
      <c r="F4" s="35" t="s">
        <v>24</v>
      </c>
      <c r="G4" s="35" t="s">
        <v>46</v>
      </c>
      <c r="H4" s="35" t="s">
        <v>47</v>
      </c>
      <c r="I4" s="103" t="s">
        <v>23</v>
      </c>
      <c r="J4" s="103" t="s">
        <v>256</v>
      </c>
      <c r="K4" s="35" t="s">
        <v>24</v>
      </c>
      <c r="L4" s="35" t="s">
        <v>46</v>
      </c>
      <c r="M4" s="35" t="s">
        <v>47</v>
      </c>
    </row>
    <row r="5" spans="1:14" x14ac:dyDescent="0.25">
      <c r="A5" s="19" t="s">
        <v>103</v>
      </c>
      <c r="B5" s="32">
        <v>-20.317350999999999</v>
      </c>
      <c r="C5" s="32">
        <v>-40.402070999999999</v>
      </c>
      <c r="D5" s="62">
        <f>Dados!A11/8760</f>
        <v>157.96461415525116</v>
      </c>
      <c r="E5" s="57">
        <v>1</v>
      </c>
      <c r="F5" s="122">
        <f>'FE-Transferências'!$B$3*0.0016*(($B$1/2.2)^1.3)/(($E5/2)^1.4)</f>
        <v>7.2282377015546288E-3</v>
      </c>
      <c r="G5" s="122">
        <f>'FE-Transferências'!$C$3*0.0016*(($B$1/2.2)^1.3)/(($E5/2)^1.4)</f>
        <v>3.418761075059621E-3</v>
      </c>
      <c r="H5" s="122">
        <f>'FE-Transferências'!$D$3*0.0016*(($B$1/2.2)^1.3)/(($E5/2)^1.4)</f>
        <v>5.176981056518856E-4</v>
      </c>
      <c r="I5" s="122" t="s">
        <v>287</v>
      </c>
      <c r="J5" s="57">
        <v>60</v>
      </c>
      <c r="K5" s="73">
        <f>F5*$D5*(1-J5/100)</f>
        <v>0.45672231181940659</v>
      </c>
      <c r="L5" s="73">
        <f>G5*$D5*(1-J5/100)</f>
        <v>0.21601730964431387</v>
      </c>
      <c r="M5" s="73">
        <f>H5*$D5*(1-J5/100)</f>
        <v>3.2711192603281827E-2</v>
      </c>
    </row>
    <row r="6" spans="1:14" x14ac:dyDescent="0.25">
      <c r="A6" s="67" t="s">
        <v>114</v>
      </c>
      <c r="B6" s="113">
        <v>-20.322611999999999</v>
      </c>
      <c r="C6" s="113">
        <v>-40.399465999999997</v>
      </c>
      <c r="D6" s="74">
        <f>D5</f>
        <v>157.96461415525116</v>
      </c>
      <c r="E6" s="57">
        <v>1</v>
      </c>
      <c r="F6" s="163">
        <f>'FE-Transferências'!$B$3*0.0016*(($B$1/2.2)^1.3)/(($E6/2)^1.4)</f>
        <v>7.2282377015546288E-3</v>
      </c>
      <c r="G6" s="122">
        <f>'FE-Transferências'!$C$3*0.0016*(($B$1/2.2)^1.3)/(($E6/2)^1.4)</f>
        <v>3.418761075059621E-3</v>
      </c>
      <c r="H6" s="122">
        <f>'FE-Transferências'!$D$3*0.0016*(($B$1/2.2)^1.3)/(($E6/2)^1.4)</f>
        <v>5.176981056518856E-4</v>
      </c>
      <c r="I6" s="122" t="s">
        <v>287</v>
      </c>
      <c r="J6" s="57">
        <v>60</v>
      </c>
      <c r="K6" s="73">
        <f t="shared" ref="K6:K31" si="0">F6*$D6*(1-J6/100)</f>
        <v>0.45672231181940659</v>
      </c>
      <c r="L6" s="73">
        <f t="shared" ref="L6:L31" si="1">G6*$D6*(1-J6/100)</f>
        <v>0.21601730964431387</v>
      </c>
      <c r="M6" s="73">
        <f t="shared" ref="M6:M31" si="2">H6*$D6*(1-J6/100)</f>
        <v>3.2711192603281827E-2</v>
      </c>
    </row>
    <row r="7" spans="1:14" x14ac:dyDescent="0.25">
      <c r="A7" s="67" t="s">
        <v>154</v>
      </c>
      <c r="B7" s="113">
        <v>-20.322869000000001</v>
      </c>
      <c r="C7" s="113">
        <v>-40.399380999999998</v>
      </c>
      <c r="D7" s="74">
        <f>Dados!C14/8760</f>
        <v>4.9274039754708872</v>
      </c>
      <c r="E7" s="80">
        <v>1</v>
      </c>
      <c r="F7" s="163">
        <f>'FE-Transferências'!$B$3*0.0016*(($B$1/2.2)^1.3)/(($E7/2)^1.4)</f>
        <v>7.2282377015546288E-3</v>
      </c>
      <c r="G7" s="122">
        <f>'FE-Transferências'!$C$3*0.0016*(($B$1/2.2)^1.3)/(($E7/2)^1.4)</f>
        <v>3.418761075059621E-3</v>
      </c>
      <c r="H7" s="122">
        <f>'FE-Transferências'!$D$3*0.0016*(($B$1/2.2)^1.3)/(($E7/2)^1.4)</f>
        <v>5.176981056518856E-4</v>
      </c>
      <c r="I7" s="122" t="s">
        <v>287</v>
      </c>
      <c r="J7" s="57">
        <v>60</v>
      </c>
      <c r="K7" s="73">
        <f t="shared" si="0"/>
        <v>1.4246578874515532E-2</v>
      </c>
      <c r="L7" s="73">
        <f t="shared" si="1"/>
        <v>6.73824676497356E-3</v>
      </c>
      <c r="M7" s="73">
        <f t="shared" si="2"/>
        <v>1.0203630815531395E-3</v>
      </c>
    </row>
    <row r="8" spans="1:14" x14ac:dyDescent="0.25">
      <c r="A8" s="67" t="s">
        <v>264</v>
      </c>
      <c r="B8" s="32">
        <v>-20.322744</v>
      </c>
      <c r="C8" s="32">
        <v>-40.398766000000002</v>
      </c>
      <c r="D8" s="74">
        <f>SUM(Dados!C15:C25)/8760</f>
        <v>153.03721017978029</v>
      </c>
      <c r="E8" s="80">
        <v>1</v>
      </c>
      <c r="F8" s="163">
        <f>'FE-Transferências'!$B$3*0.0016*(($B$1/2.2)^1.3)/(($E8/2)^1.4)</f>
        <v>7.2282377015546288E-3</v>
      </c>
      <c r="G8" s="122">
        <f>'FE-Transferências'!$C$3*0.0016*(($B$1/2.2)^1.3)/(($E8/2)^1.4)</f>
        <v>3.418761075059621E-3</v>
      </c>
      <c r="H8" s="122">
        <f>'FE-Transferências'!$D$3*0.0016*(($B$1/2.2)^1.3)/(($E8/2)^1.4)</f>
        <v>5.176981056518856E-4</v>
      </c>
      <c r="I8" s="122" t="s">
        <v>287</v>
      </c>
      <c r="J8" s="57">
        <v>60</v>
      </c>
      <c r="K8" s="73">
        <f t="shared" si="0"/>
        <v>0.44247573294489106</v>
      </c>
      <c r="L8" s="73">
        <f t="shared" si="1"/>
        <v>0.20927906287934037</v>
      </c>
      <c r="M8" s="73">
        <f t="shared" si="2"/>
        <v>3.1690829521728685E-2</v>
      </c>
    </row>
    <row r="9" spans="1:14" x14ac:dyDescent="0.25">
      <c r="A9" s="67" t="s">
        <v>260</v>
      </c>
      <c r="B9" s="113">
        <v>-20.322738999999999</v>
      </c>
      <c r="C9" s="113">
        <v>-40.398327000000002</v>
      </c>
      <c r="D9" s="74">
        <f>0.5*SUM(Dados!C15:C25)/8760</f>
        <v>76.518605089890144</v>
      </c>
      <c r="E9" s="80">
        <v>1</v>
      </c>
      <c r="F9" s="163">
        <f>'FE-Transferências'!$B$3*0.0016*(($B$1/2.2)^1.3)/(($E9/2)^1.4)</f>
        <v>7.2282377015546288E-3</v>
      </c>
      <c r="G9" s="122">
        <f>'FE-Transferências'!$C$3*0.0016*(($B$1/2.2)^1.3)/(($E9/2)^1.4)</f>
        <v>3.418761075059621E-3</v>
      </c>
      <c r="H9" s="122">
        <f>'FE-Transferências'!$D$3*0.0016*(($B$1/2.2)^1.3)/(($E9/2)^1.4)</f>
        <v>5.176981056518856E-4</v>
      </c>
      <c r="I9" s="122" t="s">
        <v>287</v>
      </c>
      <c r="J9" s="57">
        <v>60</v>
      </c>
      <c r="K9" s="73">
        <f t="shared" si="0"/>
        <v>0.22123786647244553</v>
      </c>
      <c r="L9" s="73">
        <f t="shared" si="1"/>
        <v>0.10463953143967018</v>
      </c>
      <c r="M9" s="73">
        <f t="shared" si="2"/>
        <v>1.5845414760864342E-2</v>
      </c>
      <c r="N9" s="34"/>
    </row>
    <row r="10" spans="1:14" x14ac:dyDescent="0.25">
      <c r="A10" s="67" t="s">
        <v>261</v>
      </c>
      <c r="B10" s="113">
        <v>-20.322606</v>
      </c>
      <c r="C10" s="113">
        <v>-40.397990999999998</v>
      </c>
      <c r="D10" s="74">
        <f>SUM(Dados!C15:C25)/8760</f>
        <v>153.03721017978029</v>
      </c>
      <c r="E10" s="80">
        <v>1</v>
      </c>
      <c r="F10" s="163">
        <f>'FE-Transferências'!$B$3*0.0016*(($B$1/2.2)^1.3)/(($E10/2)^1.4)</f>
        <v>7.2282377015546288E-3</v>
      </c>
      <c r="G10" s="122">
        <f>'FE-Transferências'!$C$3*0.0016*(($B$1/2.2)^1.3)/(($E10/2)^1.4)</f>
        <v>3.418761075059621E-3</v>
      </c>
      <c r="H10" s="122">
        <f>'FE-Transferências'!$D$3*0.0016*(($B$1/2.2)^1.3)/(($E10/2)^1.4)</f>
        <v>5.176981056518856E-4</v>
      </c>
      <c r="I10" s="122" t="s">
        <v>287</v>
      </c>
      <c r="J10" s="57">
        <v>60</v>
      </c>
      <c r="K10" s="73">
        <f t="shared" si="0"/>
        <v>0.44247573294489106</v>
      </c>
      <c r="L10" s="73">
        <f t="shared" si="1"/>
        <v>0.20927906287934037</v>
      </c>
      <c r="M10" s="73">
        <f t="shared" si="2"/>
        <v>3.1690829521728685E-2</v>
      </c>
      <c r="N10" s="34"/>
    </row>
    <row r="11" spans="1:14" x14ac:dyDescent="0.25">
      <c r="A11" s="67" t="s">
        <v>262</v>
      </c>
      <c r="B11" s="136">
        <v>-20.322085000000001</v>
      </c>
      <c r="C11" s="129">
        <v>-40.398209000000001</v>
      </c>
      <c r="D11" s="74">
        <f>Dados!C20/8760</f>
        <v>29.38079389100653</v>
      </c>
      <c r="E11" s="80">
        <v>1</v>
      </c>
      <c r="F11" s="163">
        <f>'FE-Transferências'!$B$3*0.0016*(($B$1/2.2)^1.3)/(($E11/2)^1.4)</f>
        <v>7.2282377015546288E-3</v>
      </c>
      <c r="G11" s="122">
        <f>'FE-Transferências'!$C$3*0.0016*(($B$1/2.2)^1.3)/(($E11/2)^1.4)</f>
        <v>3.418761075059621E-3</v>
      </c>
      <c r="H11" s="122">
        <f>'FE-Transferências'!$D$3*0.0016*(($B$1/2.2)^1.3)/(($E11/2)^1.4)</f>
        <v>5.176981056518856E-4</v>
      </c>
      <c r="I11" s="122" t="s">
        <v>287</v>
      </c>
      <c r="J11" s="57">
        <v>60</v>
      </c>
      <c r="K11" s="73">
        <f t="shared" si="0"/>
        <v>8.494854484183173E-2</v>
      </c>
      <c r="L11" s="73">
        <f t="shared" si="1"/>
        <v>4.0178365803569052E-2</v>
      </c>
      <c r="M11" s="73">
        <f t="shared" si="2"/>
        <v>6.0841525359690294E-3</v>
      </c>
      <c r="N11" s="34"/>
    </row>
    <row r="12" spans="1:14" x14ac:dyDescent="0.25">
      <c r="A12" s="67" t="s">
        <v>285</v>
      </c>
      <c r="B12" s="129">
        <v>-20.322901999999999</v>
      </c>
      <c r="C12" s="129">
        <v>-40.397633999999996</v>
      </c>
      <c r="D12" s="74">
        <f>Dados!C19/8760</f>
        <v>14.721001939139729</v>
      </c>
      <c r="E12" s="80">
        <v>1</v>
      </c>
      <c r="F12" s="163">
        <f>'FE-Transferências'!$B$3*0.0016*(($B$1/2.2)^1.3)/(($E12/2)^1.4)</f>
        <v>7.2282377015546288E-3</v>
      </c>
      <c r="G12" s="122">
        <f>'FE-Transferências'!$C$3*0.0016*(($B$1/2.2)^1.3)/(($E12/2)^1.4)</f>
        <v>3.418761075059621E-3</v>
      </c>
      <c r="H12" s="122">
        <f>'FE-Transferências'!$D$3*0.0016*(($B$1/2.2)^1.3)/(($E12/2)^1.4)</f>
        <v>5.176981056518856E-4</v>
      </c>
      <c r="I12" s="122" t="s">
        <v>287</v>
      </c>
      <c r="J12" s="57">
        <v>60</v>
      </c>
      <c r="K12" s="73">
        <f t="shared" si="0"/>
        <v>4.2562760488459438E-2</v>
      </c>
      <c r="L12" s="73">
        <f t="shared" si="1"/>
        <v>2.0131035366163244E-2</v>
      </c>
      <c r="M12" s="73">
        <f t="shared" si="2"/>
        <v>3.048413926876149E-3</v>
      </c>
      <c r="N12" s="34"/>
    </row>
    <row r="13" spans="1:14" x14ac:dyDescent="0.25">
      <c r="A13" s="67" t="s">
        <v>265</v>
      </c>
      <c r="B13" s="128">
        <v>-20.322678</v>
      </c>
      <c r="C13" s="128">
        <v>-40.398010999999997</v>
      </c>
      <c r="D13" s="74">
        <f>SUM(Dados!C15:C18)/8760</f>
        <v>75.074049390248973</v>
      </c>
      <c r="E13" s="80">
        <v>1</v>
      </c>
      <c r="F13" s="163">
        <f>'FE-Transferências'!$B$3*0.0016*(($B$1/2.2)^1.3)/(($E13/2)^1.4)</f>
        <v>7.2282377015546288E-3</v>
      </c>
      <c r="G13" s="122">
        <f>'FE-Transferências'!$C$3*0.0016*(($B$1/2.2)^1.3)/(($E13/2)^1.4)</f>
        <v>3.418761075059621E-3</v>
      </c>
      <c r="H13" s="122">
        <f>'FE-Transferências'!$D$3*0.0016*(($B$1/2.2)^1.3)/(($E13/2)^1.4)</f>
        <v>5.176981056518856E-4</v>
      </c>
      <c r="I13" s="122" t="s">
        <v>287</v>
      </c>
      <c r="J13" s="57">
        <v>60</v>
      </c>
      <c r="K13" s="73">
        <f t="shared" si="0"/>
        <v>0.21706122968438879</v>
      </c>
      <c r="L13" s="73">
        <f t="shared" si="1"/>
        <v>0.10266409512099467</v>
      </c>
      <c r="M13" s="73">
        <f t="shared" si="2"/>
        <v>1.5546277261179195E-2</v>
      </c>
      <c r="N13" s="34"/>
    </row>
    <row r="14" spans="1:14" x14ac:dyDescent="0.25">
      <c r="A14" s="67" t="s">
        <v>263</v>
      </c>
      <c r="B14" s="137">
        <v>-20.322904999999999</v>
      </c>
      <c r="C14" s="47">
        <v>-40.398153999999998</v>
      </c>
      <c r="D14" s="74">
        <f>SUM(Dados!C15:C18)/8760</f>
        <v>75.074049390248973</v>
      </c>
      <c r="E14" s="80">
        <v>1</v>
      </c>
      <c r="F14" s="163">
        <f>'FE-Transferências'!$B$3*0.0016*(($B$1/2.2)^1.3)/(($E14/2)^1.4)</f>
        <v>7.2282377015546288E-3</v>
      </c>
      <c r="G14" s="122">
        <f>'FE-Transferências'!$C$3*0.0016*(($B$1/2.2)^1.3)/(($E14/2)^1.4)</f>
        <v>3.418761075059621E-3</v>
      </c>
      <c r="H14" s="122">
        <f>'FE-Transferências'!$D$3*0.0016*(($B$1/2.2)^1.3)/(($E14/2)^1.4)</f>
        <v>5.176981056518856E-4</v>
      </c>
      <c r="I14" s="122" t="s">
        <v>287</v>
      </c>
      <c r="J14" s="57">
        <v>60</v>
      </c>
      <c r="K14" s="73">
        <f t="shared" si="0"/>
        <v>0.21706122968438879</v>
      </c>
      <c r="L14" s="73">
        <f t="shared" si="1"/>
        <v>0.10266409512099467</v>
      </c>
      <c r="M14" s="73">
        <f t="shared" si="2"/>
        <v>1.5546277261179195E-2</v>
      </c>
      <c r="N14" s="34"/>
    </row>
    <row r="15" spans="1:14" x14ac:dyDescent="0.25">
      <c r="A15" s="13" t="s">
        <v>266</v>
      </c>
      <c r="B15" s="128">
        <v>-20.323073000000001</v>
      </c>
      <c r="C15" s="128">
        <v>-40.398330000000001</v>
      </c>
      <c r="D15" s="74">
        <f>SUM(Dados!C15:C18)/8760</f>
        <v>75.074049390248973</v>
      </c>
      <c r="E15" s="80">
        <v>1</v>
      </c>
      <c r="F15" s="163">
        <f>'FE-Transferências'!$B$3*0.0016*(($B$1/2.2)^1.3)/(($E15/2)^1.4)</f>
        <v>7.2282377015546288E-3</v>
      </c>
      <c r="G15" s="122">
        <f>'FE-Transferências'!$C$3*0.0016*(($B$1/2.2)^1.3)/(($E15/2)^1.4)</f>
        <v>3.418761075059621E-3</v>
      </c>
      <c r="H15" s="122">
        <f>'FE-Transferências'!$D$3*0.0016*(($B$1/2.2)^1.3)/(($E15/2)^1.4)</f>
        <v>5.176981056518856E-4</v>
      </c>
      <c r="I15" s="122" t="s">
        <v>287</v>
      </c>
      <c r="J15" s="57">
        <v>60</v>
      </c>
      <c r="K15" s="73">
        <f t="shared" si="0"/>
        <v>0.21706122968438879</v>
      </c>
      <c r="L15" s="73">
        <f t="shared" si="1"/>
        <v>0.10266409512099467</v>
      </c>
      <c r="M15" s="73">
        <f t="shared" si="2"/>
        <v>1.5546277261179195E-2</v>
      </c>
      <c r="N15" s="34"/>
    </row>
    <row r="16" spans="1:14" x14ac:dyDescent="0.25">
      <c r="A16" s="13" t="s">
        <v>268</v>
      </c>
      <c r="B16" s="137">
        <v>-20.322233000000001</v>
      </c>
      <c r="C16" s="47">
        <v>-40.396937999999999</v>
      </c>
      <c r="D16" s="74">
        <f>Dados!C15/8760</f>
        <v>15.118866856413776</v>
      </c>
      <c r="E16" s="80">
        <v>1</v>
      </c>
      <c r="F16" s="163">
        <f>'FE-Transferências'!$B$3*0.0016*(($B$1/2.2)^1.3)/(($E16/2)^1.4)</f>
        <v>7.2282377015546288E-3</v>
      </c>
      <c r="G16" s="122">
        <f>'FE-Transferências'!$C$3*0.0016*(($B$1/2.2)^1.3)/(($E16/2)^1.4)</f>
        <v>3.418761075059621E-3</v>
      </c>
      <c r="H16" s="122">
        <f>'FE-Transferências'!$D$3*0.0016*(($B$1/2.2)^1.3)/(($E16/2)^1.4)</f>
        <v>5.176981056518856E-4</v>
      </c>
      <c r="I16" s="122" t="s">
        <v>287</v>
      </c>
      <c r="J16" s="57">
        <v>60</v>
      </c>
      <c r="K16" s="73">
        <f t="shared" si="0"/>
        <v>4.3713105366525909E-2</v>
      </c>
      <c r="L16" s="73">
        <f t="shared" si="1"/>
        <v>2.0675117403086574E-2</v>
      </c>
      <c r="M16" s="73">
        <f t="shared" si="2"/>
        <v>3.1308034924673964E-3</v>
      </c>
      <c r="N16" s="34"/>
    </row>
    <row r="17" spans="1:14" x14ac:dyDescent="0.25">
      <c r="A17" s="13" t="s">
        <v>269</v>
      </c>
      <c r="B17" s="129">
        <v>-20.323367000000001</v>
      </c>
      <c r="C17" s="129">
        <v>-40.398496000000002</v>
      </c>
      <c r="D17" s="74">
        <f>Dados!C16/8760</f>
        <v>4.9274039754708872</v>
      </c>
      <c r="E17" s="80">
        <v>1</v>
      </c>
      <c r="F17" s="163">
        <f>'FE-Transferências'!$B$3*0.0016*(($B$1/2.2)^1.3)/(($E17/2)^1.4)</f>
        <v>7.2282377015546288E-3</v>
      </c>
      <c r="G17" s="122">
        <f>'FE-Transferências'!$C$3*0.0016*(($B$1/2.2)^1.3)/(($E17/2)^1.4)</f>
        <v>3.418761075059621E-3</v>
      </c>
      <c r="H17" s="122">
        <f>'FE-Transferências'!$D$3*0.0016*(($B$1/2.2)^1.3)/(($E17/2)^1.4)</f>
        <v>5.176981056518856E-4</v>
      </c>
      <c r="I17" s="122" t="s">
        <v>287</v>
      </c>
      <c r="J17" s="57">
        <v>60</v>
      </c>
      <c r="K17" s="73">
        <f t="shared" si="0"/>
        <v>1.4246578874515532E-2</v>
      </c>
      <c r="L17" s="73">
        <f t="shared" si="1"/>
        <v>6.73824676497356E-3</v>
      </c>
      <c r="M17" s="73">
        <f t="shared" si="2"/>
        <v>1.0203630815531395E-3</v>
      </c>
      <c r="N17" s="34"/>
    </row>
    <row r="18" spans="1:14" x14ac:dyDescent="0.25">
      <c r="A18" s="13" t="s">
        <v>270</v>
      </c>
      <c r="B18" s="136">
        <v>-20.323487</v>
      </c>
      <c r="C18" s="129">
        <v>-40.398359999999997</v>
      </c>
      <c r="D18" s="74">
        <f>Dados!C17/8760</f>
        <v>38.684711956491938</v>
      </c>
      <c r="E18" s="80">
        <v>1</v>
      </c>
      <c r="F18" s="163">
        <f>'FE-Transferências'!$B$3*0.0016*(($B$1/2.2)^1.3)/(($E18/2)^1.4)</f>
        <v>7.2282377015546288E-3</v>
      </c>
      <c r="G18" s="122">
        <f>'FE-Transferências'!$C$3*0.0016*(($B$1/2.2)^1.3)/(($E18/2)^1.4)</f>
        <v>3.418761075059621E-3</v>
      </c>
      <c r="H18" s="122">
        <f>'FE-Transferências'!$D$3*0.0016*(($B$1/2.2)^1.3)/(($E18/2)^1.4)</f>
        <v>5.176981056518856E-4</v>
      </c>
      <c r="I18" s="122" t="s">
        <v>287</v>
      </c>
      <c r="J18" s="57">
        <v>60</v>
      </c>
      <c r="K18" s="73">
        <f t="shared" si="0"/>
        <v>0.11184891737507847</v>
      </c>
      <c r="L18" s="73">
        <f t="shared" si="1"/>
        <v>5.2901514974699262E-2</v>
      </c>
      <c r="M18" s="73">
        <f t="shared" si="2"/>
        <v>8.0108008390258906E-3</v>
      </c>
      <c r="N18" s="34"/>
    </row>
    <row r="19" spans="1:14" x14ac:dyDescent="0.25">
      <c r="A19" s="13" t="s">
        <v>271</v>
      </c>
      <c r="B19" s="129">
        <v>-20.323246999999999</v>
      </c>
      <c r="C19" s="129">
        <v>-40.398192000000002</v>
      </c>
      <c r="D19" s="74">
        <f>Dados!C18/8760</f>
        <v>16.343066601872383</v>
      </c>
      <c r="E19" s="80">
        <v>1</v>
      </c>
      <c r="F19" s="163">
        <f>'FE-Transferências'!$B$3*0.0016*(($B$1/2.2)^1.3)/(($E19/2)^1.4)</f>
        <v>7.2282377015546288E-3</v>
      </c>
      <c r="G19" s="122">
        <f>'FE-Transferências'!$C$3*0.0016*(($B$1/2.2)^1.3)/(($E19/2)^1.4)</f>
        <v>3.418761075059621E-3</v>
      </c>
      <c r="H19" s="122">
        <f>'FE-Transferências'!$D$3*0.0016*(($B$1/2.2)^1.3)/(($E19/2)^1.4)</f>
        <v>5.176981056518856E-4</v>
      </c>
      <c r="I19" s="122" t="s">
        <v>287</v>
      </c>
      <c r="J19" s="57">
        <v>60</v>
      </c>
      <c r="K19" s="73">
        <f t="shared" si="0"/>
        <v>4.7252628068268909E-2</v>
      </c>
      <c r="L19" s="73">
        <f t="shared" si="1"/>
        <v>2.234921597823529E-2</v>
      </c>
      <c r="M19" s="73">
        <f t="shared" si="2"/>
        <v>3.3843098481327731E-3</v>
      </c>
      <c r="N19" s="34"/>
    </row>
    <row r="20" spans="1:14" x14ac:dyDescent="0.25">
      <c r="A20" s="67" t="s">
        <v>272</v>
      </c>
      <c r="B20" s="137">
        <v>-20.322375999999998</v>
      </c>
      <c r="C20" s="47">
        <v>-40.397165000000001</v>
      </c>
      <c r="D20" s="74">
        <f>SUM(Dados!C21:C25)/8760</f>
        <v>33.861364959385028</v>
      </c>
      <c r="E20" s="80">
        <v>1</v>
      </c>
      <c r="F20" s="163">
        <f>'FE-Transferências'!$B$3*0.0016*(($B$1/2.2)^1.3)/(($E20/2)^1.4)</f>
        <v>7.2282377015546288E-3</v>
      </c>
      <c r="G20" s="122">
        <f>'FE-Transferências'!$C$3*0.0016*(($B$1/2.2)^1.3)/(($E20/2)^1.4)</f>
        <v>3.418761075059621E-3</v>
      </c>
      <c r="H20" s="122">
        <f>'FE-Transferências'!$D$3*0.0016*(($B$1/2.2)^1.3)/(($E20/2)^1.4)</f>
        <v>5.176981056518856E-4</v>
      </c>
      <c r="I20" s="122" t="s">
        <v>287</v>
      </c>
      <c r="J20" s="57">
        <v>60</v>
      </c>
      <c r="K20" s="73">
        <f t="shared" si="0"/>
        <v>9.7903197930211072E-2</v>
      </c>
      <c r="L20" s="73">
        <f t="shared" si="1"/>
        <v>4.6305566588613338E-2</v>
      </c>
      <c r="M20" s="73">
        <f t="shared" si="2"/>
        <v>7.0119857977043072E-3</v>
      </c>
      <c r="N20" s="34"/>
    </row>
    <row r="21" spans="1:14" x14ac:dyDescent="0.25">
      <c r="A21" s="67" t="s">
        <v>274</v>
      </c>
      <c r="B21" s="133">
        <v>-20.322649999999999</v>
      </c>
      <c r="C21" s="127">
        <v>-40.397042999999996</v>
      </c>
      <c r="D21" s="74">
        <f>0.5*SUM(Dados!C21:C25)/8760</f>
        <v>16.930682479692514</v>
      </c>
      <c r="E21" s="80">
        <v>1</v>
      </c>
      <c r="F21" s="163">
        <f>'FE-Transferências'!$B$3*0.0016*(($B$1/2.2)^1.3)/(($E21/2)^1.4)</f>
        <v>7.2282377015546288E-3</v>
      </c>
      <c r="G21" s="122">
        <f>'FE-Transferências'!$C$3*0.0016*(($B$1/2.2)^1.3)/(($E21/2)^1.4)</f>
        <v>3.418761075059621E-3</v>
      </c>
      <c r="H21" s="122">
        <f>'FE-Transferências'!$D$3*0.0016*(($B$1/2.2)^1.3)/(($E21/2)^1.4)</f>
        <v>5.176981056518856E-4</v>
      </c>
      <c r="I21" s="122" t="s">
        <v>287</v>
      </c>
      <c r="J21" s="57">
        <v>60</v>
      </c>
      <c r="K21" s="73">
        <f t="shared" si="0"/>
        <v>4.8951598965105536E-2</v>
      </c>
      <c r="L21" s="73">
        <f t="shared" si="1"/>
        <v>2.3152783294306669E-2</v>
      </c>
      <c r="M21" s="73">
        <f t="shared" si="2"/>
        <v>3.5059928988521536E-3</v>
      </c>
      <c r="N21" s="34"/>
    </row>
    <row r="22" spans="1:14" x14ac:dyDescent="0.25">
      <c r="A22" s="67" t="s">
        <v>275</v>
      </c>
      <c r="B22" s="128">
        <v>-20.322599</v>
      </c>
      <c r="C22" s="128">
        <v>-40.396621000000003</v>
      </c>
      <c r="D22" s="74">
        <f>SUM(Dados!C21:C25)/8760</f>
        <v>33.861364959385028</v>
      </c>
      <c r="E22" s="80">
        <v>1</v>
      </c>
      <c r="F22" s="163">
        <f>'FE-Transferências'!$B$3*0.0016*(($B$1/2.2)^1.3)/(($E22/2)^1.4)</f>
        <v>7.2282377015546288E-3</v>
      </c>
      <c r="G22" s="122">
        <f>'FE-Transferências'!$C$3*0.0016*(($B$1/2.2)^1.3)/(($E22/2)^1.4)</f>
        <v>3.418761075059621E-3</v>
      </c>
      <c r="H22" s="122">
        <f>'FE-Transferências'!$D$3*0.0016*(($B$1/2.2)^1.3)/(($E22/2)^1.4)</f>
        <v>5.176981056518856E-4</v>
      </c>
      <c r="I22" s="122" t="s">
        <v>287</v>
      </c>
      <c r="J22" s="57">
        <v>60</v>
      </c>
      <c r="K22" s="73">
        <f t="shared" si="0"/>
        <v>9.7903197930211072E-2</v>
      </c>
      <c r="L22" s="73">
        <f t="shared" si="1"/>
        <v>4.6305566588613338E-2</v>
      </c>
      <c r="M22" s="73">
        <f t="shared" si="2"/>
        <v>7.0119857977043072E-3</v>
      </c>
    </row>
    <row r="23" spans="1:14" x14ac:dyDescent="0.25">
      <c r="A23" s="67" t="s">
        <v>276</v>
      </c>
      <c r="B23" s="128">
        <v>-20.322264000000001</v>
      </c>
      <c r="C23" s="128">
        <v>-40.396666000000003</v>
      </c>
      <c r="D23" s="74">
        <f>SUM(Dados!C21:C25)/8760</f>
        <v>33.861364959385028</v>
      </c>
      <c r="E23" s="80">
        <v>1</v>
      </c>
      <c r="F23" s="163">
        <f>'FE-Transferências'!$B$3*0.0016*(($B$1/2.2)^1.3)/(($E23/2)^1.4)</f>
        <v>7.2282377015546288E-3</v>
      </c>
      <c r="G23" s="122">
        <f>'FE-Transferências'!$C$3*0.0016*(($B$1/2.2)^1.3)/(($E23/2)^1.4)</f>
        <v>3.418761075059621E-3</v>
      </c>
      <c r="H23" s="122">
        <f>'FE-Transferências'!$D$3*0.0016*(($B$1/2.2)^1.3)/(($E23/2)^1.4)</f>
        <v>5.176981056518856E-4</v>
      </c>
      <c r="I23" s="122" t="s">
        <v>287</v>
      </c>
      <c r="J23" s="57">
        <v>60</v>
      </c>
      <c r="K23" s="73">
        <f t="shared" si="0"/>
        <v>9.7903197930211072E-2</v>
      </c>
      <c r="L23" s="73">
        <f t="shared" si="1"/>
        <v>4.6305566588613338E-2</v>
      </c>
      <c r="M23" s="73">
        <f t="shared" si="2"/>
        <v>7.0119857977043072E-3</v>
      </c>
      <c r="N23" s="34"/>
    </row>
    <row r="24" spans="1:14" x14ac:dyDescent="0.25">
      <c r="A24" s="13" t="s">
        <v>267</v>
      </c>
      <c r="B24" s="137">
        <v>-20.322233000000001</v>
      </c>
      <c r="C24" s="47">
        <v>-40.396937999999999</v>
      </c>
      <c r="D24" s="74">
        <f>Dados!C23/8760</f>
        <v>3.4889692745570255</v>
      </c>
      <c r="E24" s="80">
        <v>1</v>
      </c>
      <c r="F24" s="163">
        <f>'FE-Transferências'!$B$3*0.0016*(($B$1/2.2)^1.3)/(($E24/2)^1.4)</f>
        <v>7.2282377015546288E-3</v>
      </c>
      <c r="G24" s="122">
        <f>'FE-Transferências'!$C$3*0.0016*(($B$1/2.2)^1.3)/(($E24/2)^1.4)</f>
        <v>3.418761075059621E-3</v>
      </c>
      <c r="H24" s="122">
        <f>'FE-Transferências'!$D$3*0.0016*(($B$1/2.2)^1.3)/(($E24/2)^1.4)</f>
        <v>5.176981056518856E-4</v>
      </c>
      <c r="I24" s="122" t="s">
        <v>287</v>
      </c>
      <c r="J24" s="57">
        <v>60</v>
      </c>
      <c r="K24" s="73">
        <f t="shared" si="0"/>
        <v>1.0087639699967519E-2</v>
      </c>
      <c r="L24" s="73">
        <f t="shared" si="1"/>
        <v>4.7711809391738254E-3</v>
      </c>
      <c r="M24" s="73">
        <f t="shared" si="2"/>
        <v>7.2249311364632233E-4</v>
      </c>
      <c r="N24" s="34"/>
    </row>
    <row r="25" spans="1:14" x14ac:dyDescent="0.25">
      <c r="A25" s="13" t="s">
        <v>277</v>
      </c>
      <c r="B25" s="137">
        <v>-20.322061999999999</v>
      </c>
      <c r="C25" s="47">
        <v>-40.39676</v>
      </c>
      <c r="D25" s="74">
        <f>Dados!C24/8760</f>
        <v>9.1814980909395398</v>
      </c>
      <c r="E25" s="80">
        <v>1</v>
      </c>
      <c r="F25" s="163">
        <f>'FE-Transferências'!$B$3*0.0016*(($B$1/2.2)^1.3)/(($E25/2)^1.4)</f>
        <v>7.2282377015546288E-3</v>
      </c>
      <c r="G25" s="122">
        <f>'FE-Transferências'!$C$3*0.0016*(($B$1/2.2)^1.3)/(($E25/2)^1.4)</f>
        <v>3.418761075059621E-3</v>
      </c>
      <c r="H25" s="122">
        <f>'FE-Transferências'!$D$3*0.0016*(($B$1/2.2)^1.3)/(($E25/2)^1.4)</f>
        <v>5.176981056518856E-4</v>
      </c>
      <c r="I25" s="122" t="s">
        <v>287</v>
      </c>
      <c r="J25" s="57">
        <v>60</v>
      </c>
      <c r="K25" s="73">
        <f t="shared" si="0"/>
        <v>2.6546420263072412E-2</v>
      </c>
      <c r="L25" s="73">
        <f t="shared" si="1"/>
        <v>1.2555739313615328E-2</v>
      </c>
      <c r="M25" s="73">
        <f t="shared" si="2"/>
        <v>1.9012976674903214E-3</v>
      </c>
      <c r="N25" s="34"/>
    </row>
    <row r="26" spans="1:14" x14ac:dyDescent="0.25">
      <c r="A26" s="13" t="s">
        <v>286</v>
      </c>
      <c r="B26" s="137">
        <v>-20.322476000000002</v>
      </c>
      <c r="C26" s="47">
        <v>-40.396827000000002</v>
      </c>
      <c r="D26" s="74">
        <f>Dados!C25/8760</f>
        <v>10.313882855488751</v>
      </c>
      <c r="E26" s="80">
        <v>1</v>
      </c>
      <c r="F26" s="163">
        <f>'FE-Transferências'!$B$3*0.0016*(($B$1/2.2)^1.3)/(($E26/2)^1.4)</f>
        <v>7.2282377015546288E-3</v>
      </c>
      <c r="G26" s="122">
        <f>'FE-Transferências'!$C$3*0.0016*(($B$1/2.2)^1.3)/(($E26/2)^1.4)</f>
        <v>3.418761075059621E-3</v>
      </c>
      <c r="H26" s="122">
        <f>'FE-Transferências'!$D$3*0.0016*(($B$1/2.2)^1.3)/(($E26/2)^1.4)</f>
        <v>5.176981056518856E-4</v>
      </c>
      <c r="I26" s="122" t="s">
        <v>287</v>
      </c>
      <c r="J26" s="57">
        <v>60</v>
      </c>
      <c r="K26" s="73">
        <f t="shared" si="0"/>
        <v>2.9820478762184684E-2</v>
      </c>
      <c r="L26" s="73">
        <f t="shared" si="1"/>
        <v>1.410428049562789E-2</v>
      </c>
      <c r="M26" s="73">
        <f t="shared" si="2"/>
        <v>2.1357910464807951E-3</v>
      </c>
      <c r="N26" s="34"/>
    </row>
    <row r="27" spans="1:14" x14ac:dyDescent="0.25">
      <c r="A27" s="13" t="s">
        <v>280</v>
      </c>
      <c r="B27" s="137">
        <v>-20.322578</v>
      </c>
      <c r="C27" s="47">
        <v>-40.397221999999999</v>
      </c>
      <c r="D27" s="74">
        <f>SUM(Dados!C21:C22)/8760</f>
        <v>10.877014738399708</v>
      </c>
      <c r="E27" s="80">
        <v>1</v>
      </c>
      <c r="F27" s="163">
        <f>'FE-Transferências'!$B$3*0.0016*(($B$1/2.2)^1.3)/(($E27/2)^1.4)</f>
        <v>7.2282377015546288E-3</v>
      </c>
      <c r="G27" s="122">
        <f>'FE-Transferências'!$C$3*0.0016*(($B$1/2.2)^1.3)/(($E27/2)^1.4)</f>
        <v>3.418761075059621E-3</v>
      </c>
      <c r="H27" s="122">
        <f>'FE-Transferências'!$D$3*0.0016*(($B$1/2.2)^1.3)/(($E27/2)^1.4)</f>
        <v>5.176981056518856E-4</v>
      </c>
      <c r="I27" s="122" t="s">
        <v>287</v>
      </c>
      <c r="J27" s="57">
        <v>60</v>
      </c>
      <c r="K27" s="73">
        <f t="shared" si="0"/>
        <v>3.1448659204986455E-2</v>
      </c>
      <c r="L27" s="73">
        <f t="shared" si="1"/>
        <v>1.4874365840196292E-2</v>
      </c>
      <c r="M27" s="73">
        <f t="shared" si="2"/>
        <v>2.2524039700868677E-3</v>
      </c>
      <c r="N27" s="34"/>
    </row>
    <row r="28" spans="1:14" x14ac:dyDescent="0.25">
      <c r="A28" s="13" t="s">
        <v>281</v>
      </c>
      <c r="B28" s="128">
        <v>-20.322358000000001</v>
      </c>
      <c r="C28" s="128">
        <v>-40.397347000000003</v>
      </c>
      <c r="D28" s="74">
        <f>SUM(Dados!C21:C22)/8760</f>
        <v>10.877014738399708</v>
      </c>
      <c r="E28" s="80">
        <v>1</v>
      </c>
      <c r="F28" s="163">
        <f>'FE-Transferências'!$B$3*0.0016*(($B$1/2.2)^1.3)/(($E28/2)^1.4)</f>
        <v>7.2282377015546288E-3</v>
      </c>
      <c r="G28" s="122">
        <f>'FE-Transferências'!$C$3*0.0016*(($B$1/2.2)^1.3)/(($E28/2)^1.4)</f>
        <v>3.418761075059621E-3</v>
      </c>
      <c r="H28" s="122">
        <f>'FE-Transferências'!$D$3*0.0016*(($B$1/2.2)^1.3)/(($E28/2)^1.4)</f>
        <v>5.176981056518856E-4</v>
      </c>
      <c r="I28" s="122" t="s">
        <v>287</v>
      </c>
      <c r="J28" s="57">
        <v>60</v>
      </c>
      <c r="K28" s="73">
        <f t="shared" si="0"/>
        <v>3.1448659204986455E-2</v>
      </c>
      <c r="L28" s="73">
        <f t="shared" si="1"/>
        <v>1.4874365840196292E-2</v>
      </c>
      <c r="M28" s="73">
        <f t="shared" si="2"/>
        <v>2.2524039700868677E-3</v>
      </c>
    </row>
    <row r="29" spans="1:14" x14ac:dyDescent="0.25">
      <c r="A29" s="13" t="s">
        <v>278</v>
      </c>
      <c r="B29" s="137">
        <v>-20.322227000000002</v>
      </c>
      <c r="C29" s="47">
        <v>-40.397553000000002</v>
      </c>
      <c r="D29" s="74">
        <f>Dados!C22/8760</f>
        <v>2.521851475644727</v>
      </c>
      <c r="E29" s="80">
        <v>1</v>
      </c>
      <c r="F29" s="163">
        <f>'FE-Transferências'!$B$3*0.0016*(($B$1/2.2)^1.3)/(($E29/2)^1.4)</f>
        <v>7.2282377015546288E-3</v>
      </c>
      <c r="G29" s="122">
        <f>'FE-Transferências'!$C$3*0.0016*(($B$1/2.2)^1.3)/(($E29/2)^1.4)</f>
        <v>3.418761075059621E-3</v>
      </c>
      <c r="H29" s="122">
        <f>'FE-Transferências'!$D$3*0.0016*(($B$1/2.2)^1.3)/(($E29/2)^1.4)</f>
        <v>5.176981056518856E-4</v>
      </c>
      <c r="I29" s="122" t="s">
        <v>287</v>
      </c>
      <c r="J29" s="57">
        <v>60</v>
      </c>
      <c r="K29" s="73">
        <f t="shared" si="0"/>
        <v>7.2914167655905573E-3</v>
      </c>
      <c r="L29" s="73">
        <f t="shared" si="1"/>
        <v>3.4486430648063438E-3</v>
      </c>
      <c r="M29" s="73">
        <f t="shared" si="2"/>
        <v>5.22223092670675E-4</v>
      </c>
    </row>
    <row r="30" spans="1:14" x14ac:dyDescent="0.25">
      <c r="A30" s="13" t="s">
        <v>279</v>
      </c>
      <c r="B30" s="136">
        <v>-20.322243</v>
      </c>
      <c r="C30" s="129">
        <v>-40.397378000000003</v>
      </c>
      <c r="D30" s="74">
        <f>Dados!C21/8760</f>
        <v>8.3551632627549814</v>
      </c>
      <c r="E30" s="80">
        <v>1</v>
      </c>
      <c r="F30" s="163">
        <f>'FE-Transferências'!$B$3*0.0016*(($B$1/2.2)^1.3)/(($E30/2)^1.4)</f>
        <v>7.2282377015546288E-3</v>
      </c>
      <c r="G30" s="122">
        <f>'FE-Transferências'!$C$3*0.0016*(($B$1/2.2)^1.3)/(($E30/2)^1.4)</f>
        <v>3.418761075059621E-3</v>
      </c>
      <c r="H30" s="122">
        <f>'FE-Transferências'!$D$3*0.0016*(($B$1/2.2)^1.3)/(($E30/2)^1.4)</f>
        <v>5.176981056518856E-4</v>
      </c>
      <c r="I30" s="122" t="s">
        <v>287</v>
      </c>
      <c r="J30" s="57">
        <v>60</v>
      </c>
      <c r="K30" s="73">
        <f t="shared" si="0"/>
        <v>2.4157242439395897E-2</v>
      </c>
      <c r="L30" s="73">
        <f t="shared" si="1"/>
        <v>1.1425722775389949E-2</v>
      </c>
      <c r="M30" s="73">
        <f t="shared" si="2"/>
        <v>1.7301808774161929E-3</v>
      </c>
    </row>
    <row r="31" spans="1:14" ht="14.25" customHeight="1" x14ac:dyDescent="0.25">
      <c r="A31" s="13" t="s">
        <v>115</v>
      </c>
      <c r="B31" s="75">
        <v>-20.322673999999999</v>
      </c>
      <c r="C31" s="32">
        <v>-40.397742000000001</v>
      </c>
      <c r="D31" s="74">
        <f>Dados!A11/8760</f>
        <v>157.96461415525116</v>
      </c>
      <c r="E31" s="80">
        <v>1</v>
      </c>
      <c r="F31" s="163">
        <f>'FE-Transferências'!$B$3*0.0016*(($B$1/2.2)^1.3)/(($E31/2)^1.4)</f>
        <v>7.2282377015546288E-3</v>
      </c>
      <c r="G31" s="122">
        <f>'FE-Transferências'!$C$3*0.0016*(($B$1/2.2)^1.3)/(($E31/2)^1.4)</f>
        <v>3.418761075059621E-3</v>
      </c>
      <c r="H31" s="122">
        <f>'FE-Transferências'!$D$3*0.0016*(($B$1/2.2)^1.3)/(($E31/2)^1.4)</f>
        <v>5.176981056518856E-4</v>
      </c>
      <c r="I31" s="122" t="s">
        <v>287</v>
      </c>
      <c r="J31" s="57">
        <v>60</v>
      </c>
      <c r="K31" s="73">
        <f t="shared" si="0"/>
        <v>0.45672231181940659</v>
      </c>
      <c r="L31" s="73">
        <f t="shared" si="1"/>
        <v>0.21601730964431387</v>
      </c>
      <c r="M31" s="73">
        <f t="shared" si="2"/>
        <v>3.2711192603281827E-2</v>
      </c>
    </row>
    <row r="32" spans="1:14" x14ac:dyDescent="0.25">
      <c r="A32" s="233" t="s">
        <v>346</v>
      </c>
      <c r="B32" s="233"/>
      <c r="C32" s="233"/>
      <c r="D32" s="233"/>
      <c r="E32" s="233"/>
      <c r="F32" s="233"/>
      <c r="G32" s="233"/>
      <c r="H32" s="233"/>
      <c r="I32" s="233"/>
      <c r="J32" s="234"/>
      <c r="K32" s="31">
        <f>SUM(K5:K31)</f>
        <v>3.9898207798587313</v>
      </c>
      <c r="L32" s="31">
        <f t="shared" ref="L32:M32" si="3">SUM(L5:L31)</f>
        <v>1.8870773958791298</v>
      </c>
      <c r="M32" s="31">
        <f t="shared" si="3"/>
        <v>0.28575743423312538</v>
      </c>
      <c r="N32" s="20"/>
    </row>
    <row r="33" spans="1:4" x14ac:dyDescent="0.25">
      <c r="C33" s="34"/>
    </row>
    <row r="36" spans="1:4" x14ac:dyDescent="0.25">
      <c r="A36" s="34"/>
      <c r="B36" s="34"/>
    </row>
    <row r="38" spans="1:4" x14ac:dyDescent="0.25">
      <c r="A38" s="34"/>
    </row>
    <row r="40" spans="1:4" x14ac:dyDescent="0.25">
      <c r="D40" s="120"/>
    </row>
  </sheetData>
  <sheetProtection algorithmName="SHA-512" hashValue="kt7IG+AggRoItjVmU+TKqbqT/13xezJgRqBmlCKXWvqTPlrVxqjY1kGyW8jSPECuxkb0Nq02KQREQDi578FexQ==" saltValue="Hqkh6reObWaEzzzAN6tbzA==" spinCount="100000" sheet="1" objects="1" scenarios="1"/>
  <mergeCells count="9">
    <mergeCell ref="A32:J32"/>
    <mergeCell ref="A3:A4"/>
    <mergeCell ref="D3:D4"/>
    <mergeCell ref="E3:E4"/>
    <mergeCell ref="K3:M3"/>
    <mergeCell ref="F3:H3"/>
    <mergeCell ref="B3:B4"/>
    <mergeCell ref="C3:C4"/>
    <mergeCell ref="I3:J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2</vt:i4>
      </vt:variant>
    </vt:vector>
  </HeadingPairs>
  <TitlesOfParts>
    <vt:vector size="14" baseType="lpstr">
      <vt:lpstr>FE-Perf e Det</vt:lpstr>
      <vt:lpstr>FE-Maq e Equip</vt:lpstr>
      <vt:lpstr>FE-Transferências</vt:lpstr>
      <vt:lpstr>FE-Brit e Pen</vt:lpstr>
      <vt:lpstr>FE-Vias</vt:lpstr>
      <vt:lpstr>Dados</vt:lpstr>
      <vt:lpstr>Emissão Perf e Det</vt:lpstr>
      <vt:lpstr>Emissão Maq e Equip</vt:lpstr>
      <vt:lpstr>Emissão Transferências</vt:lpstr>
      <vt:lpstr>Emissão Brit e Pen</vt:lpstr>
      <vt:lpstr>Emissão Vias </vt:lpstr>
      <vt:lpstr>Resumo</vt:lpstr>
      <vt:lpstr>FE_Equip</vt:lpstr>
      <vt:lpstr>Pot_Equip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2016-12-13T12:13:55Z</dcterms:created>
  <dcterms:modified xsi:type="dcterms:W3CDTF">2019-06-06T19:31:47Z</dcterms:modified>
</cp:coreProperties>
</file>