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Britador Alvorada\"/>
    </mc:Choice>
  </mc:AlternateContent>
  <bookViews>
    <workbookView xWindow="0" yWindow="0" windowWidth="24000" windowHeight="9135" tabRatio="903" firstSheet="1" activeTab="11"/>
  </bookViews>
  <sheets>
    <sheet name="FE-Perf e Det" sheetId="20" r:id="rId1"/>
    <sheet name="FE-Maq e Equip" sheetId="6" r:id="rId2"/>
    <sheet name="FE-Transferências" sheetId="10" r:id="rId3"/>
    <sheet name="FE-Brit e Pen" sheetId="25" r:id="rId4"/>
    <sheet name="FE-Vias" sheetId="13" r:id="rId5"/>
    <sheet name="Dados" sheetId="16" r:id="rId6"/>
    <sheet name="Emissão Perf e Det" sheetId="18" r:id="rId7"/>
    <sheet name="Emissão Maq e Equip" sheetId="5" r:id="rId8"/>
    <sheet name="Emissão Transferências" sheetId="8" r:id="rId9"/>
    <sheet name="Emissão Brit e Pen" sheetId="22" r:id="rId10"/>
    <sheet name="Emissão Vias " sheetId="9" r:id="rId11"/>
    <sheet name="Resumo" sheetId="26" r:id="rId12"/>
  </sheets>
  <definedNames>
    <definedName name="FE_Equip">'FE-Maq e Equip'!$B$3:$I$17</definedName>
    <definedName name="Pot_Equip">'FE-Maq e Equip'!$B$3:$B$17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8" l="1"/>
  <c r="F10" i="8"/>
  <c r="G10" i="8"/>
  <c r="H10" i="8"/>
  <c r="D10" i="8"/>
  <c r="D9" i="8"/>
  <c r="B5" i="22"/>
  <c r="I10" i="8" l="1"/>
  <c r="J10" i="8"/>
  <c r="K10" i="8"/>
  <c r="B10" i="22"/>
  <c r="G17" i="13" l="1"/>
  <c r="P8" i="9" s="1"/>
  <c r="J16" i="13"/>
  <c r="J15" i="13"/>
  <c r="J14" i="13"/>
  <c r="J13" i="13"/>
  <c r="J12" i="13"/>
  <c r="J11" i="13"/>
  <c r="J10" i="13"/>
  <c r="J9" i="13"/>
  <c r="J8" i="13"/>
  <c r="J7" i="13"/>
  <c r="J6" i="13"/>
  <c r="J5" i="13"/>
  <c r="N7" i="9" l="1"/>
  <c r="P5" i="9"/>
  <c r="N4" i="9"/>
  <c r="P6" i="9"/>
  <c r="N5" i="9"/>
  <c r="O4" i="9"/>
  <c r="O8" i="9"/>
  <c r="P7" i="9"/>
  <c r="O6" i="9"/>
  <c r="N8" i="9"/>
  <c r="O7" i="9"/>
  <c r="N6" i="9"/>
  <c r="O5" i="9"/>
  <c r="P4" i="9"/>
  <c r="H11" i="8"/>
  <c r="K11" i="8" s="1"/>
  <c r="G11" i="8"/>
  <c r="J11" i="8" s="1"/>
  <c r="F11" i="8"/>
  <c r="I11" i="8" s="1"/>
  <c r="H9" i="8"/>
  <c r="K9" i="8" s="1"/>
  <c r="G9" i="8"/>
  <c r="J9" i="8" s="1"/>
  <c r="F9" i="8"/>
  <c r="I9" i="8" s="1"/>
  <c r="Q8" i="9" l="1"/>
  <c r="R8" i="9"/>
  <c r="S8" i="9"/>
  <c r="T8" i="9"/>
  <c r="U8" i="9"/>
  <c r="V8" i="9"/>
  <c r="W8" i="9"/>
  <c r="V7" i="9" l="1"/>
  <c r="V6" i="9"/>
  <c r="V5" i="9"/>
  <c r="V4" i="9"/>
  <c r="U7" i="9"/>
  <c r="U6" i="9"/>
  <c r="U5" i="9"/>
  <c r="U4" i="9"/>
  <c r="E11" i="22" l="1"/>
  <c r="E10" i="22"/>
  <c r="E5" i="22"/>
  <c r="E4" i="22"/>
  <c r="E3" i="22"/>
  <c r="G3" i="18" l="1"/>
  <c r="Q6" i="9" l="1"/>
  <c r="R6" i="9"/>
  <c r="S6" i="9"/>
  <c r="T6" i="9"/>
  <c r="W6" i="9"/>
  <c r="Q7" i="9"/>
  <c r="R7" i="9"/>
  <c r="S7" i="9"/>
  <c r="T7" i="9"/>
  <c r="W7" i="9"/>
  <c r="T5" i="9"/>
  <c r="S5" i="9"/>
  <c r="R5" i="9"/>
  <c r="Q5" i="9"/>
  <c r="W5" i="9"/>
  <c r="G16" i="8" l="1"/>
  <c r="H16" i="8"/>
  <c r="F15" i="8"/>
  <c r="F14" i="8"/>
  <c r="F13" i="8"/>
  <c r="F12" i="8"/>
  <c r="F8" i="8"/>
  <c r="F7" i="8"/>
  <c r="F6" i="8"/>
  <c r="F16" i="8"/>
  <c r="D5" i="22"/>
  <c r="D4" i="22"/>
  <c r="D3" i="22"/>
  <c r="C5" i="22"/>
  <c r="C4" i="22"/>
  <c r="C3" i="22"/>
  <c r="G13" i="8" l="1"/>
  <c r="H13" i="8"/>
  <c r="G14" i="8"/>
  <c r="H14" i="8"/>
  <c r="G15" i="8"/>
  <c r="H15" i="8"/>
  <c r="G8" i="8"/>
  <c r="H8" i="8"/>
  <c r="G12" i="8"/>
  <c r="H12" i="8"/>
  <c r="G7" i="8"/>
  <c r="H7" i="8"/>
  <c r="H6" i="8"/>
  <c r="G6" i="8"/>
  <c r="D11" i="22"/>
  <c r="C11" i="22"/>
  <c r="D10" i="22"/>
  <c r="C10" i="22"/>
  <c r="F9" i="18" l="1"/>
  <c r="J9" i="18"/>
  <c r="K9" i="18"/>
  <c r="E9" i="18"/>
  <c r="D9" i="18"/>
  <c r="G9" i="18" s="1"/>
  <c r="D3" i="18"/>
  <c r="F3" i="18"/>
  <c r="E3" i="18"/>
  <c r="L9" i="18" l="1"/>
  <c r="L10" i="18" s="1"/>
  <c r="P9" i="18"/>
  <c r="P10" i="18" s="1"/>
  <c r="O9" i="18"/>
  <c r="O10" i="18" s="1"/>
  <c r="I3" i="18"/>
  <c r="I4" i="18" s="1"/>
  <c r="J3" i="18"/>
  <c r="J4" i="18" s="1"/>
  <c r="H3" i="18"/>
  <c r="H4" i="18" s="1"/>
  <c r="B3" i="26" s="1"/>
  <c r="I9" i="18"/>
  <c r="N9" i="18" s="1"/>
  <c r="N10" i="18" s="1"/>
  <c r="H9" i="18"/>
  <c r="M9" i="18" s="1"/>
  <c r="M10" i="18" s="1"/>
  <c r="C3" i="26" l="1"/>
  <c r="D3" i="26"/>
  <c r="D20" i="16"/>
  <c r="C20" i="16"/>
  <c r="B20" i="16"/>
  <c r="D16" i="8" l="1"/>
  <c r="F8" i="9" s="1"/>
  <c r="H8" i="9" s="1"/>
  <c r="I8" i="9" s="1"/>
  <c r="D5" i="8"/>
  <c r="D7" i="8"/>
  <c r="B3" i="22"/>
  <c r="D15" i="8"/>
  <c r="D13" i="8"/>
  <c r="F7" i="9" s="1"/>
  <c r="H7" i="9" s="1"/>
  <c r="I7" i="9" s="1"/>
  <c r="D14" i="8"/>
  <c r="B11" i="22"/>
  <c r="D12" i="8"/>
  <c r="D8" i="8"/>
  <c r="B4" i="22"/>
  <c r="H6" i="5"/>
  <c r="I6" i="5" s="1"/>
  <c r="K6" i="5"/>
  <c r="L6" i="5"/>
  <c r="M6" i="5"/>
  <c r="N6" i="5"/>
  <c r="H7" i="5"/>
  <c r="I7" i="5" s="1"/>
  <c r="K7" i="5"/>
  <c r="L7" i="5"/>
  <c r="M7" i="5"/>
  <c r="N7" i="5"/>
  <c r="H8" i="5"/>
  <c r="J8" i="5" s="1"/>
  <c r="K8" i="5"/>
  <c r="L8" i="5"/>
  <c r="M8" i="5"/>
  <c r="N8" i="5"/>
  <c r="F5" i="9" l="1"/>
  <c r="H5" i="9" s="1"/>
  <c r="I5" i="9" s="1"/>
  <c r="F6" i="9"/>
  <c r="H6" i="9" s="1"/>
  <c r="I6" i="9" s="1"/>
  <c r="AC7" i="9"/>
  <c r="Z7" i="9"/>
  <c r="X7" i="9"/>
  <c r="AD7" i="9"/>
  <c r="AB7" i="9"/>
  <c r="Y7" i="9"/>
  <c r="AA7" i="9"/>
  <c r="Y8" i="9"/>
  <c r="AC8" i="9"/>
  <c r="X8" i="9"/>
  <c r="Z8" i="9"/>
  <c r="AD8" i="9"/>
  <c r="AA8" i="9"/>
  <c r="AB8" i="9"/>
  <c r="D6" i="8"/>
  <c r="I6" i="8" s="1"/>
  <c r="F4" i="9"/>
  <c r="H4" i="9" s="1"/>
  <c r="I5" i="22"/>
  <c r="J5" i="22"/>
  <c r="H5" i="22"/>
  <c r="I3" i="22"/>
  <c r="J3" i="22"/>
  <c r="H3" i="22"/>
  <c r="I14" i="8"/>
  <c r="K14" i="8"/>
  <c r="J14" i="8"/>
  <c r="I8" i="8"/>
  <c r="K8" i="8"/>
  <c r="J8" i="8"/>
  <c r="F11" i="22"/>
  <c r="G11" i="22"/>
  <c r="H11" i="22"/>
  <c r="H10" i="22"/>
  <c r="F10" i="22"/>
  <c r="F12" i="22" s="1"/>
  <c r="G10" i="22"/>
  <c r="I7" i="8"/>
  <c r="J7" i="8"/>
  <c r="K7" i="8"/>
  <c r="I13" i="8"/>
  <c r="J13" i="8"/>
  <c r="K13" i="8"/>
  <c r="I4" i="22"/>
  <c r="H4" i="22"/>
  <c r="J4" i="22"/>
  <c r="I12" i="8"/>
  <c r="J12" i="8"/>
  <c r="K12" i="8"/>
  <c r="I15" i="8"/>
  <c r="J15" i="8"/>
  <c r="K15" i="8"/>
  <c r="K16" i="8"/>
  <c r="I16" i="8"/>
  <c r="J16" i="8"/>
  <c r="I8" i="5"/>
  <c r="J6" i="5"/>
  <c r="J7" i="5"/>
  <c r="R4" i="9"/>
  <c r="S4" i="9"/>
  <c r="T4" i="9"/>
  <c r="W4" i="9"/>
  <c r="Q4" i="9"/>
  <c r="K6" i="8" l="1"/>
  <c r="J6" i="8"/>
  <c r="Z6" i="9"/>
  <c r="X6" i="9"/>
  <c r="AB6" i="9"/>
  <c r="AC6" i="9"/>
  <c r="Y6" i="9"/>
  <c r="AD6" i="9"/>
  <c r="AA6" i="9"/>
  <c r="I6" i="22"/>
  <c r="H12" i="22"/>
  <c r="G12" i="22"/>
  <c r="H6" i="22"/>
  <c r="B6" i="26" s="1"/>
  <c r="J6" i="22"/>
  <c r="D6" i="26" s="1"/>
  <c r="C6" i="26" l="1"/>
  <c r="I4" i="9" l="1"/>
  <c r="Z4" i="9" l="1"/>
  <c r="Y4" i="9"/>
  <c r="X4" i="9"/>
  <c r="Y5" i="9"/>
  <c r="Z5" i="9"/>
  <c r="X5" i="9"/>
  <c r="AB5" i="9"/>
  <c r="AC5" i="9"/>
  <c r="AD5" i="9"/>
  <c r="AA5" i="9"/>
  <c r="AB4" i="9"/>
  <c r="AB9" i="9" s="1"/>
  <c r="AA4" i="9"/>
  <c r="AC4" i="9"/>
  <c r="AD4" i="9"/>
  <c r="AD9" i="9" s="1"/>
  <c r="H5" i="8"/>
  <c r="G5" i="8"/>
  <c r="F5" i="8"/>
  <c r="AA9" i="9" l="1"/>
  <c r="E7" i="26" s="1"/>
  <c r="X9" i="9"/>
  <c r="B7" i="26" s="1"/>
  <c r="Y9" i="9"/>
  <c r="C7" i="26" s="1"/>
  <c r="AC9" i="9"/>
  <c r="G7" i="26" s="1"/>
  <c r="Z9" i="9"/>
  <c r="D7" i="26" s="1"/>
  <c r="H7" i="26"/>
  <c r="F7" i="26"/>
  <c r="I5" i="8"/>
  <c r="I17" i="8" s="1"/>
  <c r="B4" i="26" s="1"/>
  <c r="J5" i="8"/>
  <c r="J17" i="8" s="1"/>
  <c r="C4" i="26" s="1"/>
  <c r="K5" i="8"/>
  <c r="K17" i="8" s="1"/>
  <c r="D4" i="26" s="1"/>
  <c r="H5" i="5"/>
  <c r="J5" i="5" s="1"/>
  <c r="K5" i="5"/>
  <c r="L5" i="5"/>
  <c r="M5" i="5"/>
  <c r="N5" i="5"/>
  <c r="I5" i="5" l="1"/>
  <c r="H4" i="5" l="1"/>
  <c r="H9" i="5" l="1"/>
  <c r="B5" i="26" s="1"/>
  <c r="K4" i="5"/>
  <c r="N4" i="5"/>
  <c r="I4" i="5"/>
  <c r="M4" i="5"/>
  <c r="L4" i="5"/>
  <c r="N9" i="5" l="1"/>
  <c r="H5" i="26" s="1"/>
  <c r="H9" i="26" s="1"/>
  <c r="L9" i="5"/>
  <c r="F5" i="26" s="1"/>
  <c r="F9" i="26" s="1"/>
  <c r="K9" i="5"/>
  <c r="E5" i="26" s="1"/>
  <c r="E9" i="26" s="1"/>
  <c r="M9" i="5"/>
  <c r="G5" i="26" s="1"/>
  <c r="G9" i="26" s="1"/>
  <c r="I9" i="5"/>
  <c r="C5" i="26" s="1"/>
  <c r="J4" i="5"/>
  <c r="J9" i="5" l="1"/>
  <c r="D5" i="26" s="1"/>
  <c r="B9" i="26" l="1"/>
  <c r="D9" i="26" l="1"/>
  <c r="C9" i="26"/>
</calcChain>
</file>

<file path=xl/comments1.xml><?xml version="1.0" encoding="utf-8"?>
<comments xmlns="http://schemas.openxmlformats.org/spreadsheetml/2006/main">
  <authors>
    <author>Alinie Rossi dos Santos</author>
  </authors>
  <commentList>
    <comment ref="D6" authorId="0" shapeId="0">
      <text>
        <r>
          <rPr>
            <sz val="9"/>
            <color indexed="81"/>
            <rFont val="Segoe UI"/>
            <family val="2"/>
          </rPr>
          <t>Fonte: National Pollutant Inventory. Emission Estimation Technique Manual for Mining. Australian Government. January 2012.
http://www.npi.gov.au/resource/emission-estimation-technique-manual-mining</t>
        </r>
      </text>
    </comment>
  </commentList>
</comments>
</file>

<file path=xl/comments10.xml><?xml version="1.0" encoding="utf-8"?>
<comments xmlns="http://schemas.openxmlformats.org/spreadsheetml/2006/main">
  <authors>
    <author>Alinie Rossi dos Santos</author>
    <author>Vanessa Brusco Filete</author>
  </authors>
  <commentList>
    <comment ref="G2" authorId="0" shapeId="0">
      <text>
        <r>
          <rPr>
            <sz val="9"/>
            <color indexed="81"/>
            <rFont val="Segoe UI"/>
            <family val="2"/>
          </rPr>
          <t>Como não foi informada a capacidade dos caminhões utilizados, foram consideradas as especificações técnicas de um caminhão basculante utilizado em atividade similar.
http://www1.dnit.gov.br/Pesagem/sis_sgpv/QFV/QFV%202008%20Divulga%C3%A7%C3%A3o.pdf</t>
        </r>
      </text>
    </comment>
    <comment ref="J2" authorId="0" shapeId="0">
      <text>
        <r>
          <rPr>
            <sz val="9"/>
            <color indexed="81"/>
            <rFont val="Segoe UI"/>
            <family val="2"/>
          </rPr>
          <t xml:space="preserve">USEPA (2006) - Unpaved Roads. Table 13.2.2-1 - Stone quarrying and processing
</t>
        </r>
      </text>
    </comment>
    <comment ref="K2" authorId="0" shapeId="0">
      <text>
        <r>
          <rPr>
            <sz val="9"/>
            <color indexed="81"/>
            <rFont val="Segoe UI"/>
            <family val="2"/>
          </rPr>
          <t xml:space="preserve">Como não foi informada a capacidade dos caminhões utilizados, foram consideradas as especificações técnicas de um caminhão basculante utilizado em atividade similar.
http://www1.dnit.gov.br/Pesagem/sis_sgpv/QFV/QFV%202008%20Divulga%C3%A7%C3%A3o.pdf
</t>
        </r>
      </text>
    </comment>
    <comment ref="L2" authorId="0" shapeId="0">
      <text>
        <r>
          <rPr>
            <sz val="9"/>
            <color indexed="81"/>
            <rFont val="Segoe UI"/>
            <family val="2"/>
          </rPr>
          <t>Informado pela empresa que ocorre umectação das vias três vezes aos dias.</t>
        </r>
      </text>
    </comment>
    <comment ref="M2" authorId="0" shapeId="0">
      <text>
        <r>
          <rPr>
            <sz val="9"/>
            <color indexed="81"/>
            <rFont val="Segoe UI"/>
            <family val="2"/>
          </rPr>
          <t>WRAP (2006) - MRI, 2001</t>
        </r>
      </text>
    </comment>
    <comment ref="W3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 xml:space="preserve">Referente ao ano de 2007
</t>
        </r>
      </text>
    </comment>
  </commentList>
</comments>
</file>

<file path=xl/comments3.xml><?xml version="1.0" encoding="utf-8"?>
<comments xmlns="http://schemas.openxmlformats.org/spreadsheetml/2006/main">
  <authors>
    <author>Alinie Rossi dos Santos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 xml:space="preserve"> No data available, but emission factors for PM-10 for tertiary crushers can be used as an upper limit for
primary or secondary crushing 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F3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1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1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1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5.xml><?xml version="1.0" encoding="utf-8"?>
<comments xmlns="http://schemas.openxmlformats.org/spreadsheetml/2006/main">
  <authors>
    <author>Alinie Rossi dos Santos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>07:00 às 17:00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4" authorId="0" shapeId="0">
      <text>
        <r>
          <rPr>
            <sz val="9"/>
            <color indexed="81"/>
            <rFont val="Segoe UI"/>
            <family val="2"/>
          </rPr>
          <t>07:00 às 12:00</t>
        </r>
      </text>
    </comment>
    <comment ref="A27" authorId="0" shapeId="0">
      <text>
        <r>
          <rPr>
            <sz val="9"/>
            <color indexed="81"/>
            <rFont val="Segoe UI"/>
            <family val="2"/>
          </rPr>
          <t xml:space="preserve">Considerando que toda quinta-feira do ano de 2015 houve detonação. 
</t>
        </r>
      </text>
    </comment>
    <comment ref="B27" authorId="0" shapeId="0">
      <text>
        <r>
          <rPr>
            <sz val="9"/>
            <color indexed="81"/>
            <rFont val="Segoe UI"/>
            <family val="2"/>
          </rPr>
          <t xml:space="preserve">Nº de quintas-feiras em 2015
</t>
        </r>
      </text>
    </comment>
  </commentList>
</comments>
</file>

<file path=xl/comments6.xml><?xml version="1.0" encoding="utf-8"?>
<comments xmlns="http://schemas.openxmlformats.org/spreadsheetml/2006/main">
  <authors>
    <author>Alinie Rossi dos Santos</author>
  </authors>
  <commentList>
    <comment ref="G3" authorId="0" shapeId="0">
      <text>
        <r>
          <rPr>
            <sz val="9"/>
            <color indexed="81"/>
            <rFont val="Segoe UI"/>
            <family val="2"/>
          </rPr>
          <t>Considerado o mesmo fator PM2.5/PM do processo de detonação</t>
        </r>
      </text>
    </comment>
    <comment ref="F7" authorId="0" shapeId="0">
      <text>
        <r>
          <rPr>
            <sz val="9"/>
            <color indexed="81"/>
            <rFont val="Segoe UI"/>
            <family val="2"/>
          </rPr>
          <t>Como foi informado pelo cliente apenas que o explosivo utilizado era encartuchado, foi considerado o tipo emulsão.</t>
        </r>
      </text>
    </comment>
  </commentList>
</comments>
</file>

<file path=xl/comments7.xml><?xml version="1.0" encoding="utf-8"?>
<comments xmlns="http://schemas.openxmlformats.org/spreadsheetml/2006/main">
  <authors>
    <author>Andrielly Moutinho Knupp</author>
  </authors>
  <commentList>
    <comment ref="I3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J3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L3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N3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</commentList>
</comments>
</file>

<file path=xl/comments8.xml><?xml version="1.0" encoding="utf-8"?>
<comments xmlns="http://schemas.openxmlformats.org/spreadsheetml/2006/main">
  <authors>
    <author>Alinie Rossi dos Santos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>Velocidade média do ano de 2015 da Estação Aeroporto</t>
        </r>
      </text>
    </comment>
    <comment ref="E3" authorId="0" shapeId="0">
      <text>
        <r>
          <rPr>
            <sz val="9"/>
            <color indexed="81"/>
            <rFont val="Segoe UI"/>
            <family val="2"/>
          </rPr>
          <t>USEPA (2003) Background Information for Revised AP-42 Section 11.19.2, Crushed Stone Processing
and Pulverized Mineral Processing:
The targeted moisture contents of the raw material (granite) during the uncontrolled  runs were &lt;1.5 percent. Assim, foi considerado o teor de umidade de 1%.</t>
        </r>
      </text>
    </comment>
    <comment ref="I3" authorId="0" shapeId="0">
      <text>
        <r>
          <rPr>
            <sz val="9"/>
            <color indexed="81"/>
            <rFont val="Segoe UI"/>
            <family val="2"/>
          </rPr>
          <t>Empresa faz uso de barreiras físicas em alguns pontos de transferência, porém como não foi informado estudo para determinação de eficiência de controle e não existe tal eficiência nas referências utilizadas, de forma conservadora, o controle não foi considerado.</t>
        </r>
      </text>
    </comment>
  </commentList>
</comments>
</file>

<file path=xl/comments9.xml><?xml version="1.0" encoding="utf-8"?>
<comments xmlns="http://schemas.openxmlformats.org/spreadsheetml/2006/main">
  <authors>
    <author>Alinie Rossi dos Santos</author>
  </authors>
  <commentList>
    <comment ref="G1" authorId="0" shapeId="0">
      <text>
        <r>
          <rPr>
            <sz val="9"/>
            <color indexed="81"/>
            <rFont val="Segoe UI"/>
            <family val="2"/>
          </rPr>
          <t xml:space="preserve">WRAP (2006) - Implement wet suppression </t>
        </r>
      </text>
    </comment>
    <comment ref="C2" authorId="0" shapeId="0">
      <text>
        <r>
          <rPr>
            <sz val="9"/>
            <color indexed="81"/>
            <rFont val="Segoe UI"/>
            <family val="2"/>
          </rPr>
          <t xml:space="preserve">Fonte: NDEP (2017)
https://ndep.nv.gov/uploads/air-permitting-docs/ndep-mining-emissions-guidance.pdf.
Tertiary Crushing Emission Factor is utilized as a
conservative estimate because there is no Primary and Secondary Crushing Emission Factor. </t>
        </r>
      </text>
    </comment>
    <comment ref="D2" authorId="0" shapeId="0">
      <text>
        <r>
          <rPr>
            <sz val="9"/>
            <color indexed="81"/>
            <rFont val="Segoe UI"/>
            <family val="2"/>
          </rPr>
          <t xml:space="preserve"> Fonte: USEPA, (2004). Section 11.19.2 . Table 11.19.2-1 = No data available, but emission factors for PM-10 for tertiary crushers can be used as an upper limit for
primary or secondary crushing.</t>
        </r>
      </text>
    </comment>
    <comment ref="E2" authorId="0" shapeId="0">
      <text>
        <r>
          <rPr>
            <sz val="9"/>
            <color indexed="81"/>
            <rFont val="Segoe UI"/>
            <family val="2"/>
          </rPr>
          <t xml:space="preserve">Fonte: NDEP (2017)
https://ndep.nv.gov/uploads/air-permitting-docs/ndep-mining-emissions-guidance.pdf.
Tertiary Crushing Emission Factor is utilized as a
conservative estimate because there is no Primary and Secondary Crushing Emission Factor. </t>
        </r>
      </text>
    </comment>
    <comment ref="E3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"Tertiary Crushing (controlled)"</t>
        </r>
      </text>
    </comment>
    <comment ref="E4" authorId="0" shapeId="0">
      <text>
        <r>
          <rPr>
            <sz val="9"/>
            <color indexed="81"/>
            <rFont val="Segoe UI"/>
            <family val="2"/>
          </rPr>
          <t xml:space="preserve">Considerada a mesma relação PM2.5/PM10 para o fator de "Tertiary Crushing (controlled)"
</t>
        </r>
      </text>
    </comment>
    <comment ref="A5" authorId="0" shapeId="0">
      <text>
        <r>
          <rPr>
            <sz val="9"/>
            <color indexed="81"/>
            <rFont val="Segoe UI"/>
            <family val="2"/>
          </rPr>
          <t>Como não foi informado a quantidade de material que passa novamente pelo rebritador,  foi considerado que 50% do material é rebritado.</t>
        </r>
      </text>
    </comment>
    <comment ref="E5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"Tertiary Crushing (controlled)"</t>
        </r>
      </text>
    </comment>
    <comment ref="A10" authorId="0" shapeId="0">
      <text>
        <r>
          <rPr>
            <sz val="9"/>
            <color indexed="81"/>
            <rFont val="Segoe UI"/>
            <family val="2"/>
          </rPr>
          <t>Como não foi informado pela empresa a eficiência de controle das barreiras físicas no peneiramento, e não existe eficiência estabelecida pelas referências utilizadas para esse tipo de controle, este não foi utilizado.</t>
        </r>
      </text>
    </comment>
    <comment ref="E10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  <comment ref="A11" authorId="0" shapeId="0">
      <text>
        <r>
          <rPr>
            <sz val="9"/>
            <color indexed="81"/>
            <rFont val="Segoe UI"/>
            <family val="2"/>
          </rPr>
          <t>Como não foi informado quanto do material passa novamente pelo peneiramento, foi considerado, que todo pó de rocha passa novamente pelo peneiramento</t>
        </r>
      </text>
    </comment>
    <comment ref="E11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</commentList>
</comments>
</file>

<file path=xl/sharedStrings.xml><?xml version="1.0" encoding="utf-8"?>
<sst xmlns="http://schemas.openxmlformats.org/spreadsheetml/2006/main" count="354" uniqueCount="216">
  <si>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</si>
  <si>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</si>
  <si>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</si>
  <si>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</si>
  <si>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</si>
  <si>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t>COV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</si>
  <si>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</si>
  <si>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</si>
  <si>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</si>
  <si>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</si>
  <si>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</si>
  <si>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</si>
  <si>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</si>
  <si>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</si>
  <si>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</si>
  <si>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</si>
  <si>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</si>
  <si>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Potência [hp]</t>
  </si>
  <si>
    <t>Equipamento [hp]</t>
  </si>
  <si>
    <t>Quantidade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</si>
  <si>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</si>
  <si>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</si>
  <si>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Equação Geral:</t>
  </si>
  <si>
    <t>Onde:
E - emissão (lb/dia)
n - número de equipamentos de cada categoria
H - número de horas diárias de operação do equipamento
EF - fator de emissão (lb/h)</t>
  </si>
  <si>
    <t>Tipo</t>
  </si>
  <si>
    <t>Pá Carregadeira</t>
  </si>
  <si>
    <t>Rubber Tired Loader 
(Pá Carrregadeira)</t>
  </si>
  <si>
    <t>Rubber Tired Loader - 25</t>
  </si>
  <si>
    <t>Rubber Tired Loader - 50</t>
  </si>
  <si>
    <t>Rubber Tired Loader - 120</t>
  </si>
  <si>
    <t>Rubber Tired Loader - 175</t>
  </si>
  <si>
    <t>Rubber Tired Loader - 250</t>
  </si>
  <si>
    <t>Rubber Tired Loader - 500</t>
  </si>
  <si>
    <t>Rubber Tired Loader - 750</t>
  </si>
  <si>
    <t>Rubber Tired Loader - 1000</t>
  </si>
  <si>
    <t>Taxa de Emissão (kg/h)</t>
  </si>
  <si>
    <t xml:space="preserve">PM 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</si>
  <si>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</si>
  <si>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</si>
  <si>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</si>
  <si>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</si>
  <si>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Escavadeira</t>
  </si>
  <si>
    <t>Material</t>
  </si>
  <si>
    <t xml:space="preserve">Fonte Emissora </t>
  </si>
  <si>
    <t>Não Pavimentada</t>
  </si>
  <si>
    <t>AP42 - 13.2.2 Unpaved Roads</t>
  </si>
  <si>
    <t>Table 13.2.2-2 Constants for Equations 1a and 1b</t>
  </si>
  <si>
    <t>Constant</t>
  </si>
  <si>
    <t>Industrial Roads (Equation 1a)</t>
  </si>
  <si>
    <t>PM2.5</t>
  </si>
  <si>
    <t>PM10</t>
  </si>
  <si>
    <t>PM30</t>
  </si>
  <si>
    <t>k (lb/VMT)</t>
  </si>
  <si>
    <t>a</t>
  </si>
  <si>
    <t>b</t>
  </si>
  <si>
    <t>Equation</t>
  </si>
  <si>
    <t>1 lb/VMT</t>
  </si>
  <si>
    <t>g/VKT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</si>
  <si>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</si>
  <si>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</si>
  <si>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Ano 2015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</si>
  <si>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</si>
  <si>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</si>
  <si>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</si>
  <si>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</si>
  <si>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</si>
  <si>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</si>
  <si>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</si>
  <si>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</si>
  <si>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</si>
  <si>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</si>
  <si>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</si>
  <si>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</si>
  <si>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</si>
  <si>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</si>
  <si>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</si>
  <si>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</si>
  <si>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</si>
  <si>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</si>
  <si>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Classe de Veículo</t>
  </si>
  <si>
    <t>Fator de emissão médio da frota veicular da RGV [g/km]</t>
  </si>
  <si>
    <t>Escapamento</t>
  </si>
  <si>
    <t>HCT</t>
  </si>
  <si>
    <t>Veículos Pesados</t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</si>
  <si>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</si>
  <si>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</si>
  <si>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</si>
  <si>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Excavator
(Escavadeira)</t>
  </si>
  <si>
    <t>Excavator - 25</t>
  </si>
  <si>
    <t>Excavator - 50</t>
  </si>
  <si>
    <t>Excavator - 120</t>
  </si>
  <si>
    <t>Excavator - 175</t>
  </si>
  <si>
    <t>Excavator - 250</t>
  </si>
  <si>
    <t>Excavator - 500</t>
  </si>
  <si>
    <t>Excavator - 750</t>
  </si>
  <si>
    <t>Mês</t>
  </si>
  <si>
    <t>Soma</t>
  </si>
  <si>
    <t>Quantidade Movimentada (t)</t>
  </si>
  <si>
    <t xml:space="preserve">Pedra Amarroada </t>
  </si>
  <si>
    <t xml:space="preserve">Brita </t>
  </si>
  <si>
    <t xml:space="preserve">Pó de Pedra </t>
  </si>
  <si>
    <t>Segunda-feira a sexta-feira (h)</t>
  </si>
  <si>
    <t>Sábado (h)</t>
  </si>
  <si>
    <t>Número de Detonações/ano</t>
  </si>
  <si>
    <t xml:space="preserve">Fator de Emissão </t>
  </si>
  <si>
    <t>DET - Detonação</t>
  </si>
  <si>
    <t>Encartuchado</t>
  </si>
  <si>
    <t>Número de furos/ano</t>
  </si>
  <si>
    <t xml:space="preserve">PER - Perfuração </t>
  </si>
  <si>
    <t>Fator de Emissão [kg/hole]</t>
  </si>
  <si>
    <t>Drilling - Overburden</t>
  </si>
  <si>
    <t xml:space="preserve"> Table 11.9-2 - Emission Factor Equations for Uncontrolled Open Dust Sources at Western Surface Coal Mines</t>
  </si>
  <si>
    <t>Fator de Emissão [kg/blast]</t>
  </si>
  <si>
    <t>Coal or Overburden</t>
  </si>
  <si>
    <t>NPI - Emission Estimation Technique Manual for Explosives Detonation and firing ranges</t>
  </si>
  <si>
    <t>Table 7 - Emission factors for Category 1 and 2a substances</t>
  </si>
  <si>
    <t>Explosivo</t>
  </si>
  <si>
    <t>Fator de Emissão [kg/Mg]</t>
  </si>
  <si>
    <t>Emulsion (Water Based Gel)</t>
  </si>
  <si>
    <t>NOx</t>
  </si>
  <si>
    <t>Source</t>
  </si>
  <si>
    <t>Screening</t>
  </si>
  <si>
    <t>ND</t>
  </si>
  <si>
    <t xml:space="preserve"> Table 11.9-4 - AP-42/ Table 2 - NPI </t>
  </si>
  <si>
    <t>Controle</t>
  </si>
  <si>
    <t>A = área superficial detonada (m²)</t>
  </si>
  <si>
    <t>Equação</t>
  </si>
  <si>
    <r>
      <t>PM</t>
    </r>
    <r>
      <rPr>
        <vertAlign val="subscript"/>
        <sz val="8"/>
        <color theme="1"/>
        <rFont val="Arial"/>
        <family val="2"/>
      </rPr>
      <t>2.5</t>
    </r>
  </si>
  <si>
    <t>Transferências</t>
  </si>
  <si>
    <t>Fonte: NPI (2016) http://www.npi.gov.au/system/files/resources/e635847a-22ef-9f74-71ba-c10705d09e59/files/explosives-detonation-and-firing-ranges.pdf</t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</si>
  <si>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</si>
  <si>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 xml:space="preserve">BRT - Britador Primário </t>
  </si>
  <si>
    <t>TR - Car. Caminhão Lavra</t>
  </si>
  <si>
    <t>AP42 - 11.19.2  Crushed Stone Processing and Pulverized Mineral Processing</t>
  </si>
  <si>
    <t xml:space="preserve"> Table 11.19.2-1 Emission Factors for Crushed Stone Processing Operations (kg/Mg)</t>
  </si>
  <si>
    <t xml:space="preserve">Tertiary Crushing </t>
  </si>
  <si>
    <t>Tertiary Crushing (Controlled)</t>
  </si>
  <si>
    <t>Screnning (Controlled)</t>
  </si>
  <si>
    <r>
      <t>PM</t>
    </r>
    <r>
      <rPr>
        <b/>
        <vertAlign val="subscript"/>
        <sz val="8"/>
        <color theme="0"/>
        <rFont val="Arial"/>
        <family val="2"/>
      </rPr>
      <t xml:space="preserve">2,5 </t>
    </r>
  </si>
  <si>
    <t>Emission Factor Rating</t>
  </si>
  <si>
    <t>E</t>
  </si>
  <si>
    <t>C</t>
  </si>
  <si>
    <t xml:space="preserve">PEN - Peneiramento </t>
  </si>
  <si>
    <t>Horário de Funcionamento</t>
  </si>
  <si>
    <t>PEN - Peneiramento Pó de Rocha</t>
  </si>
  <si>
    <t>TR - Desc. Britador Primário</t>
  </si>
  <si>
    <t>TR - Empilhamento Pilha Pedra Amarroada</t>
  </si>
  <si>
    <t>TR - Pilha Pulmão</t>
  </si>
  <si>
    <t>TR - Pilha Produto Final</t>
  </si>
  <si>
    <t>TR - Empilhamento Pó de Rocha</t>
  </si>
  <si>
    <t>TR - Car. Pó de Rocha</t>
  </si>
  <si>
    <t>TR - Desc. Pó de Rocha</t>
  </si>
  <si>
    <t>TR - Car. Produto Final</t>
  </si>
  <si>
    <t>Umectação</t>
  </si>
  <si>
    <t>Via Trecho 1</t>
  </si>
  <si>
    <t>Via Trecho 2</t>
  </si>
  <si>
    <t>Via Trecho 3</t>
  </si>
  <si>
    <t>Via Trecho 4</t>
  </si>
  <si>
    <t>Perfuração e Detonação</t>
  </si>
  <si>
    <t>Máquinas e Equipamentos</t>
  </si>
  <si>
    <t>Britagem e Peneiramento</t>
  </si>
  <si>
    <t>Vias de Tráfego</t>
  </si>
  <si>
    <t>Erosão Eólica</t>
  </si>
  <si>
    <t>Fontes Emissoras</t>
  </si>
  <si>
    <t>-</t>
  </si>
  <si>
    <t>Fonte: Informações fornecidos pelo empreendimento à solicitação através dos Ofícios N° 547-2016, 040-2017 e 020-2018</t>
  </si>
  <si>
    <t>Via Trecho 5</t>
  </si>
  <si>
    <t>TR - Transf. Peneira</t>
  </si>
  <si>
    <t>Onde:
FE - fator de emissão de material particulado (lb/VMT)
k - constante de tamanho da partícula (lb/VMT)
sL - teor de silt na superfície de rodagem (%)
W - peso médio dos veículos que trafegam na via (t)
P - número de dias onde a precipitação durante o período observado foi no mínimo 0,254 mm</t>
  </si>
  <si>
    <t>TR - Transf. Britadores Secundário</t>
  </si>
  <si>
    <t xml:space="preserve">BRT - Britador Secundário </t>
  </si>
  <si>
    <t xml:space="preserve">BRT - Rebritador </t>
  </si>
  <si>
    <t>TR - Transf. Rebritador</t>
  </si>
  <si>
    <t>Fonte: AP-42 (USEPA, 1998) - https://www3.epa.gov/ttn/chief/ap42/ch11/final/c11s09.pdf
e NPI (2012) http://www.npi.gov.au/system/files/resources/7e04163a-12ba-6864-d19a-f57d960aae58/files/mining.pdf</t>
  </si>
  <si>
    <t>AP-42 - 11.9 Western Surface Coal Mining/NPI  - Emission Estimation Technique Manual for Mining</t>
  </si>
  <si>
    <t>AP-42 - 11.9 Western Surface Coal Mining</t>
  </si>
  <si>
    <t>Fonte: AQMD (2016) - http://www.aqmd.gov/home/regulations/ceqa/air-quality-analysis-handbook/off-road-mobile-source-emission-factors</t>
  </si>
  <si>
    <t>Nota: Como não foi informado o ano dos equipamentos, foi considerado, de forma conservadora, os fatores de 2007.</t>
  </si>
  <si>
    <t>Fonte: AP-42 (USEPA, 2006) - https://www3.epa.gov/ttn/chief/ap42/ch13/final/c13s0204.pdf</t>
  </si>
  <si>
    <t>Fonte: AP-42 (USEPA, 2004) - https://www3.epa.gov/ttn/chief/ap42/ch11/final/c11s1902.pdf</t>
  </si>
  <si>
    <t>Fonte: AP-42 (USEPA, 2006) - https://www3.epa.gov/ttn/chief/ap42/ch13/final/c13s0202.pdf</t>
  </si>
  <si>
    <t>Fonte: Informações fornecidas pelo empreendimento através do Ofício N° 547/2016 DP-IEMA</t>
  </si>
  <si>
    <t>Número de detonações/ano:</t>
  </si>
  <si>
    <t>Número de furos:</t>
  </si>
  <si>
    <t>Área superficial detonada (m²):</t>
  </si>
  <si>
    <t>Tipo de Explosivo:</t>
  </si>
  <si>
    <t>Quant. explosivos por detonação (kg/furo):</t>
  </si>
  <si>
    <t>Latitude [º]</t>
  </si>
  <si>
    <t>Longitude [º]</t>
  </si>
  <si>
    <t>Nota: Foi informado que as detonações ocorrem toda quinta-feira às 15:00h da tarde.</t>
  </si>
  <si>
    <t>TOTAL</t>
  </si>
  <si>
    <t>Área Superficial Detonada [m²]/detonação</t>
  </si>
  <si>
    <t>Emulsão Encartuchada [t/ano]</t>
  </si>
  <si>
    <t>PM [kg/det]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</si>
  <si>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[kg/det]</t>
    </r>
  </si>
  <si>
    <t>Fator de Emissão [kg/furo]</t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</si>
  <si>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[kg/det]</t>
    </r>
  </si>
  <si>
    <r>
      <t>NO</t>
    </r>
    <r>
      <rPr>
        <b/>
        <vertAlign val="subscript"/>
        <sz val="8"/>
        <color theme="0"/>
        <rFont val="Arial"/>
        <family val="2"/>
      </rPr>
      <t xml:space="preserve">X </t>
    </r>
    <r>
      <rPr>
        <b/>
        <sz val="8"/>
        <color theme="0"/>
        <rFont val="Arial"/>
        <family val="2"/>
      </rPr>
      <t>[kg/t]</t>
    </r>
  </si>
  <si>
    <t>CO [kg/t]</t>
  </si>
  <si>
    <t>Velocidade do Vento (m/s):</t>
  </si>
  <si>
    <t>Movimentação material [t/h]</t>
  </si>
  <si>
    <t>Umidade do Material [%]</t>
  </si>
  <si>
    <t>Fator de Emissão [kg/t]</t>
  </si>
  <si>
    <t>Quantidade Movimentada [t/h]</t>
  </si>
  <si>
    <t>Eficiência de Controle [%]</t>
  </si>
  <si>
    <t>VOC</t>
  </si>
  <si>
    <t>Fonte: Informações fornecidos pelo empreendimento através dos Ofícios N°040-2017 e 020-2018</t>
  </si>
  <si>
    <t>Comprimento [m]</t>
  </si>
  <si>
    <t>Capacidade do Caminhão [t]</t>
  </si>
  <si>
    <r>
      <t>Nº de Caminhões por Hora [h</t>
    </r>
    <r>
      <rPr>
        <b/>
        <vertAlign val="superscript"/>
        <sz val="8"/>
        <color theme="0"/>
        <rFont val="Arial"/>
        <family val="2"/>
      </rPr>
      <t>-1</t>
    </r>
    <r>
      <rPr>
        <b/>
        <sz val="8"/>
        <color theme="0"/>
        <rFont val="Arial"/>
        <family val="2"/>
      </rPr>
      <t>]</t>
    </r>
  </si>
  <si>
    <t>DMT  [km/h]</t>
  </si>
  <si>
    <t>Teor de Silte [%]</t>
  </si>
  <si>
    <t>Peso Médio dos Caminhões [t]</t>
  </si>
  <si>
    <t>Fator de Emissão - Ressuspensão [kg/VKT]</t>
  </si>
  <si>
    <t>Fator de Emissão - Gases Escapamento [kg/km]</t>
  </si>
  <si>
    <t>Nota: "Erosão Eólica" foi calculada na Planilha: Erosão Eólica_Britador Alvorada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</si>
</sst>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00"/>
    <numFmt numFmtId="166" formatCode="0.0"/>
    <numFmt numFmtId="167" formatCode="0.000"/>
    <numFmt numFmtId="168" formatCode="[&gt;=0.005]\ #,##0.00;[&lt;0.005]&quot;&lt;0,01&quot;"/>
    <numFmt numFmtId="169" formatCode="0.000000"/>
    <numFmt numFmtId="170" formatCode="#,##0.00000"/>
    <numFmt numFmtId="171" formatCode="0.00000000"/>
    <numFmt numFmtId="172" formatCode="[&gt;=0.005]\ #,##0.0000;[&lt;0.005]&quot;&lt;0,01&quot;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vertAlign val="subscript"/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color theme="0"/>
      <name val="Arial"/>
      <family val="2"/>
    </font>
    <font>
      <sz val="8"/>
      <color theme="0"/>
      <name val="Arial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164" fontId="1" fillId="0" borderId="11" xfId="0" applyNumberFormat="1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center"/>
    </xf>
    <xf numFmtId="168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center" wrapText="1"/>
    </xf>
    <xf numFmtId="165" fontId="1" fillId="0" borderId="0" xfId="0" applyNumberFormat="1" applyFont="1" applyFill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8" fillId="0" borderId="0" xfId="0" applyFont="1"/>
    <xf numFmtId="2" fontId="1" fillId="3" borderId="0" xfId="0" applyNumberFormat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70" fontId="1" fillId="0" borderId="1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1" fontId="1" fillId="0" borderId="6" xfId="0" applyNumberFormat="1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0" xfId="0" applyNumberFormat="1" applyFont="1" applyFill="1" applyAlignment="1">
      <alignment vertical="center"/>
    </xf>
    <xf numFmtId="3" fontId="1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vertical="center"/>
    </xf>
    <xf numFmtId="170" fontId="1" fillId="0" borderId="20" xfId="0" applyNumberFormat="1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64" fontId="1" fillId="0" borderId="1" xfId="0" applyNumberFormat="1" applyFont="1" applyFill="1" applyBorder="1" applyAlignment="1">
      <alignment horizontal="center" vertical="center"/>
    </xf>
    <xf numFmtId="4" fontId="1" fillId="0" borderId="20" xfId="0" applyNumberFormat="1" applyFont="1" applyFill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3" fontId="1" fillId="0" borderId="2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4" fontId="1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Fill="1" applyBorder="1"/>
    <xf numFmtId="167" fontId="0" fillId="0" borderId="0" xfId="0" applyNumberFormat="1"/>
    <xf numFmtId="2" fontId="0" fillId="0" borderId="0" xfId="0" applyNumberFormat="1"/>
    <xf numFmtId="0" fontId="8" fillId="0" borderId="0" xfId="0" applyFont="1" applyFill="1"/>
    <xf numFmtId="0" fontId="1" fillId="0" borderId="11" xfId="0" applyFont="1" applyFill="1" applyBorder="1" applyAlignment="1">
      <alignment horizontal="left" vertical="center"/>
    </xf>
    <xf numFmtId="171" fontId="0" fillId="0" borderId="0" xfId="0" applyNumberFormat="1"/>
    <xf numFmtId="2" fontId="1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right"/>
    </xf>
    <xf numFmtId="3" fontId="1" fillId="0" borderId="0" xfId="0" applyNumberFormat="1" applyFont="1" applyFill="1" applyAlignment="1">
      <alignment horizontal="center" vertical="center"/>
    </xf>
    <xf numFmtId="3" fontId="0" fillId="0" borderId="0" xfId="0" applyNumberFormat="1" applyFill="1"/>
    <xf numFmtId="4" fontId="1" fillId="0" borderId="1" xfId="0" applyNumberFormat="1" applyFon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4" fontId="1" fillId="0" borderId="8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16" xfId="0" applyFont="1" applyFill="1" applyBorder="1" applyAlignment="1">
      <alignment vertical="center"/>
    </xf>
    <xf numFmtId="0" fontId="1" fillId="4" borderId="20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165" fontId="1" fillId="0" borderId="11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Fill="1" applyAlignment="1">
      <alignment vertical="center"/>
    </xf>
    <xf numFmtId="172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3" borderId="1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 wrapText="1"/>
    </xf>
    <xf numFmtId="0" fontId="1" fillId="3" borderId="16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D9D9D9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11</xdr:row>
      <xdr:rowOff>80962</xdr:rowOff>
    </xdr:from>
    <xdr:ext cx="842345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304925" y="3090862"/>
              <a:ext cx="8423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304925" y="3090862"/>
              <a:ext cx="8423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  <xdr:oneCellAnchor>
    <xdr:from>
      <xdr:col>2</xdr:col>
      <xdr:colOff>0</xdr:colOff>
      <xdr:row>11</xdr:row>
      <xdr:rowOff>80962</xdr:rowOff>
    </xdr:from>
    <xdr:ext cx="1230144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2286000" y="3090862"/>
              <a:ext cx="1230144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0,52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286000" y="3090862"/>
              <a:ext cx="1230144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0,52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  <xdr:oneCellAnchor>
    <xdr:from>
      <xdr:col>3</xdr:col>
      <xdr:colOff>9525</xdr:colOff>
      <xdr:row>11</xdr:row>
      <xdr:rowOff>80962</xdr:rowOff>
    </xdr:from>
    <xdr:ext cx="1230145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3533775" y="3090862"/>
              <a:ext cx="12301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0,03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3533775" y="3090862"/>
              <a:ext cx="12301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0,03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19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(𝑈/2,2)^1,3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𝑀/2)^1,4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9</xdr:row>
      <xdr:rowOff>66675</xdr:rowOff>
    </xdr:from>
    <xdr:to>
      <xdr:col>3</xdr:col>
      <xdr:colOff>828675</xdr:colOff>
      <xdr:row>10</xdr:row>
      <xdr:rowOff>247651</xdr:rowOff>
    </xdr:to>
    <xdr:sp macro="" textlink="">
      <xdr:nvSpPr>
        <xdr:cNvPr id="3" name="Elips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SpPr/>
      </xdr:nvSpPr>
      <xdr:spPr>
        <a:xfrm>
          <a:off x="3162300" y="2019300"/>
          <a:ext cx="1028700" cy="37147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oneCellAnchor>
    <xdr:from>
      <xdr:col>0</xdr:col>
      <xdr:colOff>628650</xdr:colOff>
      <xdr:row>9</xdr:row>
      <xdr:rowOff>19050</xdr:rowOff>
    </xdr:from>
    <xdr:ext cx="3381375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=""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628650" y="1733550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628650" y="1733550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selection activeCell="H7" sqref="H7"/>
    </sheetView>
  </sheetViews>
  <sheetFormatPr defaultRowHeight="15" x14ac:dyDescent="0.25"/>
  <cols>
    <col min="1" max="2" width="17.140625" customWidth="1"/>
    <col min="3" max="3" width="18.5703125" customWidth="1"/>
    <col min="4" max="4" width="18.28515625" customWidth="1"/>
  </cols>
  <sheetData>
    <row r="1" spans="1:9" ht="23.25" customHeight="1" x14ac:dyDescent="0.25">
      <c r="A1" s="128" t="s">
        <v>173</v>
      </c>
      <c r="B1" s="128"/>
      <c r="C1" s="128"/>
      <c r="D1" s="128"/>
      <c r="E1" s="128"/>
      <c r="F1" s="128"/>
      <c r="G1" s="128"/>
      <c r="H1" s="128"/>
      <c r="I1" s="61"/>
    </row>
    <row r="2" spans="1:9" ht="26.25" customHeight="1" x14ac:dyDescent="0.25">
      <c r="A2" s="130" t="s">
        <v>174</v>
      </c>
      <c r="B2" s="130"/>
      <c r="C2" s="130"/>
      <c r="D2" s="130"/>
      <c r="E2" s="114"/>
      <c r="F2" s="114"/>
      <c r="G2" s="114"/>
      <c r="H2" s="114"/>
    </row>
    <row r="3" spans="1:9" x14ac:dyDescent="0.25">
      <c r="A3" s="129" t="s">
        <v>123</v>
      </c>
      <c r="B3" s="129"/>
      <c r="C3" s="129"/>
      <c r="D3" s="129"/>
      <c r="E3" s="114"/>
      <c r="F3" s="114"/>
      <c r="G3" s="114"/>
      <c r="H3" s="114"/>
    </row>
    <row r="4" spans="1:9" x14ac:dyDescent="0.25">
      <c r="A4" s="132" t="s">
        <v>42</v>
      </c>
      <c r="B4" s="132"/>
      <c r="C4" s="132" t="s">
        <v>109</v>
      </c>
      <c r="D4" s="132"/>
      <c r="E4" s="114"/>
      <c r="F4" s="114"/>
      <c r="G4" s="114"/>
      <c r="H4" s="114"/>
    </row>
    <row r="5" spans="1:9" x14ac:dyDescent="0.25">
      <c r="A5" s="133" t="s">
        <v>110</v>
      </c>
      <c r="B5" s="133"/>
      <c r="C5" s="109" t="s">
        <v>2</v>
      </c>
      <c r="D5" s="109" t="s">
        <v>37</v>
      </c>
      <c r="E5" s="114"/>
      <c r="F5" s="114"/>
      <c r="G5" s="114"/>
      <c r="H5" s="114"/>
    </row>
    <row r="6" spans="1:9" x14ac:dyDescent="0.25">
      <c r="A6" s="133"/>
      <c r="B6" s="133"/>
      <c r="C6" s="109">
        <v>0.59</v>
      </c>
      <c r="D6" s="109">
        <v>0.31</v>
      </c>
      <c r="E6" s="114"/>
      <c r="F6" s="114"/>
      <c r="G6" s="114"/>
      <c r="H6" s="114"/>
    </row>
    <row r="7" spans="1:9" x14ac:dyDescent="0.25">
      <c r="A7" s="114"/>
      <c r="B7" s="114"/>
      <c r="C7" s="114"/>
      <c r="D7" s="114"/>
      <c r="E7" s="114"/>
      <c r="F7" s="114"/>
      <c r="G7" s="114"/>
      <c r="H7" s="114"/>
    </row>
    <row r="8" spans="1:9" x14ac:dyDescent="0.25">
      <c r="A8" s="129" t="s">
        <v>175</v>
      </c>
      <c r="B8" s="129"/>
      <c r="C8" s="129"/>
      <c r="D8" s="129"/>
      <c r="E8" s="114"/>
      <c r="F8" s="114"/>
      <c r="G8" s="114"/>
      <c r="H8" s="114"/>
    </row>
    <row r="9" spans="1:9" ht="21.75" customHeight="1" x14ac:dyDescent="0.25">
      <c r="A9" s="130" t="s">
        <v>111</v>
      </c>
      <c r="B9" s="130"/>
      <c r="C9" s="130"/>
      <c r="D9" s="130"/>
      <c r="E9" s="114"/>
      <c r="F9" s="114"/>
      <c r="G9" s="114"/>
      <c r="H9" s="114"/>
    </row>
    <row r="10" spans="1:9" x14ac:dyDescent="0.25">
      <c r="A10" s="108" t="s">
        <v>42</v>
      </c>
      <c r="B10" s="131" t="s">
        <v>112</v>
      </c>
      <c r="C10" s="131"/>
      <c r="D10" s="131"/>
      <c r="E10" s="114"/>
      <c r="F10" s="114"/>
      <c r="G10" s="114"/>
      <c r="H10" s="114"/>
    </row>
    <row r="11" spans="1:9" x14ac:dyDescent="0.25">
      <c r="A11" s="136" t="s">
        <v>113</v>
      </c>
      <c r="B11" s="109" t="s">
        <v>2</v>
      </c>
      <c r="C11" s="109" t="s">
        <v>37</v>
      </c>
      <c r="D11" s="111" t="s">
        <v>127</v>
      </c>
      <c r="E11" s="114"/>
      <c r="F11" s="114"/>
      <c r="G11" s="114"/>
      <c r="H11" s="114"/>
    </row>
    <row r="12" spans="1:9" ht="26.25" customHeight="1" x14ac:dyDescent="0.25">
      <c r="A12" s="136"/>
      <c r="B12" s="114"/>
      <c r="C12" s="114"/>
      <c r="D12" s="114"/>
      <c r="E12" s="114"/>
      <c r="F12" s="114"/>
      <c r="G12" s="114"/>
      <c r="H12" s="114"/>
    </row>
    <row r="13" spans="1:9" ht="19.5" customHeight="1" x14ac:dyDescent="0.25">
      <c r="A13" s="110" t="s">
        <v>126</v>
      </c>
      <c r="B13" s="135" t="s">
        <v>125</v>
      </c>
      <c r="C13" s="135"/>
      <c r="D13" s="135"/>
      <c r="E13" s="114"/>
      <c r="F13" s="114"/>
      <c r="G13" s="114"/>
      <c r="H13" s="114"/>
    </row>
    <row r="14" spans="1:9" x14ac:dyDescent="0.25">
      <c r="A14" s="114"/>
      <c r="B14" s="114"/>
      <c r="C14" s="114"/>
      <c r="D14" s="114"/>
      <c r="E14" s="114"/>
      <c r="F14" s="114"/>
      <c r="G14" s="114"/>
      <c r="H14" s="114"/>
    </row>
    <row r="15" spans="1:9" x14ac:dyDescent="0.25">
      <c r="A15" s="2" t="s">
        <v>129</v>
      </c>
      <c r="B15" s="114"/>
      <c r="C15" s="114"/>
      <c r="D15" s="114"/>
      <c r="E15" s="114"/>
      <c r="F15" s="114"/>
      <c r="G15" s="114"/>
      <c r="H15" s="114"/>
    </row>
    <row r="16" spans="1:9" x14ac:dyDescent="0.25">
      <c r="A16" s="137" t="s">
        <v>114</v>
      </c>
      <c r="B16" s="137"/>
      <c r="C16" s="137"/>
      <c r="D16" s="137"/>
      <c r="E16" s="114"/>
      <c r="F16" s="114"/>
      <c r="G16" s="114"/>
      <c r="H16" s="114"/>
    </row>
    <row r="17" spans="1:8" x14ac:dyDescent="0.25">
      <c r="A17" s="130" t="s">
        <v>115</v>
      </c>
      <c r="B17" s="130"/>
      <c r="C17" s="130"/>
      <c r="D17" s="130"/>
      <c r="E17" s="114"/>
      <c r="F17" s="114"/>
      <c r="G17" s="114"/>
      <c r="H17" s="114"/>
    </row>
    <row r="18" spans="1:8" x14ac:dyDescent="0.25">
      <c r="A18" s="138" t="s">
        <v>116</v>
      </c>
      <c r="B18" s="138"/>
      <c r="C18" s="138" t="s">
        <v>117</v>
      </c>
      <c r="D18" s="138"/>
      <c r="E18" s="114"/>
      <c r="F18" s="114"/>
      <c r="G18" s="114"/>
      <c r="H18" s="114"/>
    </row>
    <row r="19" spans="1:8" x14ac:dyDescent="0.25">
      <c r="A19" s="134" t="s">
        <v>118</v>
      </c>
      <c r="B19" s="134"/>
      <c r="C19" s="109" t="s">
        <v>4</v>
      </c>
      <c r="D19" s="109" t="s">
        <v>119</v>
      </c>
      <c r="E19" s="114"/>
      <c r="F19" s="114"/>
      <c r="G19" s="114"/>
      <c r="H19" s="114"/>
    </row>
    <row r="20" spans="1:8" x14ac:dyDescent="0.25">
      <c r="A20" s="134"/>
      <c r="B20" s="134"/>
      <c r="C20" s="109">
        <v>17</v>
      </c>
      <c r="D20" s="109">
        <v>0.2</v>
      </c>
      <c r="E20" s="114"/>
      <c r="F20" s="114"/>
      <c r="G20" s="114"/>
      <c r="H20" s="114"/>
    </row>
  </sheetData>
  <sheetProtection algorithmName="SHA-512" hashValue="xbqJLVyycrNun0i2aw4L6eNs+0xy2/U0+xqmH3nCYSZB3FnOjvQvOgO2e62v2ckz3oAEIfB//vz71Y+hPvde5Q==" saltValue="+GoK59BEMF9PUMg2hnt/fQ==" spinCount="100000" sheet="1" objects="1" scenarios="1"/>
  <mergeCells count="16">
    <mergeCell ref="A19:B20"/>
    <mergeCell ref="B13:D13"/>
    <mergeCell ref="A11:A12"/>
    <mergeCell ref="A16:D16"/>
    <mergeCell ref="A17:D17"/>
    <mergeCell ref="A18:B18"/>
    <mergeCell ref="C18:D18"/>
    <mergeCell ref="A1:H1"/>
    <mergeCell ref="A8:D8"/>
    <mergeCell ref="A9:D9"/>
    <mergeCell ref="B10:D10"/>
    <mergeCell ref="A2:D2"/>
    <mergeCell ref="A3:D3"/>
    <mergeCell ref="A4:B4"/>
    <mergeCell ref="C4:D4"/>
    <mergeCell ref="A5:B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workbookViewId="0">
      <selection activeCell="J18" sqref="J18"/>
    </sheetView>
  </sheetViews>
  <sheetFormatPr defaultRowHeight="15" x14ac:dyDescent="0.25"/>
  <cols>
    <col min="1" max="1" width="52.140625" bestFit="1" customWidth="1"/>
    <col min="2" max="2" width="13.7109375" customWidth="1"/>
    <col min="3" max="3" width="13.140625" customWidth="1"/>
    <col min="4" max="8" width="11.140625" customWidth="1"/>
    <col min="9" max="9" width="9.28515625" customWidth="1"/>
    <col min="10" max="10" width="11" customWidth="1"/>
  </cols>
  <sheetData>
    <row r="1" spans="1:11" ht="18" customHeight="1" x14ac:dyDescent="0.25">
      <c r="A1" s="175" t="s">
        <v>0</v>
      </c>
      <c r="B1" s="175" t="s">
        <v>203</v>
      </c>
      <c r="C1" s="178" t="s">
        <v>202</v>
      </c>
      <c r="D1" s="179"/>
      <c r="E1" s="179"/>
      <c r="F1" s="175" t="s">
        <v>124</v>
      </c>
      <c r="G1" s="175" t="s">
        <v>204</v>
      </c>
      <c r="H1" s="177" t="s">
        <v>1</v>
      </c>
      <c r="I1" s="177"/>
      <c r="J1" s="195"/>
    </row>
    <row r="2" spans="1:11" ht="18" customHeight="1" x14ac:dyDescent="0.25">
      <c r="A2" s="175"/>
      <c r="B2" s="175"/>
      <c r="C2" s="65" t="s">
        <v>36</v>
      </c>
      <c r="D2" s="65" t="s">
        <v>58</v>
      </c>
      <c r="E2" s="70" t="s">
        <v>138</v>
      </c>
      <c r="F2" s="175"/>
      <c r="G2" s="175"/>
      <c r="H2" s="71" t="s">
        <v>36</v>
      </c>
      <c r="I2" s="58" t="s">
        <v>58</v>
      </c>
      <c r="J2" s="58" t="s">
        <v>138</v>
      </c>
    </row>
    <row r="3" spans="1:11" x14ac:dyDescent="0.25">
      <c r="A3" s="4" t="s">
        <v>131</v>
      </c>
      <c r="B3" s="103">
        <f>SUM(Dados!B20:D20)/8760</f>
        <v>20.184931506849313</v>
      </c>
      <c r="C3" s="60">
        <f>'FE-Brit e Pen'!B5</f>
        <v>2.7000000000000001E-3</v>
      </c>
      <c r="D3" s="60">
        <f>'FE-Brit e Pen'!D5</f>
        <v>1.1999999999999999E-3</v>
      </c>
      <c r="E3" s="78">
        <f>('FE-Brit e Pen'!$F$6/'FE-Brit e Pen'!$D$6)*'FE-Brit e Pen'!$D$5</f>
        <v>2.2222222222222223E-4</v>
      </c>
      <c r="F3" s="25" t="s">
        <v>153</v>
      </c>
      <c r="G3" s="25">
        <v>50</v>
      </c>
      <c r="H3" s="78">
        <f>B3*C3*(1-G3/100)</f>
        <v>2.7249657534246574E-2</v>
      </c>
      <c r="I3" s="78">
        <f>B3*D3*(1-G3/100)</f>
        <v>1.2110958904109587E-2</v>
      </c>
      <c r="J3" s="73">
        <f>B3*E3*(1-G3/100)</f>
        <v>2.2427701674277017E-3</v>
      </c>
    </row>
    <row r="4" spans="1:11" x14ac:dyDescent="0.25">
      <c r="A4" s="4" t="s">
        <v>170</v>
      </c>
      <c r="B4" s="103">
        <f>SUM(Dados!C20:D20)/8760</f>
        <v>19.490867579908677</v>
      </c>
      <c r="C4" s="68">
        <f>'FE-Brit e Pen'!B5</f>
        <v>2.7000000000000001E-3</v>
      </c>
      <c r="D4" s="68">
        <f>'FE-Brit e Pen'!D5</f>
        <v>1.1999999999999999E-3</v>
      </c>
      <c r="E4" s="78">
        <f>('FE-Brit e Pen'!$F$6/'FE-Brit e Pen'!$D$6)*'FE-Brit e Pen'!$D$5</f>
        <v>2.2222222222222223E-4</v>
      </c>
      <c r="F4" s="25" t="s">
        <v>153</v>
      </c>
      <c r="G4" s="25">
        <v>50</v>
      </c>
      <c r="H4" s="78">
        <f>B4*C4*(1-G4/100)</f>
        <v>2.6312671232876717E-2</v>
      </c>
      <c r="I4" s="78">
        <f>B4*D4*(1-G4/100)</f>
        <v>1.1694520547945205E-2</v>
      </c>
      <c r="J4" s="78">
        <f>B4*E4*(1-G4/100)</f>
        <v>2.1656519533231867E-3</v>
      </c>
    </row>
    <row r="5" spans="1:11" x14ac:dyDescent="0.25">
      <c r="A5" s="82" t="s">
        <v>171</v>
      </c>
      <c r="B5" s="105">
        <f>(SUM(Dados!C20:D20)/8760)/2</f>
        <v>9.7454337899543386</v>
      </c>
      <c r="C5" s="64">
        <f>'FE-Brit e Pen'!B5</f>
        <v>2.7000000000000001E-3</v>
      </c>
      <c r="D5" s="69">
        <f>'FE-Brit e Pen'!D5</f>
        <v>1.1999999999999999E-3</v>
      </c>
      <c r="E5" s="79">
        <f>('FE-Brit e Pen'!$F$6/'FE-Brit e Pen'!$D$6)*'FE-Brit e Pen'!$D$5</f>
        <v>2.2222222222222223E-4</v>
      </c>
      <c r="F5" s="25" t="s">
        <v>153</v>
      </c>
      <c r="G5" s="25">
        <v>50</v>
      </c>
      <c r="H5" s="78">
        <f>B5*C5*(1-G5/100)</f>
        <v>1.3156335616438359E-2</v>
      </c>
      <c r="I5" s="78">
        <f>B5*D5*(1-G5/100)</f>
        <v>5.8472602739726024E-3</v>
      </c>
      <c r="J5" s="78">
        <f>B5*E5*(1-G5/100)</f>
        <v>1.0828259766615933E-3</v>
      </c>
    </row>
    <row r="6" spans="1:11" x14ac:dyDescent="0.25">
      <c r="A6" s="196" t="s">
        <v>190</v>
      </c>
      <c r="B6" s="137"/>
      <c r="C6" s="137"/>
      <c r="D6" s="137"/>
      <c r="E6" s="137"/>
      <c r="F6" s="137"/>
      <c r="G6" s="197"/>
      <c r="H6" s="24">
        <f>SUM(H3:H5)</f>
        <v>6.6718664383561652E-2</v>
      </c>
      <c r="I6" s="24">
        <f t="shared" ref="I6:J6" si="0">SUM(I3:I5)</f>
        <v>2.9652739726027395E-2</v>
      </c>
      <c r="J6" s="24">
        <f t="shared" si="0"/>
        <v>5.4912480974124824E-3</v>
      </c>
    </row>
    <row r="7" spans="1:11" x14ac:dyDescent="0.25">
      <c r="A7" s="72"/>
      <c r="C7" s="1"/>
      <c r="D7" s="1"/>
      <c r="E7" s="1"/>
      <c r="F7" s="1"/>
      <c r="G7" s="1"/>
      <c r="H7" s="1"/>
      <c r="I7" s="1"/>
      <c r="J7" s="1"/>
    </row>
    <row r="8" spans="1:11" ht="19.5" customHeight="1" x14ac:dyDescent="0.25">
      <c r="A8" s="175" t="s">
        <v>0</v>
      </c>
      <c r="B8" s="175" t="s">
        <v>203</v>
      </c>
      <c r="C8" s="178" t="s">
        <v>202</v>
      </c>
      <c r="D8" s="179"/>
      <c r="E8" s="180"/>
      <c r="F8" s="176" t="s">
        <v>1</v>
      </c>
      <c r="G8" s="177"/>
      <c r="H8" s="195"/>
    </row>
    <row r="9" spans="1:11" ht="15.75" customHeight="1" x14ac:dyDescent="0.25">
      <c r="A9" s="175"/>
      <c r="B9" s="175"/>
      <c r="C9" s="113" t="s">
        <v>36</v>
      </c>
      <c r="D9" s="113" t="s">
        <v>58</v>
      </c>
      <c r="E9" s="113" t="s">
        <v>138</v>
      </c>
      <c r="F9" s="113" t="s">
        <v>36</v>
      </c>
      <c r="G9" s="113" t="s">
        <v>58</v>
      </c>
      <c r="H9" s="113" t="s">
        <v>138</v>
      </c>
    </row>
    <row r="10" spans="1:11" x14ac:dyDescent="0.25">
      <c r="A10" s="4" t="s">
        <v>142</v>
      </c>
      <c r="B10" s="103">
        <f>B4+B5</f>
        <v>29.236301369863014</v>
      </c>
      <c r="C10" s="41">
        <f>'FE-Brit e Pen'!B7</f>
        <v>1.2500000000000001E-2</v>
      </c>
      <c r="D10" s="41">
        <f>'FE-Brit e Pen'!D7</f>
        <v>4.3E-3</v>
      </c>
      <c r="E10" s="73">
        <f>('FE-Brit e Pen'!$F$8/'FE-Brit e Pen'!$D$8)*'FE-Brit e Pen'!$D$7</f>
        <v>2.9054054054054054E-4</v>
      </c>
      <c r="F10" s="78">
        <f>B10*C10</f>
        <v>0.3654537671232877</v>
      </c>
      <c r="G10" s="78">
        <f>B10*D10</f>
        <v>0.12571609589041097</v>
      </c>
      <c r="H10" s="73">
        <f>B10*E10</f>
        <v>8.4943308034061468E-3</v>
      </c>
    </row>
    <row r="11" spans="1:11" x14ac:dyDescent="0.25">
      <c r="A11" s="13" t="s">
        <v>144</v>
      </c>
      <c r="B11" s="104">
        <f>Dados!D20/8760</f>
        <v>4.8824200913242013</v>
      </c>
      <c r="C11" s="41">
        <f>'FE-Brit e Pen'!B7</f>
        <v>1.2500000000000001E-2</v>
      </c>
      <c r="D11" s="41">
        <f>'FE-Brit e Pen'!D7</f>
        <v>4.3E-3</v>
      </c>
      <c r="E11" s="73">
        <f>('FE-Brit e Pen'!$F$8/'FE-Brit e Pen'!$D$8)*'FE-Brit e Pen'!$D$7</f>
        <v>2.9054054054054054E-4</v>
      </c>
      <c r="F11" s="78">
        <f>B11*C11</f>
        <v>6.103025114155252E-2</v>
      </c>
      <c r="G11" s="78">
        <f>B11*D11</f>
        <v>2.0994406392694065E-2</v>
      </c>
      <c r="H11" s="73">
        <f>B11*E11</f>
        <v>1.4185409724793289E-3</v>
      </c>
    </row>
    <row r="12" spans="1:11" x14ac:dyDescent="0.25">
      <c r="A12" s="137" t="s">
        <v>190</v>
      </c>
      <c r="B12" s="137"/>
      <c r="C12" s="137"/>
      <c r="D12" s="137"/>
      <c r="E12" s="137"/>
      <c r="F12" s="28">
        <f>SUM(F10:F11)</f>
        <v>0.42648401826484023</v>
      </c>
      <c r="G12" s="28">
        <f t="shared" ref="G12:H12" si="1">SUM(G10:G11)</f>
        <v>0.14671050228310503</v>
      </c>
      <c r="H12" s="28">
        <f t="shared" si="1"/>
        <v>9.9128717758854758E-3</v>
      </c>
    </row>
    <row r="13" spans="1:11" x14ac:dyDescent="0.25">
      <c r="A13" s="27"/>
      <c r="B13" s="1"/>
      <c r="C13" s="1"/>
      <c r="D13" s="27"/>
      <c r="E13" s="1"/>
      <c r="F13" s="1"/>
      <c r="G13" s="1"/>
      <c r="H13" s="1"/>
      <c r="I13" s="1"/>
      <c r="J13" s="1"/>
      <c r="K13" s="1"/>
    </row>
    <row r="15" spans="1:11" x14ac:dyDescent="0.25">
      <c r="A15" s="1"/>
    </row>
    <row r="17" spans="1:1" x14ac:dyDescent="0.25">
      <c r="A17" s="27"/>
    </row>
    <row r="18" spans="1:1" x14ac:dyDescent="0.25">
      <c r="A18" s="27"/>
    </row>
  </sheetData>
  <sheetProtection algorithmName="SHA-512" hashValue="se9nI4bcfSmsxXxVACC3WiTe0u1/LHMuMek0Sv/2THdWJ1dNoCFBfJcj3fjQJcke4GKvacMtA24zSj+U0exj6g==" saltValue="rigEJKAdftD2FHhVf0kf1Q==" spinCount="100000" sheet="1" objects="1" scenarios="1"/>
  <mergeCells count="12">
    <mergeCell ref="A12:E12"/>
    <mergeCell ref="H1:J1"/>
    <mergeCell ref="C1:E1"/>
    <mergeCell ref="A1:A2"/>
    <mergeCell ref="B1:B2"/>
    <mergeCell ref="F1:F2"/>
    <mergeCell ref="G1:G2"/>
    <mergeCell ref="A6:G6"/>
    <mergeCell ref="F8:H8"/>
    <mergeCell ref="C8:E8"/>
    <mergeCell ref="A8:A9"/>
    <mergeCell ref="B8:B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4"/>
  <sheetViews>
    <sheetView zoomScaleNormal="100" workbookViewId="0">
      <selection activeCell="T18" sqref="T18"/>
    </sheetView>
  </sheetViews>
  <sheetFormatPr defaultRowHeight="15" x14ac:dyDescent="0.25"/>
  <cols>
    <col min="1" max="1" width="21.140625" customWidth="1"/>
    <col min="2" max="5" width="13.85546875" customWidth="1"/>
    <col min="6" max="7" width="15" customWidth="1"/>
    <col min="8" max="8" width="14.28515625" customWidth="1"/>
    <col min="9" max="9" width="10.42578125" customWidth="1"/>
    <col min="10" max="10" width="11.85546875" customWidth="1"/>
    <col min="11" max="11" width="14.85546875" customWidth="1"/>
    <col min="12" max="12" width="12.7109375" customWidth="1"/>
    <col min="13" max="13" width="14.85546875" customWidth="1"/>
    <col min="14" max="16" width="13.7109375" customWidth="1"/>
  </cols>
  <sheetData>
    <row r="1" spans="1:30" x14ac:dyDescent="0.25">
      <c r="A1" s="3" t="s">
        <v>206</v>
      </c>
    </row>
    <row r="2" spans="1:30" ht="15" customHeight="1" x14ac:dyDescent="0.25">
      <c r="A2" s="175" t="s">
        <v>43</v>
      </c>
      <c r="B2" s="175" t="s">
        <v>24</v>
      </c>
      <c r="C2" s="182" t="s">
        <v>187</v>
      </c>
      <c r="D2" s="182" t="s">
        <v>188</v>
      </c>
      <c r="E2" s="175" t="s">
        <v>207</v>
      </c>
      <c r="F2" s="186" t="s">
        <v>203</v>
      </c>
      <c r="G2" s="186" t="s">
        <v>208</v>
      </c>
      <c r="H2" s="175" t="s">
        <v>209</v>
      </c>
      <c r="I2" s="175" t="s">
        <v>210</v>
      </c>
      <c r="J2" s="186" t="s">
        <v>211</v>
      </c>
      <c r="K2" s="198" t="s">
        <v>212</v>
      </c>
      <c r="L2" s="186" t="s">
        <v>124</v>
      </c>
      <c r="M2" s="186" t="s">
        <v>204</v>
      </c>
      <c r="N2" s="178" t="s">
        <v>213</v>
      </c>
      <c r="O2" s="179"/>
      <c r="P2" s="179"/>
      <c r="Q2" s="175" t="s">
        <v>214</v>
      </c>
      <c r="R2" s="175"/>
      <c r="S2" s="175"/>
      <c r="T2" s="175"/>
      <c r="U2" s="175"/>
      <c r="V2" s="175"/>
      <c r="W2" s="175"/>
      <c r="X2" s="174" t="s">
        <v>1</v>
      </c>
      <c r="Y2" s="174"/>
      <c r="Z2" s="174"/>
      <c r="AA2" s="174"/>
      <c r="AB2" s="174"/>
      <c r="AC2" s="174"/>
      <c r="AD2" s="174"/>
    </row>
    <row r="3" spans="1:30" x14ac:dyDescent="0.25">
      <c r="A3" s="175"/>
      <c r="B3" s="175"/>
      <c r="C3" s="182"/>
      <c r="D3" s="182"/>
      <c r="E3" s="175"/>
      <c r="F3" s="187"/>
      <c r="G3" s="187"/>
      <c r="H3" s="175"/>
      <c r="I3" s="175"/>
      <c r="J3" s="187"/>
      <c r="K3" s="199"/>
      <c r="L3" s="187"/>
      <c r="M3" s="187"/>
      <c r="N3" s="29" t="s">
        <v>2</v>
      </c>
      <c r="O3" s="29" t="s">
        <v>3</v>
      </c>
      <c r="P3" s="33" t="s">
        <v>21</v>
      </c>
      <c r="Q3" s="29" t="s">
        <v>2</v>
      </c>
      <c r="R3" s="29" t="s">
        <v>3</v>
      </c>
      <c r="S3" s="29" t="s">
        <v>21</v>
      </c>
      <c r="T3" s="29" t="s">
        <v>6</v>
      </c>
      <c r="U3" s="29" t="s">
        <v>7</v>
      </c>
      <c r="V3" s="29" t="s">
        <v>4</v>
      </c>
      <c r="W3" s="29" t="s">
        <v>205</v>
      </c>
      <c r="X3" s="29" t="s">
        <v>2</v>
      </c>
      <c r="Y3" s="29" t="s">
        <v>3</v>
      </c>
      <c r="Z3" s="29" t="s">
        <v>21</v>
      </c>
      <c r="AA3" s="29" t="s">
        <v>6</v>
      </c>
      <c r="AB3" s="29" t="s">
        <v>7</v>
      </c>
      <c r="AC3" s="29" t="s">
        <v>4</v>
      </c>
      <c r="AD3" s="29" t="s">
        <v>205</v>
      </c>
    </row>
    <row r="4" spans="1:30" x14ac:dyDescent="0.25">
      <c r="A4" s="30" t="s">
        <v>154</v>
      </c>
      <c r="B4" s="25" t="s">
        <v>44</v>
      </c>
      <c r="C4" s="25">
        <v>-20.359041000000001</v>
      </c>
      <c r="D4" s="25">
        <v>-40.323628999999997</v>
      </c>
      <c r="E4" s="25">
        <v>283</v>
      </c>
      <c r="F4" s="83">
        <f>'Emissão Transferências'!D5</f>
        <v>20.184931506849313</v>
      </c>
      <c r="G4" s="101">
        <v>14</v>
      </c>
      <c r="H4" s="92">
        <f>2*(F4/G4)</f>
        <v>2.8835616438356162</v>
      </c>
      <c r="I4" s="8">
        <f>E4*H4/1000</f>
        <v>0.81604794520547941</v>
      </c>
      <c r="J4" s="25">
        <v>8.3000000000000007</v>
      </c>
      <c r="K4" s="6">
        <v>16</v>
      </c>
      <c r="L4" s="25" t="s">
        <v>153</v>
      </c>
      <c r="M4" s="25">
        <v>55</v>
      </c>
      <c r="N4" s="8">
        <f>('FE-Vias'!$D$6*((J4/12)^'FE-Vias'!$D$7)*((K4/3)^'FE-Vias'!$D$8)*'FE-Vias'!$B$9/1000)*'FE-Vias'!$G$17</f>
        <v>1.6952671965211552</v>
      </c>
      <c r="O4" s="8">
        <f>('FE-Vias'!$C$6*((J4/12)^'FE-Vias'!$C$7)*((K4/3)^'FE-Vias'!$C$8)*'FE-Vias'!$B$9/1000)*'FE-Vias'!$G$17</f>
        <v>0.48207288747744004</v>
      </c>
      <c r="P4" s="8">
        <f>('FE-Vias'!$B$6*((J4/12)^'FE-Vias'!$B$7)*((K4/3)^'FE-Vias'!$B$8)*'FE-Vias'!$B$9/1000)*'FE-Vias'!$G$17</f>
        <v>4.820728874774402E-2</v>
      </c>
      <c r="Q4" s="126">
        <f>'FE-Vias'!B22/1000</f>
        <v>1.7489827604766657E-4</v>
      </c>
      <c r="R4" s="126">
        <f>'FE-Vias'!C22/1000</f>
        <v>1.7489827604766657E-4</v>
      </c>
      <c r="S4" s="126">
        <f>'FE-Vias'!D22/1000</f>
        <v>1.7489827604766657E-4</v>
      </c>
      <c r="T4" s="126">
        <f>'FE-Vias'!E22/1000</f>
        <v>5.4345140567386742E-3</v>
      </c>
      <c r="U4" s="126">
        <f>'FE-Vias'!$F$22/1000</f>
        <v>2.1032135261668511E-4</v>
      </c>
      <c r="V4" s="126">
        <f>'FE-Vias'!$G$22/1000</f>
        <v>1.0383730075038094E-3</v>
      </c>
      <c r="W4" s="126">
        <f>'FE-Vias'!H22/1000</f>
        <v>2.4766340643796463E-4</v>
      </c>
      <c r="X4" s="125">
        <f>(N4*I4*(1-M4/100))+(Q4*I4)</f>
        <v>0.62268141591169268</v>
      </c>
      <c r="Y4" s="125">
        <f>(O4*I4*(1-M4/100))+(R4*I4)</f>
        <v>0.17717029054814543</v>
      </c>
      <c r="Z4" s="125">
        <f>(P4*I4*(1-M4/100))+(S4*I4)</f>
        <v>1.7845481895724356E-2</v>
      </c>
      <c r="AA4" s="125">
        <f>T4*I4</f>
        <v>4.4348240291918889E-3</v>
      </c>
      <c r="AB4" s="125">
        <f>U4*I4</f>
        <v>1.7163230763568297E-4</v>
      </c>
      <c r="AC4" s="125">
        <f>V4*I4</f>
        <v>8.4736215913031748E-4</v>
      </c>
      <c r="AD4" s="125">
        <f>W4*I4</f>
        <v>2.0210521392629053E-4</v>
      </c>
    </row>
    <row r="5" spans="1:30" x14ac:dyDescent="0.25">
      <c r="A5" s="30" t="s">
        <v>155</v>
      </c>
      <c r="B5" s="25" t="s">
        <v>44</v>
      </c>
      <c r="C5" s="25">
        <v>-20.356974000000001</v>
      </c>
      <c r="D5" s="25">
        <v>-40.324159999999999</v>
      </c>
      <c r="E5" s="25">
        <v>154</v>
      </c>
      <c r="F5" s="83">
        <f>'Emissão Transferências'!D7+'Emissão Transferências'!D12</f>
        <v>20.184931506849317</v>
      </c>
      <c r="G5" s="101">
        <v>14</v>
      </c>
      <c r="H5" s="92">
        <f t="shared" ref="H5:H8" si="0">2*(F5/G5)</f>
        <v>2.8835616438356166</v>
      </c>
      <c r="I5" s="8">
        <f t="shared" ref="I5:I8" si="1">E5*H5/1000</f>
        <v>0.44406849315068497</v>
      </c>
      <c r="J5" s="25">
        <v>8.3000000000000007</v>
      </c>
      <c r="K5" s="6">
        <v>16</v>
      </c>
      <c r="L5" s="25" t="s">
        <v>153</v>
      </c>
      <c r="M5" s="25">
        <v>55</v>
      </c>
      <c r="N5" s="8">
        <f>('FE-Vias'!$D$6*((J5/12)^'FE-Vias'!$D$7)*((K5/3)^'FE-Vias'!$D$8)*'FE-Vias'!$B$9/1000)*'FE-Vias'!$G$17</f>
        <v>1.6952671965211552</v>
      </c>
      <c r="O5" s="8">
        <f>('FE-Vias'!$C$6*((J5/12)^'FE-Vias'!$C$7)*((K5/3)^'FE-Vias'!$C$8)*'FE-Vias'!$B$9/1000)*'FE-Vias'!$G$17</f>
        <v>0.48207288747744004</v>
      </c>
      <c r="P5" s="8">
        <f>('FE-Vias'!$B$6*((J5/12)^'FE-Vias'!$B$7)*((K5/3)^'FE-Vias'!$B$8)*'FE-Vias'!$B$9/1000)*'FE-Vias'!$G$17</f>
        <v>4.820728874774402E-2</v>
      </c>
      <c r="Q5" s="126">
        <f>'FE-Vias'!$B$22/1000</f>
        <v>1.7489827604766657E-4</v>
      </c>
      <c r="R5" s="126">
        <f>'FE-Vias'!$C$22/1000</f>
        <v>1.7489827604766657E-4</v>
      </c>
      <c r="S5" s="126">
        <f>'FE-Vias'!$D$22/1000</f>
        <v>1.7489827604766657E-4</v>
      </c>
      <c r="T5" s="126">
        <f>'FE-Vias'!$E$22/1000</f>
        <v>5.4345140567386742E-3</v>
      </c>
      <c r="U5" s="126">
        <f>'FE-Vias'!$F$22/1000</f>
        <v>2.1032135261668511E-4</v>
      </c>
      <c r="V5" s="126">
        <f>'FE-Vias'!$G$22/1000</f>
        <v>1.0383730075038094E-3</v>
      </c>
      <c r="W5" s="126">
        <f>'FE-Vias'!$H$22/1000</f>
        <v>2.4766340643796463E-4</v>
      </c>
      <c r="X5" s="125">
        <f t="shared" ref="X5:X7" si="2">(N5*I5*(1-M5/100))+(Q5*I5)</f>
        <v>0.33884430406502009</v>
      </c>
      <c r="Y5" s="125">
        <f t="shared" ref="Y5:Y7" si="3">(O5*I5*(1-M5/100))+(R5*I5)</f>
        <v>9.6410688142807066E-2</v>
      </c>
      <c r="Z5" s="125">
        <f t="shared" ref="Z5:Z7" si="4">(P5*I5*(1-M5/100))+(S5*I5)</f>
        <v>9.710968946789935E-3</v>
      </c>
      <c r="AA5" s="125">
        <f t="shared" ref="AA5:AA7" si="5">T5*I5</f>
        <v>2.4132964681821589E-3</v>
      </c>
      <c r="AB5" s="125">
        <f t="shared" ref="AB5:AB7" si="6">U5*I5</f>
        <v>9.3397086133905239E-5</v>
      </c>
      <c r="AC5" s="125">
        <f t="shared" ref="AC5:AC7" si="7">V5*I5</f>
        <v>4.6110873677056156E-4</v>
      </c>
      <c r="AD5" s="125">
        <f t="shared" ref="AD5:AD7" si="8">W5*I5</f>
        <v>1.099795157054726E-4</v>
      </c>
    </row>
    <row r="6" spans="1:30" x14ac:dyDescent="0.25">
      <c r="A6" s="35" t="s">
        <v>156</v>
      </c>
      <c r="B6" s="25" t="s">
        <v>44</v>
      </c>
      <c r="C6" s="25">
        <v>-20.356598000000002</v>
      </c>
      <c r="D6" s="25">
        <v>-40.325541999999999</v>
      </c>
      <c r="E6" s="25">
        <v>253</v>
      </c>
      <c r="F6" s="83">
        <f>F5</f>
        <v>20.184931506849317</v>
      </c>
      <c r="G6" s="101">
        <v>14</v>
      </c>
      <c r="H6" s="92">
        <f t="shared" si="0"/>
        <v>2.8835616438356166</v>
      </c>
      <c r="I6" s="8">
        <f t="shared" si="1"/>
        <v>0.72954109589041105</v>
      </c>
      <c r="J6" s="25">
        <v>8.3000000000000007</v>
      </c>
      <c r="K6" s="6">
        <v>16</v>
      </c>
      <c r="L6" s="25" t="s">
        <v>153</v>
      </c>
      <c r="M6" s="25">
        <v>55</v>
      </c>
      <c r="N6" s="8">
        <f>('FE-Vias'!$D$6*((J6/12)^'FE-Vias'!$D$7)*((K6/3)^'FE-Vias'!$D$8)*'FE-Vias'!$B$9/1000)*'FE-Vias'!$G$17</f>
        <v>1.6952671965211552</v>
      </c>
      <c r="O6" s="8">
        <f>('FE-Vias'!$C$6*((J6/12)^'FE-Vias'!$C$7)*((K6/3)^'FE-Vias'!$C$8)*'FE-Vias'!$B$9/1000)*'FE-Vias'!$G$17</f>
        <v>0.48207288747744004</v>
      </c>
      <c r="P6" s="8">
        <f>('FE-Vias'!$B$6*((J6/12)^'FE-Vias'!$B$7)*((K6/3)^'FE-Vias'!$B$8)*'FE-Vias'!$B$9/1000)*'FE-Vias'!$G$17</f>
        <v>4.820728874774402E-2</v>
      </c>
      <c r="Q6" s="126">
        <f>'FE-Vias'!$B$22/1000</f>
        <v>1.7489827604766657E-4</v>
      </c>
      <c r="R6" s="126">
        <f>'FE-Vias'!$C$22/1000</f>
        <v>1.7489827604766657E-4</v>
      </c>
      <c r="S6" s="126">
        <f>'FE-Vias'!$D$22/1000</f>
        <v>1.7489827604766657E-4</v>
      </c>
      <c r="T6" s="126">
        <f>'FE-Vias'!$E$22/1000</f>
        <v>5.4345140567386742E-3</v>
      </c>
      <c r="U6" s="126">
        <f>'FE-Vias'!$F$22/1000</f>
        <v>2.1032135261668511E-4</v>
      </c>
      <c r="V6" s="126">
        <f>'FE-Vias'!$G$22/1000</f>
        <v>1.0383730075038094E-3</v>
      </c>
      <c r="W6" s="126">
        <f>'FE-Vias'!$H$22/1000</f>
        <v>2.4766340643796463E-4</v>
      </c>
      <c r="X6" s="125">
        <f t="shared" si="2"/>
        <v>0.55667278524967601</v>
      </c>
      <c r="Y6" s="125">
        <f t="shared" si="3"/>
        <v>0.15838898766318302</v>
      </c>
      <c r="Z6" s="125">
        <f t="shared" si="4"/>
        <v>1.595373469829775E-2</v>
      </c>
      <c r="AA6" s="125">
        <f t="shared" si="5"/>
        <v>3.9647013405849762E-3</v>
      </c>
      <c r="AB6" s="125">
        <f t="shared" si="6"/>
        <v>1.5343807007713002E-4</v>
      </c>
      <c r="AC6" s="125">
        <f t="shared" si="7"/>
        <v>7.5753578183735109E-4</v>
      </c>
      <c r="AD6" s="125">
        <f t="shared" si="8"/>
        <v>1.8068063294470499E-4</v>
      </c>
    </row>
    <row r="7" spans="1:30" x14ac:dyDescent="0.25">
      <c r="A7" s="35" t="s">
        <v>157</v>
      </c>
      <c r="B7" s="25" t="s">
        <v>44</v>
      </c>
      <c r="C7" s="25">
        <v>-20.357464</v>
      </c>
      <c r="D7" s="25">
        <v>-40.325755999999998</v>
      </c>
      <c r="E7" s="25">
        <v>185</v>
      </c>
      <c r="F7" s="83">
        <f>'Emissão Transferências'!D13</f>
        <v>4.8824200913242013</v>
      </c>
      <c r="G7" s="101">
        <v>14</v>
      </c>
      <c r="H7" s="92">
        <f t="shared" si="0"/>
        <v>0.69748858447488593</v>
      </c>
      <c r="I7" s="8">
        <f t="shared" si="1"/>
        <v>0.1290353881278539</v>
      </c>
      <c r="J7" s="25">
        <v>8.3000000000000007</v>
      </c>
      <c r="K7" s="6">
        <v>16</v>
      </c>
      <c r="L7" s="25" t="s">
        <v>153</v>
      </c>
      <c r="M7" s="25">
        <v>55</v>
      </c>
      <c r="N7" s="8">
        <f>('FE-Vias'!$D$6*((J7/12)^'FE-Vias'!$D$7)*((K7/3)^'FE-Vias'!$D$8)*'FE-Vias'!$B$9/1000)*'FE-Vias'!$G$17</f>
        <v>1.6952671965211552</v>
      </c>
      <c r="O7" s="8">
        <f>('FE-Vias'!$C$6*((J7/12)^'FE-Vias'!$C$7)*((K7/3)^'FE-Vias'!$C$8)*'FE-Vias'!$B$9/1000)*'FE-Vias'!$G$17</f>
        <v>0.48207288747744004</v>
      </c>
      <c r="P7" s="8">
        <f>('FE-Vias'!$B$6*((J7/12)^'FE-Vias'!$B$7)*((K7/3)^'FE-Vias'!$B$8)*'FE-Vias'!$B$9/1000)*'FE-Vias'!$G$17</f>
        <v>4.820728874774402E-2</v>
      </c>
      <c r="Q7" s="126">
        <f>'FE-Vias'!$B$22/1000</f>
        <v>1.7489827604766657E-4</v>
      </c>
      <c r="R7" s="126">
        <f>'FE-Vias'!$C$22/1000</f>
        <v>1.7489827604766657E-4</v>
      </c>
      <c r="S7" s="126">
        <f>'FE-Vias'!$D$22/1000</f>
        <v>1.7489827604766657E-4</v>
      </c>
      <c r="T7" s="126">
        <f>'FE-Vias'!$E$22/1000</f>
        <v>5.4345140567386742E-3</v>
      </c>
      <c r="U7" s="126">
        <f>'FE-Vias'!$F$22/1000</f>
        <v>2.1032135261668511E-4</v>
      </c>
      <c r="V7" s="126">
        <f>'FE-Vias'!$G$22/1000</f>
        <v>1.0383730075038094E-3</v>
      </c>
      <c r="W7" s="126">
        <f>'FE-Vias'!$H$22/1000</f>
        <v>2.4766340643796463E-4</v>
      </c>
      <c r="X7" s="125">
        <f t="shared" si="2"/>
        <v>9.8459825374519416E-2</v>
      </c>
      <c r="Y7" s="125">
        <f t="shared" si="3"/>
        <v>2.8014576030637721E-2</v>
      </c>
      <c r="Z7" s="125">
        <f t="shared" si="4"/>
        <v>2.8217688633032059E-3</v>
      </c>
      <c r="AA7" s="125">
        <f t="shared" si="5"/>
        <v>7.0124463059755265E-4</v>
      </c>
      <c r="AB7" s="125">
        <f t="shared" si="6"/>
        <v>2.7138897366469185E-5</v>
      </c>
      <c r="AC7" s="125">
        <f t="shared" si="7"/>
        <v>1.33986864044741E-4</v>
      </c>
      <c r="AD7" s="125">
        <f t="shared" si="8"/>
        <v>3.1957343774789193E-5</v>
      </c>
    </row>
    <row r="8" spans="1:30" x14ac:dyDescent="0.25">
      <c r="A8" s="35" t="s">
        <v>166</v>
      </c>
      <c r="B8" s="25" t="s">
        <v>44</v>
      </c>
      <c r="C8" s="25">
        <v>-20.357071000000001</v>
      </c>
      <c r="D8" s="25">
        <v>-40.326673999999997</v>
      </c>
      <c r="E8" s="25">
        <v>96.5</v>
      </c>
      <c r="F8" s="83">
        <f>'Emissão Transferências'!D16</f>
        <v>20.184931506849313</v>
      </c>
      <c r="G8" s="101">
        <v>14</v>
      </c>
      <c r="H8" s="92">
        <f t="shared" si="0"/>
        <v>2.8835616438356162</v>
      </c>
      <c r="I8" s="8">
        <f t="shared" si="1"/>
        <v>0.27826369863013695</v>
      </c>
      <c r="J8" s="25">
        <v>8.3000000000000007</v>
      </c>
      <c r="K8" s="6">
        <v>16</v>
      </c>
      <c r="L8" s="25" t="s">
        <v>153</v>
      </c>
      <c r="M8" s="25">
        <v>55</v>
      </c>
      <c r="N8" s="8">
        <f>('FE-Vias'!$D$6*((J7/12)^'FE-Vias'!$D$7)*((K7/3)^'FE-Vias'!$D$8)*'FE-Vias'!$B$9/1000)*'FE-Vias'!$G$17</f>
        <v>1.6952671965211552</v>
      </c>
      <c r="O8" s="8">
        <f>('FE-Vias'!$C$6*((J7/12)^'FE-Vias'!$C$7)*((K7/3)^'FE-Vias'!$C$8)*'FE-Vias'!$B$9/1000)*'FE-Vias'!$G$17</f>
        <v>0.48207288747744004</v>
      </c>
      <c r="P8" s="8">
        <f>('FE-Vias'!$B$6*((J7/12)^'FE-Vias'!$B$7)*((K7/3)^'FE-Vias'!$B$8)*'FE-Vias'!$B$9/1000)*'FE-Vias'!$G$17</f>
        <v>4.820728874774402E-2</v>
      </c>
      <c r="Q8" s="126">
        <f>'FE-Vias'!$B$22/1000</f>
        <v>1.7489827604766657E-4</v>
      </c>
      <c r="R8" s="126">
        <f>'FE-Vias'!$C$22/1000</f>
        <v>1.7489827604766657E-4</v>
      </c>
      <c r="S8" s="126">
        <f>'FE-Vias'!$D$22/1000</f>
        <v>1.7489827604766657E-4</v>
      </c>
      <c r="T8" s="126">
        <f>'FE-Vias'!$E$22/1000</f>
        <v>5.4345140567386742E-3</v>
      </c>
      <c r="U8" s="126">
        <f>'FE-Vias'!$F$22/1000</f>
        <v>2.1032135261668511E-4</v>
      </c>
      <c r="V8" s="126">
        <f>'FE-Vias'!$G$22/1000</f>
        <v>1.0383730075038094E-3</v>
      </c>
      <c r="W8" s="126">
        <f>'FE-Vias'!$H$22/1000</f>
        <v>2.4766340643796463E-4</v>
      </c>
      <c r="X8" s="125">
        <f t="shared" ref="X8" si="9">(N8*I8*(1-M8/100))+(Q8*I8)</f>
        <v>0.21232776196282097</v>
      </c>
      <c r="Y8" s="125">
        <f t="shared" ref="Y8" si="10">(O8*I8*(1-M8/100))+(R8*I8)</f>
        <v>6.0413190946629086E-2</v>
      </c>
      <c r="Z8" s="125">
        <f t="shared" ref="Z8" si="11">(P8*I8*(1-M8/100))+(S8*I8)</f>
        <v>6.0851201517222626E-3</v>
      </c>
      <c r="AA8" s="125">
        <f t="shared" ref="AA8" si="12">T8*I8</f>
        <v>1.5122279816855734E-3</v>
      </c>
      <c r="AB8" s="125">
        <f t="shared" ref="AB8" si="13">U8*I8</f>
        <v>5.8524797480012031E-5</v>
      </c>
      <c r="AC8" s="125">
        <f t="shared" ref="AC8" si="14">V8*I8</f>
        <v>2.8894151362570894E-4</v>
      </c>
      <c r="AD8" s="125">
        <f t="shared" ref="AD8" si="15">W8*I8</f>
        <v>6.8915735490766909E-5</v>
      </c>
    </row>
    <row r="9" spans="1:30" x14ac:dyDescent="0.25">
      <c r="A9" s="188" t="s">
        <v>190</v>
      </c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5">
        <f>SUM(X4:X8)</f>
        <v>1.8289860925637291</v>
      </c>
      <c r="Y9" s="15">
        <f t="shared" ref="Y9:AD9" si="16">SUM(Y4:Y8)</f>
        <v>0.52039773333140238</v>
      </c>
      <c r="Z9" s="15">
        <f t="shared" si="16"/>
        <v>5.2417074555837509E-2</v>
      </c>
      <c r="AA9" s="15">
        <f t="shared" si="16"/>
        <v>1.3026294450242148E-2</v>
      </c>
      <c r="AB9" s="15">
        <f t="shared" si="16"/>
        <v>5.0413115869319943E-4</v>
      </c>
      <c r="AC9" s="15">
        <f t="shared" si="16"/>
        <v>2.4889350554086801E-3</v>
      </c>
      <c r="AD9" s="15">
        <f t="shared" si="16"/>
        <v>5.936384418420243E-4</v>
      </c>
    </row>
    <row r="10" spans="1:30" x14ac:dyDescent="0.25">
      <c r="K10" s="27"/>
      <c r="L10" s="27"/>
    </row>
    <row r="11" spans="1:30" x14ac:dyDescent="0.25">
      <c r="B11" s="91"/>
      <c r="G11" s="101"/>
      <c r="H11" s="42"/>
      <c r="I11" s="42"/>
    </row>
    <row r="12" spans="1:30" x14ac:dyDescent="0.25">
      <c r="G12" s="101"/>
      <c r="H12" s="42"/>
      <c r="I12" s="42"/>
    </row>
    <row r="13" spans="1:30" x14ac:dyDescent="0.25">
      <c r="G13" s="102"/>
      <c r="H13" s="42"/>
      <c r="I13" s="42"/>
    </row>
    <row r="14" spans="1:30" x14ac:dyDescent="0.25">
      <c r="G14" s="42"/>
      <c r="H14" s="42"/>
      <c r="I14" s="42"/>
    </row>
  </sheetData>
  <sheetProtection algorithmName="SHA-512" hashValue="JwZfyumI/0+D02SaH0LJ/+6VU1Lo+/z+2SHknIZ0fLjDcs9gNa7+iFz3xjt6T4pncm5ruG0qCXFmMLGVGtiAzQ==" saltValue="5uSwPJbqiBIW9WFQ+aSxBw==" spinCount="100000" sheet="1" objects="1" scenarios="1"/>
  <mergeCells count="17">
    <mergeCell ref="A9:W9"/>
    <mergeCell ref="A2:A3"/>
    <mergeCell ref="B2:B3"/>
    <mergeCell ref="C2:C3"/>
    <mergeCell ref="D2:D3"/>
    <mergeCell ref="E2:E3"/>
    <mergeCell ref="F2:F3"/>
    <mergeCell ref="G2:G3"/>
    <mergeCell ref="X2:AD2"/>
    <mergeCell ref="H2:H3"/>
    <mergeCell ref="I2:I3"/>
    <mergeCell ref="J2:J3"/>
    <mergeCell ref="K2:K3"/>
    <mergeCell ref="N2:P2"/>
    <mergeCell ref="Q2:W2"/>
    <mergeCell ref="M2:M3"/>
    <mergeCell ref="L2:L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E21" sqref="E21"/>
    </sheetView>
  </sheetViews>
  <sheetFormatPr defaultRowHeight="15" customHeight="1" x14ac:dyDescent="0.25"/>
  <cols>
    <col min="1" max="1" width="19.42578125" style="2" customWidth="1"/>
    <col min="2" max="16384" width="9.140625" style="2"/>
  </cols>
  <sheetData>
    <row r="1" spans="1:9" ht="15" customHeight="1" x14ac:dyDescent="0.25">
      <c r="A1" s="200" t="s">
        <v>163</v>
      </c>
      <c r="B1" s="200" t="s">
        <v>1</v>
      </c>
      <c r="C1" s="200"/>
      <c r="D1" s="200"/>
      <c r="E1" s="200"/>
      <c r="F1" s="200"/>
      <c r="G1" s="200"/>
      <c r="H1" s="200"/>
    </row>
    <row r="2" spans="1:9" ht="15" customHeight="1" x14ac:dyDescent="0.25">
      <c r="A2" s="200"/>
      <c r="B2" s="127" t="s">
        <v>2</v>
      </c>
      <c r="C2" s="127" t="s">
        <v>3</v>
      </c>
      <c r="D2" s="127" t="s">
        <v>21</v>
      </c>
      <c r="E2" s="127" t="s">
        <v>6</v>
      </c>
      <c r="F2" s="127" t="s">
        <v>7</v>
      </c>
      <c r="G2" s="127" t="s">
        <v>4</v>
      </c>
      <c r="H2" s="127" t="s">
        <v>205</v>
      </c>
    </row>
    <row r="3" spans="1:9" ht="15" customHeight="1" x14ac:dyDescent="0.25">
      <c r="A3" s="2" t="s">
        <v>158</v>
      </c>
      <c r="B3" s="18">
        <f>'Emissão Perf e Det'!H4+'Emissão Perf e Det'!L10</f>
        <v>0.20845129433695633</v>
      </c>
      <c r="C3" s="18">
        <f>'Emissão Perf e Det'!I4+'Emissão Perf e Det'!M10</f>
        <v>0.1094788739684593</v>
      </c>
      <c r="D3" s="18">
        <f>'Emissão Perf e Det'!J4+'Emissão Perf e Det'!N10</f>
        <v>6.2535388301086896E-3</v>
      </c>
      <c r="E3" s="18" t="s">
        <v>164</v>
      </c>
      <c r="F3" s="18" t="s">
        <v>164</v>
      </c>
      <c r="G3" s="18" t="s">
        <v>164</v>
      </c>
      <c r="H3" s="18" t="s">
        <v>164</v>
      </c>
    </row>
    <row r="4" spans="1:9" ht="15" customHeight="1" x14ac:dyDescent="0.25">
      <c r="A4" s="2" t="s">
        <v>128</v>
      </c>
      <c r="B4" s="18">
        <f>'Emissão Transferências'!I17</f>
        <v>1.2883095991085924</v>
      </c>
      <c r="C4" s="18">
        <f>'Emissão Transferências'!J17</f>
        <v>0.60933562120000995</v>
      </c>
      <c r="D4" s="18">
        <f>'Emissão Transferências'!K17</f>
        <v>9.2270822638858663E-2</v>
      </c>
      <c r="E4" s="18" t="s">
        <v>164</v>
      </c>
      <c r="F4" s="18" t="s">
        <v>164</v>
      </c>
      <c r="G4" s="18" t="s">
        <v>164</v>
      </c>
      <c r="H4" s="18" t="s">
        <v>164</v>
      </c>
    </row>
    <row r="5" spans="1:9" ht="15" customHeight="1" x14ac:dyDescent="0.25">
      <c r="A5" s="2" t="s">
        <v>159</v>
      </c>
      <c r="B5" s="18">
        <f>'Emissão Maq e Equip'!H9</f>
        <v>6.5907664289743456E-2</v>
      </c>
      <c r="C5" s="18">
        <f>'Emissão Maq e Equip'!I9</f>
        <v>6.5907664289743456E-2</v>
      </c>
      <c r="D5" s="18">
        <f>'Emissão Maq e Equip'!J9</f>
        <v>6.5907664289743456E-2</v>
      </c>
      <c r="E5" s="18">
        <f>'Emissão Maq e Equip'!K9</f>
        <v>1.5295969507131317</v>
      </c>
      <c r="F5" s="18">
        <f>'Emissão Maq e Equip'!L9</f>
        <v>1.3995154742016882E-3</v>
      </c>
      <c r="G5" s="18">
        <f>'Emissão Maq e Equip'!M9</f>
        <v>0.51345994707923581</v>
      </c>
      <c r="H5" s="18">
        <f>'Emissão Maq e Equip'!N9</f>
        <v>0.16305036307694418</v>
      </c>
    </row>
    <row r="6" spans="1:9" ht="15" customHeight="1" x14ac:dyDescent="0.25">
      <c r="A6" s="2" t="s">
        <v>160</v>
      </c>
      <c r="B6" s="18">
        <f>'Emissão Brit e Pen'!H6+'Emissão Brit e Pen'!F12</f>
        <v>0.49320268264840189</v>
      </c>
      <c r="C6" s="18">
        <f>'Emissão Brit e Pen'!I6+'Emissão Brit e Pen'!G12</f>
        <v>0.17636324200913242</v>
      </c>
      <c r="D6" s="18">
        <f>'Emissão Brit e Pen'!J6+'Emissão Brit e Pen'!H12</f>
        <v>1.5404119873297959E-2</v>
      </c>
      <c r="E6" s="18" t="s">
        <v>164</v>
      </c>
      <c r="F6" s="18" t="s">
        <v>164</v>
      </c>
      <c r="G6" s="18" t="s">
        <v>164</v>
      </c>
      <c r="H6" s="18" t="s">
        <v>164</v>
      </c>
    </row>
    <row r="7" spans="1:9" ht="15" customHeight="1" x14ac:dyDescent="0.25">
      <c r="A7" s="2" t="s">
        <v>161</v>
      </c>
      <c r="B7" s="18">
        <f>'Emissão Vias '!X9</f>
        <v>1.8289860925637291</v>
      </c>
      <c r="C7" s="18">
        <f>'Emissão Vias '!Y9</f>
        <v>0.52039773333140238</v>
      </c>
      <c r="D7" s="18">
        <f>'Emissão Vias '!Z9</f>
        <v>5.2417074555837509E-2</v>
      </c>
      <c r="E7" s="18">
        <f>'Emissão Vias '!AA9</f>
        <v>1.3026294450242148E-2</v>
      </c>
      <c r="F7" s="18">
        <f>'Emissão Vias '!AB9</f>
        <v>5.0413115869319943E-4</v>
      </c>
      <c r="G7" s="18">
        <f>'Emissão Vias '!AC9</f>
        <v>2.4889350554086801E-3</v>
      </c>
      <c r="H7" s="18">
        <f>'Emissão Vias '!AD9</f>
        <v>5.936384418420243E-4</v>
      </c>
    </row>
    <row r="8" spans="1:9" ht="15" customHeight="1" x14ac:dyDescent="0.25">
      <c r="A8" s="2" t="s">
        <v>162</v>
      </c>
      <c r="B8" s="18">
        <v>0.18350905676415843</v>
      </c>
      <c r="C8" s="18">
        <v>9.1754528382079217E-2</v>
      </c>
      <c r="D8" s="18">
        <v>1.3763179257311881E-2</v>
      </c>
      <c r="E8" s="18" t="s">
        <v>164</v>
      </c>
      <c r="F8" s="18" t="s">
        <v>164</v>
      </c>
      <c r="G8" s="18" t="s">
        <v>164</v>
      </c>
      <c r="H8" s="18" t="s">
        <v>164</v>
      </c>
    </row>
    <row r="9" spans="1:9" ht="15" customHeight="1" x14ac:dyDescent="0.25">
      <c r="A9" s="81" t="s">
        <v>190</v>
      </c>
      <c r="B9" s="15">
        <f>SUM(B3:B8)</f>
        <v>4.0683663897115814</v>
      </c>
      <c r="C9" s="15">
        <f t="shared" ref="C9:H9" si="0">SUM(C3:C8)</f>
        <v>1.5732376631808269</v>
      </c>
      <c r="D9" s="15">
        <f t="shared" si="0"/>
        <v>0.24601639944515816</v>
      </c>
      <c r="E9" s="15">
        <f t="shared" si="0"/>
        <v>1.5426232451633739</v>
      </c>
      <c r="F9" s="15">
        <f t="shared" si="0"/>
        <v>1.9036466328948877E-3</v>
      </c>
      <c r="G9" s="15">
        <f t="shared" si="0"/>
        <v>0.51594888213464452</v>
      </c>
      <c r="H9" s="15">
        <f t="shared" si="0"/>
        <v>0.16364400151878619</v>
      </c>
      <c r="I9" s="56"/>
    </row>
    <row r="11" spans="1:9" ht="15" customHeight="1" x14ac:dyDescent="0.25">
      <c r="A11" s="2" t="s">
        <v>215</v>
      </c>
    </row>
  </sheetData>
  <sheetProtection algorithmName="SHA-512" hashValue="KMOFypYCXAbDP8GHZmWdwY0Y2MpVhcbNR9uxBXccXhb1YDWSqZcgquXccQo+RzIzde4+vMhbVOxDItOErrBu0g==" saltValue="oaWvFChUfoKwSZpXgbEcMw==" spinCount="100000" sheet="1" objects="1" scenarios="1"/>
  <mergeCells count="2">
    <mergeCell ref="B1:H1"/>
    <mergeCell ref="A1:A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"/>
  <sheetViews>
    <sheetView workbookViewId="0">
      <selection activeCell="A29" sqref="A29"/>
    </sheetView>
  </sheetViews>
  <sheetFormatPr defaultRowHeight="15" x14ac:dyDescent="0.25"/>
  <cols>
    <col min="1" max="1" width="19.42578125" bestFit="1" customWidth="1"/>
    <col min="2" max="2" width="20.140625" customWidth="1"/>
    <col min="3" max="4" width="10" bestFit="1" customWidth="1"/>
    <col min="5" max="5" width="10.5703125" bestFit="1" customWidth="1"/>
    <col min="6" max="7" width="10" bestFit="1" customWidth="1"/>
    <col min="8" max="8" width="11.7109375" bestFit="1" customWidth="1"/>
    <col min="9" max="9" width="10" bestFit="1" customWidth="1"/>
    <col min="11" max="11" width="12.7109375" bestFit="1" customWidth="1"/>
  </cols>
  <sheetData>
    <row r="1" spans="1:20" x14ac:dyDescent="0.25">
      <c r="A1" s="2" t="s">
        <v>176</v>
      </c>
    </row>
    <row r="2" spans="1:20" x14ac:dyDescent="0.25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  <c r="I2" s="7" t="s">
        <v>16</v>
      </c>
      <c r="K2" s="86"/>
      <c r="L2" s="86"/>
      <c r="M2" s="17"/>
      <c r="N2" s="17"/>
      <c r="O2" s="17"/>
      <c r="P2" s="17"/>
      <c r="Q2" s="17"/>
      <c r="R2" s="17"/>
      <c r="S2" s="17"/>
    </row>
    <row r="3" spans="1:20" s="42" customFormat="1" x14ac:dyDescent="0.25">
      <c r="A3" s="139" t="s">
        <v>87</v>
      </c>
      <c r="B3" s="43" t="s">
        <v>88</v>
      </c>
      <c r="C3" s="85">
        <v>3.9890165496478201E-3</v>
      </c>
      <c r="D3" s="85">
        <v>6.1369251319822266E-2</v>
      </c>
      <c r="E3" s="85">
        <v>9.4616446621996876E-5</v>
      </c>
      <c r="F3" s="85">
        <v>3.0704922620167548E-2</v>
      </c>
      <c r="G3" s="85">
        <v>9.325230578523698E-3</v>
      </c>
      <c r="H3" s="85">
        <v>7.4570981157761267</v>
      </c>
      <c r="I3" s="85">
        <v>8.4140057334345904E-4</v>
      </c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s="42" customFormat="1" x14ac:dyDescent="0.25">
      <c r="A4" s="140"/>
      <c r="B4" s="43" t="s">
        <v>89</v>
      </c>
      <c r="C4" s="85">
        <v>1.5482138027073926E-2</v>
      </c>
      <c r="D4" s="85">
        <v>0.12602279653815557</v>
      </c>
      <c r="E4" s="85">
        <v>1.4669823419588148E-4</v>
      </c>
      <c r="F4" s="85">
        <v>0.15992567973540345</v>
      </c>
      <c r="G4" s="85">
        <v>6.8514240153494874E-2</v>
      </c>
      <c r="H4" s="85">
        <v>11.347760681124397</v>
      </c>
      <c r="I4" s="85">
        <v>6.1819292303150449E-3</v>
      </c>
      <c r="K4" s="86"/>
      <c r="L4" s="84"/>
      <c r="M4" s="86"/>
      <c r="N4" s="86"/>
      <c r="O4" s="86"/>
      <c r="P4" s="86"/>
      <c r="Q4" s="86"/>
      <c r="R4" s="86"/>
      <c r="S4" s="86"/>
      <c r="T4" s="86"/>
    </row>
    <row r="5" spans="1:20" s="42" customFormat="1" x14ac:dyDescent="0.25">
      <c r="A5" s="140"/>
      <c r="B5" s="43" t="s">
        <v>90</v>
      </c>
      <c r="C5" s="85">
        <v>4.3689955953397884E-2</v>
      </c>
      <c r="D5" s="85">
        <v>0.46744735992116221</v>
      </c>
      <c r="E5" s="85">
        <v>3.9173850602458582E-4</v>
      </c>
      <c r="F5" s="85">
        <v>0.24966648844319658</v>
      </c>
      <c r="G5" s="85">
        <v>8.1017998911048009E-2</v>
      </c>
      <c r="H5" s="85">
        <v>33.394826528703661</v>
      </c>
      <c r="I5" s="85">
        <v>7.3101241308548672E-3</v>
      </c>
      <c r="K5" s="86"/>
      <c r="L5" s="86"/>
      <c r="M5" s="86"/>
      <c r="N5" s="86"/>
      <c r="O5" s="86"/>
      <c r="P5" s="86"/>
      <c r="Q5" s="86"/>
      <c r="R5" s="86"/>
      <c r="S5" s="86"/>
      <c r="T5" s="86"/>
    </row>
    <row r="6" spans="1:20" s="42" customFormat="1" x14ac:dyDescent="0.25">
      <c r="A6" s="140"/>
      <c r="B6" s="43" t="s">
        <v>91</v>
      </c>
      <c r="C6" s="85">
        <v>3.6023154684608628E-2</v>
      </c>
      <c r="D6" s="85">
        <v>0.63034815463312366</v>
      </c>
      <c r="E6" s="85">
        <v>5.7274397999067218E-4</v>
      </c>
      <c r="F6" s="85">
        <v>0.30652652990664653</v>
      </c>
      <c r="G6" s="85">
        <v>8.1297557226803041E-2</v>
      </c>
      <c r="H6" s="85">
        <v>50.902804870404331</v>
      </c>
      <c r="I6" s="85">
        <v>7.3353490732738606E-3</v>
      </c>
      <c r="K6" s="86"/>
      <c r="L6" s="86"/>
      <c r="M6" s="17"/>
      <c r="N6" s="17"/>
      <c r="O6" s="17"/>
      <c r="P6" s="17"/>
      <c r="Q6" s="17"/>
      <c r="R6" s="17"/>
      <c r="S6" s="17"/>
      <c r="T6" s="86"/>
    </row>
    <row r="7" spans="1:20" s="42" customFormat="1" x14ac:dyDescent="0.25">
      <c r="A7" s="140"/>
      <c r="B7" s="43" t="s">
        <v>92</v>
      </c>
      <c r="C7" s="85">
        <v>2.9088427954342536E-2</v>
      </c>
      <c r="D7" s="85">
        <v>0.84182054273419638</v>
      </c>
      <c r="E7" s="85">
        <v>8.0986730271663749E-4</v>
      </c>
      <c r="F7" s="85">
        <v>0.21055843242538708</v>
      </c>
      <c r="G7" s="85">
        <v>7.8277754706101627E-2</v>
      </c>
      <c r="H7" s="85">
        <v>71.977225347554125</v>
      </c>
      <c r="I7" s="85">
        <v>7.0628741220007361E-3</v>
      </c>
      <c r="K7" s="86"/>
      <c r="L7" s="86"/>
      <c r="M7" s="86"/>
      <c r="N7" s="86"/>
      <c r="O7" s="86"/>
      <c r="P7" s="86"/>
      <c r="Q7" s="86"/>
      <c r="R7" s="86"/>
      <c r="S7" s="86"/>
      <c r="T7" s="86"/>
    </row>
    <row r="8" spans="1:20" s="42" customFormat="1" x14ac:dyDescent="0.25">
      <c r="A8" s="140"/>
      <c r="B8" s="43" t="s">
        <v>93</v>
      </c>
      <c r="C8" s="14">
        <v>3.8897927506608358E-2</v>
      </c>
      <c r="D8" s="14">
        <v>1.0799749312549003</v>
      </c>
      <c r="E8" s="14">
        <v>1.0406255490298018E-3</v>
      </c>
      <c r="F8" s="14">
        <v>0.34712417522482392</v>
      </c>
      <c r="G8" s="14">
        <v>0.1040828387327908</v>
      </c>
      <c r="H8" s="14">
        <v>106.02050023214386</v>
      </c>
      <c r="I8" s="14">
        <v>9.3912260611923714E-3</v>
      </c>
      <c r="K8" s="86"/>
      <c r="L8" s="86"/>
      <c r="M8" s="86"/>
      <c r="N8" s="86"/>
      <c r="O8" s="86"/>
      <c r="P8" s="86"/>
      <c r="Q8" s="86"/>
      <c r="R8" s="86"/>
      <c r="S8" s="86"/>
      <c r="T8" s="86"/>
    </row>
    <row r="9" spans="1:20" s="42" customFormat="1" x14ac:dyDescent="0.25">
      <c r="A9" s="141"/>
      <c r="B9" s="43" t="s">
        <v>94</v>
      </c>
      <c r="C9" s="14">
        <v>6.5509575064624348E-2</v>
      </c>
      <c r="D9" s="14">
        <v>1.848764979398662</v>
      </c>
      <c r="E9" s="14">
        <v>1.7668986494167919E-3</v>
      </c>
      <c r="F9" s="14">
        <v>0.57357271429451673</v>
      </c>
      <c r="G9" s="14">
        <v>0.17421540945270575</v>
      </c>
      <c r="H9" s="14">
        <v>175.7281803441501</v>
      </c>
      <c r="I9" s="14">
        <v>1.5719177508701557E-2</v>
      </c>
      <c r="K9" s="86"/>
      <c r="L9" s="86"/>
      <c r="M9" s="86"/>
      <c r="N9" s="86"/>
      <c r="O9" s="86"/>
      <c r="P9" s="86"/>
      <c r="Q9" s="86"/>
      <c r="R9" s="86"/>
      <c r="S9" s="86"/>
      <c r="T9" s="86"/>
    </row>
    <row r="10" spans="1:20" x14ac:dyDescent="0.25">
      <c r="A10" s="163" t="s">
        <v>26</v>
      </c>
      <c r="B10" s="16" t="s">
        <v>27</v>
      </c>
      <c r="C10" s="85">
        <v>4.1647481574952775E-3</v>
      </c>
      <c r="D10" s="85">
        <v>6.5318933034944765E-2</v>
      </c>
      <c r="E10" s="85">
        <v>9.7431139391112798E-5</v>
      </c>
      <c r="F10" s="85">
        <v>3.2117661168667613E-2</v>
      </c>
      <c r="G10" s="85">
        <v>1.0013560541894806E-2</v>
      </c>
      <c r="H10" s="85">
        <v>7.6789363702976381</v>
      </c>
      <c r="I10" s="85">
        <v>9.0350737078986789E-4</v>
      </c>
      <c r="J10" s="17"/>
      <c r="K10" s="17"/>
    </row>
    <row r="11" spans="1:20" x14ac:dyDescent="0.25">
      <c r="A11" s="128"/>
      <c r="B11" s="16" t="s">
        <v>28</v>
      </c>
      <c r="C11" s="85">
        <v>1.9389461005136124E-2</v>
      </c>
      <c r="D11" s="85">
        <v>0.15850781980120351</v>
      </c>
      <c r="E11" s="85">
        <v>1.8265581631205882E-4</v>
      </c>
      <c r="F11" s="85">
        <v>0.19953638186759515</v>
      </c>
      <c r="G11" s="85">
        <v>8.7889870552575564E-2</v>
      </c>
      <c r="H11" s="85">
        <v>14.129238189499569</v>
      </c>
      <c r="I11" s="85">
        <v>7.9301638618412291E-3</v>
      </c>
    </row>
    <row r="12" spans="1:20" x14ac:dyDescent="0.25">
      <c r="A12" s="128"/>
      <c r="B12" s="16" t="s">
        <v>29</v>
      </c>
      <c r="C12" s="85">
        <v>3.5159649405128737E-2</v>
      </c>
      <c r="D12" s="85">
        <v>0.39013010201093185</v>
      </c>
      <c r="E12" s="85">
        <v>3.1347091665644508E-4</v>
      </c>
      <c r="F12" s="85">
        <v>0.2004419223709539</v>
      </c>
      <c r="G12" s="85">
        <v>6.7138814469940591E-2</v>
      </c>
      <c r="H12" s="85">
        <v>26.722695910514073</v>
      </c>
      <c r="I12" s="85">
        <v>6.0578280967871325E-3</v>
      </c>
    </row>
    <row r="13" spans="1:20" x14ac:dyDescent="0.25">
      <c r="A13" s="128"/>
      <c r="B13" s="16" t="s">
        <v>30</v>
      </c>
      <c r="C13" s="85">
        <v>3.4873730864910753E-2</v>
      </c>
      <c r="D13" s="85">
        <v>0.62819014565488085</v>
      </c>
      <c r="E13" s="85">
        <v>5.4259968788077681E-4</v>
      </c>
      <c r="F13" s="85">
        <v>0.29143683660988179</v>
      </c>
      <c r="G13" s="85">
        <v>7.9806989940830519E-2</v>
      </c>
      <c r="H13" s="85">
        <v>48.223729179933819</v>
      </c>
      <c r="I13" s="85">
        <v>7.2008552575325378E-3</v>
      </c>
    </row>
    <row r="14" spans="1:20" x14ac:dyDescent="0.25">
      <c r="A14" s="128"/>
      <c r="B14" s="16" t="s">
        <v>31</v>
      </c>
      <c r="C14" s="14">
        <v>3.101083119228833E-2</v>
      </c>
      <c r="D14" s="14">
        <v>0.83698143551687265</v>
      </c>
      <c r="E14" s="14">
        <v>7.6033040375300068E-4</v>
      </c>
      <c r="F14" s="14">
        <v>0.22495851814724077</v>
      </c>
      <c r="G14" s="14">
        <v>8.0781384871570633E-2</v>
      </c>
      <c r="H14" s="14">
        <v>67.57462749683539</v>
      </c>
      <c r="I14" s="14">
        <v>7.2887737155482657E-3</v>
      </c>
      <c r="L14" s="86"/>
    </row>
    <row r="15" spans="1:20" x14ac:dyDescent="0.25">
      <c r="A15" s="128"/>
      <c r="B15" s="16" t="s">
        <v>32</v>
      </c>
      <c r="C15" s="14">
        <v>4.4312637095619792E-2</v>
      </c>
      <c r="D15" s="14">
        <v>1.1811178567160983</v>
      </c>
      <c r="E15" s="14">
        <v>1.0551972934755545E-3</v>
      </c>
      <c r="F15" s="14">
        <v>0.44023160723795168</v>
      </c>
      <c r="G15" s="14">
        <v>0.11468313954524458</v>
      </c>
      <c r="H15" s="14">
        <v>107.50511325477065</v>
      </c>
      <c r="I15" s="14">
        <v>1.0347677695252593E-2</v>
      </c>
    </row>
    <row r="16" spans="1:20" x14ac:dyDescent="0.25">
      <c r="A16" s="128"/>
      <c r="B16" s="16" t="s">
        <v>33</v>
      </c>
      <c r="C16" s="14">
        <v>9.1699292295937748E-2</v>
      </c>
      <c r="D16" s="14">
        <v>2.4816495823931239</v>
      </c>
      <c r="E16" s="14">
        <v>2.2143711863278365E-3</v>
      </c>
      <c r="F16" s="14">
        <v>0.8977989810489746</v>
      </c>
      <c r="G16" s="14">
        <v>0.2376690359121682</v>
      </c>
      <c r="H16" s="14">
        <v>220.23193257962103</v>
      </c>
      <c r="I16" s="14">
        <v>2.1444490325478866E-2</v>
      </c>
    </row>
    <row r="17" spans="1:9" x14ac:dyDescent="0.25">
      <c r="A17" s="128"/>
      <c r="B17" s="16" t="s">
        <v>34</v>
      </c>
      <c r="C17" s="14">
        <v>0.11281698418835924</v>
      </c>
      <c r="D17" s="14">
        <v>3.6320533542247149</v>
      </c>
      <c r="E17" s="14">
        <v>2.708513011176045E-3</v>
      </c>
      <c r="F17" s="14">
        <v>1.2834306373108464</v>
      </c>
      <c r="G17" s="14">
        <v>0.33188731556128104</v>
      </c>
      <c r="H17" s="14">
        <v>269.37717766866973</v>
      </c>
      <c r="I17" s="14">
        <v>2.9945664738985911E-2</v>
      </c>
    </row>
    <row r="19" spans="1:9" x14ac:dyDescent="0.25">
      <c r="A19" s="142" t="s">
        <v>22</v>
      </c>
      <c r="B19" s="145"/>
      <c r="C19" s="146"/>
      <c r="D19" s="146"/>
      <c r="E19" s="147"/>
    </row>
    <row r="20" spans="1:9" x14ac:dyDescent="0.25">
      <c r="A20" s="143"/>
      <c r="B20" s="148"/>
      <c r="C20" s="149"/>
      <c r="D20" s="149"/>
      <c r="E20" s="150"/>
    </row>
    <row r="21" spans="1:9" x14ac:dyDescent="0.25">
      <c r="A21" s="143"/>
      <c r="B21" s="151"/>
      <c r="C21" s="152"/>
      <c r="D21" s="152"/>
      <c r="E21" s="153"/>
    </row>
    <row r="22" spans="1:9" x14ac:dyDescent="0.25">
      <c r="A22" s="143"/>
      <c r="B22" s="154" t="s">
        <v>23</v>
      </c>
      <c r="C22" s="155"/>
      <c r="D22" s="155"/>
      <c r="E22" s="156"/>
    </row>
    <row r="23" spans="1:9" x14ac:dyDescent="0.25">
      <c r="A23" s="143"/>
      <c r="B23" s="157"/>
      <c r="C23" s="158"/>
      <c r="D23" s="158"/>
      <c r="E23" s="159"/>
    </row>
    <row r="24" spans="1:9" x14ac:dyDescent="0.25">
      <c r="A24" s="143"/>
      <c r="B24" s="157"/>
      <c r="C24" s="158"/>
      <c r="D24" s="158"/>
      <c r="E24" s="159"/>
    </row>
    <row r="25" spans="1:9" x14ac:dyDescent="0.25">
      <c r="A25" s="144"/>
      <c r="B25" s="160"/>
      <c r="C25" s="161"/>
      <c r="D25" s="161"/>
      <c r="E25" s="162"/>
    </row>
    <row r="27" spans="1:9" x14ac:dyDescent="0.25">
      <c r="A27" s="2" t="s">
        <v>177</v>
      </c>
    </row>
    <row r="28" spans="1:9" x14ac:dyDescent="0.25">
      <c r="A28" s="2"/>
    </row>
  </sheetData>
  <sheetProtection algorithmName="SHA-512" hashValue="C1uM6NvDdSAP9wTajhQnEi7DWlW44yLW9AiE9VEv9aBZcfdb4ydqi/Hp260OmPgNtKiR+8ZrsrMe/IyfMi9stw==" saltValue="fo2W7xCXTAkm/ptBgSGpPA==" spinCount="100000" sheet="1" objects="1" scenarios="1"/>
  <mergeCells count="5">
    <mergeCell ref="A3:A9"/>
    <mergeCell ref="A19:A25"/>
    <mergeCell ref="B19:E21"/>
    <mergeCell ref="B22:E25"/>
    <mergeCell ref="A10:A17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2" sqref="G12"/>
    </sheetView>
  </sheetViews>
  <sheetFormatPr defaultRowHeight="15" x14ac:dyDescent="0.25"/>
  <cols>
    <col min="1" max="1" width="28.140625" bestFit="1" customWidth="1"/>
    <col min="2" max="7" width="14.5703125" customWidth="1"/>
  </cols>
  <sheetData>
    <row r="1" spans="1:5" x14ac:dyDescent="0.25">
      <c r="A1" s="164" t="s">
        <v>178</v>
      </c>
      <c r="B1" s="165"/>
      <c r="C1" s="165"/>
      <c r="D1" s="165"/>
    </row>
    <row r="2" spans="1:5" x14ac:dyDescent="0.25">
      <c r="A2" s="106"/>
      <c r="B2" s="106" t="s">
        <v>2</v>
      </c>
      <c r="C2" s="106" t="s">
        <v>37</v>
      </c>
      <c r="D2" s="106" t="s">
        <v>38</v>
      </c>
    </row>
    <row r="3" spans="1:5" x14ac:dyDescent="0.25">
      <c r="A3" s="12" t="s">
        <v>39</v>
      </c>
      <c r="B3" s="109">
        <v>0.74</v>
      </c>
      <c r="C3" s="109">
        <v>0.35</v>
      </c>
      <c r="D3" s="109">
        <v>5.2999999999999999E-2</v>
      </c>
    </row>
    <row r="4" spans="1:5" x14ac:dyDescent="0.25">
      <c r="A4" s="114"/>
      <c r="B4" s="114"/>
      <c r="C4" s="114"/>
      <c r="D4" s="114"/>
    </row>
    <row r="5" spans="1:5" x14ac:dyDescent="0.25">
      <c r="A5" s="142" t="s">
        <v>22</v>
      </c>
      <c r="B5" s="115"/>
      <c r="C5" s="116"/>
      <c r="D5" s="116"/>
      <c r="E5" s="21"/>
    </row>
    <row r="6" spans="1:5" x14ac:dyDescent="0.25">
      <c r="A6" s="143"/>
      <c r="B6" s="117"/>
      <c r="C6" s="118"/>
      <c r="D6" s="118"/>
      <c r="E6" s="21"/>
    </row>
    <row r="7" spans="1:5" x14ac:dyDescent="0.25">
      <c r="A7" s="143"/>
      <c r="B7" s="119"/>
      <c r="C7" s="120"/>
      <c r="D7" s="120"/>
      <c r="E7" s="21"/>
    </row>
    <row r="8" spans="1:5" ht="15" customHeight="1" x14ac:dyDescent="0.25">
      <c r="A8" s="143"/>
      <c r="B8" s="154" t="s">
        <v>40</v>
      </c>
      <c r="C8" s="155"/>
      <c r="D8" s="155"/>
      <c r="E8" s="22"/>
    </row>
    <row r="9" spans="1:5" x14ac:dyDescent="0.25">
      <c r="A9" s="143"/>
      <c r="B9" s="157"/>
      <c r="C9" s="158"/>
      <c r="D9" s="158"/>
      <c r="E9" s="22"/>
    </row>
    <row r="10" spans="1:5" ht="17.25" customHeight="1" x14ac:dyDescent="0.25">
      <c r="A10" s="143"/>
      <c r="B10" s="157"/>
      <c r="C10" s="158"/>
      <c r="D10" s="158"/>
      <c r="E10" s="22"/>
    </row>
    <row r="11" spans="1:5" ht="19.5" customHeight="1" x14ac:dyDescent="0.25">
      <c r="A11" s="144"/>
      <c r="B11" s="160"/>
      <c r="C11" s="161"/>
      <c r="D11" s="161"/>
      <c r="E11" s="22"/>
    </row>
  </sheetData>
  <sheetProtection algorithmName="SHA-512" hashValue="d4ZDiYo5GyfbXmvBLTO5tH+oHqRPcL7AQyjxsUvVz0DRizGhYvX1ydn5vu9/jGpcXi5qf++7ESki715DGPZIfg==" saltValue="2vv79mYVuUQ+RAsvGzAJcQ==" spinCount="100000" sheet="1" objects="1" scenarios="1"/>
  <mergeCells count="3">
    <mergeCell ref="A1:D1"/>
    <mergeCell ref="A5:A11"/>
    <mergeCell ref="B8:D1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workbookViewId="0">
      <selection activeCell="D16" sqref="D16"/>
    </sheetView>
  </sheetViews>
  <sheetFormatPr defaultRowHeight="15" x14ac:dyDescent="0.25"/>
  <cols>
    <col min="1" max="1" width="24.42578125" customWidth="1"/>
    <col min="2" max="5" width="20.42578125" customWidth="1"/>
    <col min="6" max="6" width="20.85546875" customWidth="1"/>
    <col min="7" max="7" width="18.42578125" customWidth="1"/>
  </cols>
  <sheetData>
    <row r="1" spans="1:7" x14ac:dyDescent="0.25">
      <c r="A1" s="2" t="s">
        <v>179</v>
      </c>
    </row>
    <row r="2" spans="1:7" x14ac:dyDescent="0.25">
      <c r="A2" s="166" t="s">
        <v>133</v>
      </c>
      <c r="B2" s="167"/>
      <c r="C2" s="167"/>
      <c r="D2" s="167"/>
      <c r="E2" s="167"/>
      <c r="F2" s="167"/>
      <c r="G2" s="167"/>
    </row>
    <row r="3" spans="1:7" ht="15" customHeight="1" x14ac:dyDescent="0.25">
      <c r="A3" s="130" t="s">
        <v>134</v>
      </c>
      <c r="B3" s="130"/>
      <c r="C3" s="130"/>
      <c r="D3" s="130"/>
      <c r="E3" s="130"/>
      <c r="F3" s="130"/>
      <c r="G3" s="130"/>
    </row>
    <row r="4" spans="1:7" x14ac:dyDescent="0.25">
      <c r="A4" s="107" t="s">
        <v>120</v>
      </c>
      <c r="B4" s="106" t="s">
        <v>2</v>
      </c>
      <c r="C4" s="106" t="s">
        <v>139</v>
      </c>
      <c r="D4" s="106" t="s">
        <v>37</v>
      </c>
      <c r="E4" s="106" t="s">
        <v>139</v>
      </c>
      <c r="F4" s="106" t="s">
        <v>127</v>
      </c>
      <c r="G4" s="106" t="s">
        <v>139</v>
      </c>
    </row>
    <row r="5" spans="1:7" x14ac:dyDescent="0.25">
      <c r="A5" s="76" t="s">
        <v>135</v>
      </c>
      <c r="B5" s="77">
        <v>2.7000000000000001E-3</v>
      </c>
      <c r="C5" s="77" t="s">
        <v>140</v>
      </c>
      <c r="D5" s="77">
        <v>1.1999999999999999E-3</v>
      </c>
      <c r="E5" s="77" t="s">
        <v>141</v>
      </c>
      <c r="F5" s="77" t="s">
        <v>122</v>
      </c>
      <c r="G5" s="47"/>
    </row>
    <row r="6" spans="1:7" x14ac:dyDescent="0.25">
      <c r="A6" s="19" t="s">
        <v>136</v>
      </c>
      <c r="B6" s="109">
        <v>5.9999999999999995E-4</v>
      </c>
      <c r="C6" s="109" t="s">
        <v>140</v>
      </c>
      <c r="D6" s="109">
        <v>2.7E-4</v>
      </c>
      <c r="E6" s="109" t="s">
        <v>141</v>
      </c>
      <c r="F6" s="109">
        <v>5.0000000000000002E-5</v>
      </c>
      <c r="G6" s="25" t="s">
        <v>140</v>
      </c>
    </row>
    <row r="7" spans="1:7" x14ac:dyDescent="0.25">
      <c r="A7" s="59" t="s">
        <v>121</v>
      </c>
      <c r="B7" s="108">
        <v>1.2500000000000001E-2</v>
      </c>
      <c r="C7" s="108" t="s">
        <v>140</v>
      </c>
      <c r="D7" s="108">
        <v>4.3E-3</v>
      </c>
      <c r="E7" s="108" t="s">
        <v>141</v>
      </c>
      <c r="F7" s="108" t="s">
        <v>122</v>
      </c>
      <c r="G7" s="47"/>
    </row>
    <row r="8" spans="1:7" x14ac:dyDescent="0.25">
      <c r="A8" s="2" t="s">
        <v>137</v>
      </c>
      <c r="B8" s="25">
        <v>1.1000000000000001E-3</v>
      </c>
      <c r="C8" s="25" t="s">
        <v>140</v>
      </c>
      <c r="D8" s="25">
        <v>3.6999999999999999E-4</v>
      </c>
      <c r="E8" s="25" t="s">
        <v>141</v>
      </c>
      <c r="F8" s="109">
        <v>2.5000000000000001E-5</v>
      </c>
      <c r="G8" s="25" t="s">
        <v>140</v>
      </c>
    </row>
    <row r="9" spans="1:7" x14ac:dyDescent="0.25">
      <c r="A9" s="2"/>
      <c r="B9" s="2"/>
      <c r="C9" s="2"/>
      <c r="D9" s="2"/>
      <c r="E9" s="2"/>
      <c r="F9" s="114"/>
      <c r="G9" s="114"/>
    </row>
    <row r="10" spans="1:7" x14ac:dyDescent="0.25">
      <c r="D10" s="87"/>
    </row>
    <row r="11" spans="1:7" x14ac:dyDescent="0.25">
      <c r="D11" s="87"/>
    </row>
    <row r="13" spans="1:7" x14ac:dyDescent="0.25">
      <c r="F13" s="87"/>
    </row>
    <row r="15" spans="1:7" x14ac:dyDescent="0.25">
      <c r="D15" s="88"/>
      <c r="F15" s="87"/>
    </row>
    <row r="16" spans="1:7" x14ac:dyDescent="0.25">
      <c r="D16" s="88"/>
      <c r="F16" s="87"/>
    </row>
  </sheetData>
  <sheetProtection algorithmName="SHA-512" hashValue="0ZiXtRPluf/t+Rfhab1TrvZV5oft+bw1CS9z+/43256+zi3bNKTw8zVcmKW7BtGiNOit1JOsnIG8LJi5hoEpzg==" saltValue="KzHyjtzsAuqIS/bSinhhHw==" spinCount="100000" sheet="1" objects="1" scenarios="1"/>
  <mergeCells count="2">
    <mergeCell ref="A3:G3"/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selection activeCell="H30" sqref="H30"/>
    </sheetView>
  </sheetViews>
  <sheetFormatPr defaultRowHeight="15" x14ac:dyDescent="0.25"/>
  <cols>
    <col min="1" max="4" width="13.42578125" customWidth="1"/>
    <col min="6" max="6" width="10.5703125" customWidth="1"/>
    <col min="7" max="7" width="14" customWidth="1"/>
    <col min="8" max="8" width="18.140625" customWidth="1"/>
    <col min="9" max="9" width="11.28515625" bestFit="1" customWidth="1"/>
    <col min="10" max="10" width="11.5703125" bestFit="1" customWidth="1"/>
  </cols>
  <sheetData>
    <row r="1" spans="1:10" x14ac:dyDescent="0.25">
      <c r="A1" s="2" t="s">
        <v>180</v>
      </c>
      <c r="B1" s="2"/>
      <c r="C1" s="2"/>
      <c r="D1" s="2"/>
    </row>
    <row r="2" spans="1:10" ht="26.25" customHeight="1" x14ac:dyDescent="0.25">
      <c r="A2" s="131" t="s">
        <v>45</v>
      </c>
      <c r="B2" s="131"/>
      <c r="C2" s="131"/>
      <c r="D2" s="131"/>
    </row>
    <row r="3" spans="1:10" x14ac:dyDescent="0.25">
      <c r="A3" s="137" t="s">
        <v>46</v>
      </c>
      <c r="B3" s="137"/>
      <c r="C3" s="137"/>
      <c r="D3" s="137"/>
      <c r="F3" s="129" t="s">
        <v>60</v>
      </c>
      <c r="G3" s="129"/>
      <c r="H3" s="129"/>
      <c r="I3" s="129"/>
      <c r="J3" s="129"/>
    </row>
    <row r="4" spans="1:10" ht="22.5" x14ac:dyDescent="0.25">
      <c r="A4" s="168" t="s">
        <v>47</v>
      </c>
      <c r="B4" s="168" t="s">
        <v>48</v>
      </c>
      <c r="C4" s="168"/>
      <c r="D4" s="168"/>
      <c r="F4" s="94" t="s">
        <v>61</v>
      </c>
      <c r="G4" s="93" t="s">
        <v>62</v>
      </c>
      <c r="H4" s="93" t="s">
        <v>63</v>
      </c>
      <c r="I4" s="94" t="s">
        <v>64</v>
      </c>
      <c r="J4" s="94" t="s">
        <v>65</v>
      </c>
    </row>
    <row r="5" spans="1:10" x14ac:dyDescent="0.25">
      <c r="A5" s="168"/>
      <c r="B5" s="31" t="s">
        <v>49</v>
      </c>
      <c r="C5" s="31" t="s">
        <v>50</v>
      </c>
      <c r="D5" s="31" t="s">
        <v>51</v>
      </c>
      <c r="F5" s="95" t="s">
        <v>66</v>
      </c>
      <c r="G5" s="95">
        <v>0</v>
      </c>
      <c r="H5" s="95">
        <v>0</v>
      </c>
      <c r="I5" s="95">
        <v>31</v>
      </c>
      <c r="J5" s="38">
        <f>(I5-H5)/I5</f>
        <v>1</v>
      </c>
    </row>
    <row r="6" spans="1:10" x14ac:dyDescent="0.25">
      <c r="A6" s="32" t="s">
        <v>52</v>
      </c>
      <c r="B6" s="32">
        <v>0.15</v>
      </c>
      <c r="C6" s="32">
        <v>1.5</v>
      </c>
      <c r="D6" s="32">
        <v>4.9000000000000004</v>
      </c>
      <c r="F6" s="95" t="s">
        <v>67</v>
      </c>
      <c r="G6" s="95">
        <v>52</v>
      </c>
      <c r="H6" s="95">
        <v>7</v>
      </c>
      <c r="I6" s="95">
        <v>28</v>
      </c>
      <c r="J6" s="38">
        <f t="shared" ref="J6:J16" si="0">(I6-H6)/I6</f>
        <v>0.75</v>
      </c>
    </row>
    <row r="7" spans="1:10" x14ac:dyDescent="0.25">
      <c r="A7" s="32" t="s">
        <v>53</v>
      </c>
      <c r="B7" s="32">
        <v>0.9</v>
      </c>
      <c r="C7" s="32">
        <v>0.9</v>
      </c>
      <c r="D7" s="32">
        <v>0.7</v>
      </c>
      <c r="F7" s="95" t="s">
        <v>68</v>
      </c>
      <c r="G7" s="95">
        <v>69</v>
      </c>
      <c r="H7" s="95">
        <v>7</v>
      </c>
      <c r="I7" s="95">
        <v>31</v>
      </c>
      <c r="J7" s="38">
        <f t="shared" si="0"/>
        <v>0.77419354838709675</v>
      </c>
    </row>
    <row r="8" spans="1:10" x14ac:dyDescent="0.25">
      <c r="A8" s="32" t="s">
        <v>54</v>
      </c>
      <c r="B8" s="32">
        <v>0.45</v>
      </c>
      <c r="C8" s="32">
        <v>0.45</v>
      </c>
      <c r="D8" s="32">
        <v>0.45</v>
      </c>
      <c r="F8" s="95" t="s">
        <v>69</v>
      </c>
      <c r="G8" s="95">
        <v>44</v>
      </c>
      <c r="H8" s="95">
        <v>8</v>
      </c>
      <c r="I8" s="95">
        <v>30</v>
      </c>
      <c r="J8" s="38">
        <f t="shared" si="0"/>
        <v>0.73333333333333328</v>
      </c>
    </row>
    <row r="9" spans="1:10" x14ac:dyDescent="0.25">
      <c r="A9" s="32" t="s">
        <v>56</v>
      </c>
      <c r="B9" s="13">
        <v>281.89999999999998</v>
      </c>
      <c r="C9" s="32" t="s">
        <v>57</v>
      </c>
      <c r="D9" s="32"/>
      <c r="F9" s="95" t="s">
        <v>70</v>
      </c>
      <c r="G9" s="95">
        <v>185.8</v>
      </c>
      <c r="H9" s="95">
        <v>16</v>
      </c>
      <c r="I9" s="95">
        <v>31</v>
      </c>
      <c r="J9" s="38">
        <f t="shared" si="0"/>
        <v>0.4838709677419355</v>
      </c>
    </row>
    <row r="10" spans="1:10" x14ac:dyDescent="0.25">
      <c r="A10" s="168" t="s">
        <v>55</v>
      </c>
      <c r="B10" s="168"/>
      <c r="C10" s="168"/>
      <c r="D10" s="168"/>
      <c r="F10" s="95" t="s">
        <v>71</v>
      </c>
      <c r="G10" s="95">
        <v>119.2</v>
      </c>
      <c r="H10" s="95">
        <v>9</v>
      </c>
      <c r="I10" s="95">
        <v>30</v>
      </c>
      <c r="J10" s="38">
        <f t="shared" si="0"/>
        <v>0.7</v>
      </c>
    </row>
    <row r="11" spans="1:10" x14ac:dyDescent="0.25">
      <c r="A11" s="168"/>
      <c r="B11" s="168"/>
      <c r="C11" s="168"/>
      <c r="D11" s="168"/>
      <c r="F11" s="95" t="s">
        <v>72</v>
      </c>
      <c r="G11" s="95">
        <v>17.8</v>
      </c>
      <c r="H11" s="95">
        <v>6</v>
      </c>
      <c r="I11" s="95">
        <v>31</v>
      </c>
      <c r="J11" s="38">
        <f t="shared" si="0"/>
        <v>0.80645161290322576</v>
      </c>
    </row>
    <row r="12" spans="1:10" ht="15" customHeight="1" x14ac:dyDescent="0.25">
      <c r="A12" s="168"/>
      <c r="B12" s="169" t="s">
        <v>168</v>
      </c>
      <c r="C12" s="169"/>
      <c r="D12" s="169"/>
      <c r="F12" s="95" t="s">
        <v>73</v>
      </c>
      <c r="G12" s="95">
        <v>70.2</v>
      </c>
      <c r="H12" s="95">
        <v>11</v>
      </c>
      <c r="I12" s="95">
        <v>31</v>
      </c>
      <c r="J12" s="38">
        <f t="shared" si="0"/>
        <v>0.64516129032258063</v>
      </c>
    </row>
    <row r="13" spans="1:10" x14ac:dyDescent="0.25">
      <c r="A13" s="168"/>
      <c r="B13" s="169"/>
      <c r="C13" s="169"/>
      <c r="D13" s="169"/>
      <c r="F13" s="95" t="s">
        <v>74</v>
      </c>
      <c r="G13" s="95">
        <v>25.2</v>
      </c>
      <c r="H13" s="95">
        <v>7</v>
      </c>
      <c r="I13" s="95">
        <v>30</v>
      </c>
      <c r="J13" s="38">
        <f t="shared" si="0"/>
        <v>0.76666666666666672</v>
      </c>
    </row>
    <row r="14" spans="1:10" x14ac:dyDescent="0.25">
      <c r="A14" s="168"/>
      <c r="B14" s="169"/>
      <c r="C14" s="169"/>
      <c r="D14" s="169"/>
      <c r="F14" s="95" t="s">
        <v>75</v>
      </c>
      <c r="G14" s="95">
        <v>54.4</v>
      </c>
      <c r="H14" s="95">
        <v>6</v>
      </c>
      <c r="I14" s="95">
        <v>31</v>
      </c>
      <c r="J14" s="38">
        <f t="shared" si="0"/>
        <v>0.80645161290322576</v>
      </c>
    </row>
    <row r="15" spans="1:10" x14ac:dyDescent="0.25">
      <c r="A15" s="168"/>
      <c r="B15" s="169"/>
      <c r="C15" s="169"/>
      <c r="D15" s="169"/>
      <c r="F15" s="95" t="s">
        <v>76</v>
      </c>
      <c r="G15" s="39">
        <v>48.6</v>
      </c>
      <c r="H15" s="95">
        <v>9</v>
      </c>
      <c r="I15" s="95">
        <v>30</v>
      </c>
      <c r="J15" s="38">
        <f t="shared" si="0"/>
        <v>0.7</v>
      </c>
    </row>
    <row r="16" spans="1:10" x14ac:dyDescent="0.25">
      <c r="A16" s="168"/>
      <c r="B16" s="169"/>
      <c r="C16" s="169"/>
      <c r="D16" s="169"/>
      <c r="F16" s="95" t="s">
        <v>77</v>
      </c>
      <c r="G16" s="95">
        <v>91.4</v>
      </c>
      <c r="H16" s="95">
        <v>6</v>
      </c>
      <c r="I16" s="95">
        <v>31</v>
      </c>
      <c r="J16" s="38">
        <f t="shared" si="0"/>
        <v>0.80645161290322576</v>
      </c>
    </row>
    <row r="17" spans="1:8" x14ac:dyDescent="0.25">
      <c r="A17" s="168"/>
      <c r="B17" s="169"/>
      <c r="C17" s="169"/>
      <c r="D17" s="169"/>
      <c r="F17" s="96" t="s">
        <v>78</v>
      </c>
      <c r="G17" s="8">
        <f>(365-SUM(H5:H16))/365</f>
        <v>0.74794520547945209</v>
      </c>
    </row>
    <row r="19" spans="1:8" x14ac:dyDescent="0.25">
      <c r="A19" s="129" t="s">
        <v>79</v>
      </c>
      <c r="B19" s="129" t="s">
        <v>80</v>
      </c>
      <c r="C19" s="129"/>
      <c r="D19" s="129"/>
      <c r="E19" s="129"/>
      <c r="F19" s="129"/>
      <c r="G19" s="129"/>
      <c r="H19" s="129"/>
    </row>
    <row r="20" spans="1:8" x14ac:dyDescent="0.25">
      <c r="A20" s="129"/>
      <c r="B20" s="129" t="s">
        <v>81</v>
      </c>
      <c r="C20" s="129"/>
      <c r="D20" s="129"/>
      <c r="E20" s="129"/>
      <c r="F20" s="129"/>
      <c r="G20" s="129"/>
      <c r="H20" s="129"/>
    </row>
    <row r="21" spans="1:8" x14ac:dyDescent="0.25">
      <c r="A21" s="129"/>
      <c r="B21" s="36" t="s">
        <v>2</v>
      </c>
      <c r="C21" s="36" t="s">
        <v>37</v>
      </c>
      <c r="D21" s="36" t="s">
        <v>84</v>
      </c>
      <c r="E21" s="36" t="s">
        <v>85</v>
      </c>
      <c r="F21" s="36" t="s">
        <v>86</v>
      </c>
      <c r="G21" s="36" t="s">
        <v>4</v>
      </c>
      <c r="H21" s="36" t="s">
        <v>82</v>
      </c>
    </row>
    <row r="22" spans="1:8" x14ac:dyDescent="0.25">
      <c r="A22" s="90" t="s">
        <v>83</v>
      </c>
      <c r="B22" s="122">
        <v>0.17489827604766656</v>
      </c>
      <c r="C22" s="122">
        <v>0.17489827604766656</v>
      </c>
      <c r="D22" s="122">
        <v>0.17489827604766656</v>
      </c>
      <c r="E22" s="122">
        <v>5.4345140567386743</v>
      </c>
      <c r="F22" s="122">
        <v>0.21032135261668511</v>
      </c>
      <c r="G22" s="122">
        <v>1.0383730075038093</v>
      </c>
      <c r="H22" s="122">
        <v>0.24766340643796464</v>
      </c>
    </row>
  </sheetData>
  <sheetProtection algorithmName="SHA-512" hashValue="1eLeDg0yYSorfmZ1kuRsQfQOR3PKQOUA8fTGP+/4+V7+7LDbJNwTuixnDAE9ye2sYvwJJlSntIKNX+HsMGvoKw==" saltValue="nWXNA5XM+UzDHVc8ixY7lg==" spinCount="100000" sheet="1" objects="1" scenarios="1"/>
  <mergeCells count="11">
    <mergeCell ref="F3:J3"/>
    <mergeCell ref="A19:A21"/>
    <mergeCell ref="B19:H19"/>
    <mergeCell ref="B20:H20"/>
    <mergeCell ref="A2:D2"/>
    <mergeCell ref="A3:D3"/>
    <mergeCell ref="A4:A5"/>
    <mergeCell ref="B4:D4"/>
    <mergeCell ref="B10:D11"/>
    <mergeCell ref="A10:A17"/>
    <mergeCell ref="B12:D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7"/>
  <sheetViews>
    <sheetView workbookViewId="0">
      <selection activeCell="D25" sqref="D25"/>
    </sheetView>
  </sheetViews>
  <sheetFormatPr defaultColWidth="16" defaultRowHeight="15" customHeight="1" x14ac:dyDescent="0.2"/>
  <cols>
    <col min="1" max="1" width="30" style="1" bestFit="1" customWidth="1"/>
    <col min="2" max="2" width="19.5703125" style="1" customWidth="1"/>
    <col min="3" max="16384" width="16" style="1"/>
  </cols>
  <sheetData>
    <row r="1" spans="1:4" ht="15" customHeight="1" x14ac:dyDescent="0.2">
      <c r="A1" s="3" t="s">
        <v>181</v>
      </c>
    </row>
    <row r="2" spans="1:4" ht="15" customHeight="1" x14ac:dyDescent="0.2">
      <c r="A2" s="171" t="s">
        <v>143</v>
      </c>
      <c r="B2" s="171"/>
    </row>
    <row r="3" spans="1:4" ht="15" customHeight="1" x14ac:dyDescent="0.2">
      <c r="A3" s="2" t="s">
        <v>101</v>
      </c>
      <c r="B3" s="25">
        <v>10</v>
      </c>
    </row>
    <row r="4" spans="1:4" ht="15" customHeight="1" x14ac:dyDescent="0.2">
      <c r="A4" s="2" t="s">
        <v>102</v>
      </c>
      <c r="B4" s="25">
        <v>5</v>
      </c>
    </row>
    <row r="6" spans="1:4" ht="15" customHeight="1" x14ac:dyDescent="0.2">
      <c r="A6" s="170" t="s">
        <v>97</v>
      </c>
      <c r="B6" s="170"/>
      <c r="C6" s="170"/>
      <c r="D6" s="170"/>
    </row>
    <row r="7" spans="1:4" ht="15" customHeight="1" x14ac:dyDescent="0.2">
      <c r="A7" s="106" t="s">
        <v>95</v>
      </c>
      <c r="B7" s="106" t="s">
        <v>98</v>
      </c>
      <c r="C7" s="106" t="s">
        <v>99</v>
      </c>
      <c r="D7" s="106" t="s">
        <v>100</v>
      </c>
    </row>
    <row r="8" spans="1:4" ht="15" customHeight="1" x14ac:dyDescent="0.2">
      <c r="A8" s="25">
        <v>1</v>
      </c>
      <c r="B8" s="123">
        <v>990</v>
      </c>
      <c r="C8" s="123">
        <v>11200</v>
      </c>
      <c r="D8" s="123">
        <v>4300</v>
      </c>
    </row>
    <row r="9" spans="1:4" ht="15" customHeight="1" x14ac:dyDescent="0.2">
      <c r="A9" s="44">
        <v>2</v>
      </c>
      <c r="B9" s="123">
        <v>970</v>
      </c>
      <c r="C9" s="123">
        <v>11220</v>
      </c>
      <c r="D9" s="123">
        <v>6780</v>
      </c>
    </row>
    <row r="10" spans="1:4" ht="15" customHeight="1" x14ac:dyDescent="0.2">
      <c r="A10" s="37">
        <v>3</v>
      </c>
      <c r="B10" s="123">
        <v>820</v>
      </c>
      <c r="C10" s="123">
        <v>14600</v>
      </c>
      <c r="D10" s="123">
        <v>6150</v>
      </c>
    </row>
    <row r="11" spans="1:4" ht="15" customHeight="1" x14ac:dyDescent="0.2">
      <c r="A11" s="37">
        <v>4</v>
      </c>
      <c r="B11" s="123">
        <v>230</v>
      </c>
      <c r="C11" s="123">
        <v>12300</v>
      </c>
      <c r="D11" s="123">
        <v>4200</v>
      </c>
    </row>
    <row r="12" spans="1:4" ht="15" customHeight="1" x14ac:dyDescent="0.2">
      <c r="A12" s="45">
        <v>5</v>
      </c>
      <c r="B12" s="123">
        <v>480</v>
      </c>
      <c r="C12" s="123">
        <v>12200</v>
      </c>
      <c r="D12" s="123">
        <v>2800</v>
      </c>
    </row>
    <row r="13" spans="1:4" ht="15" customHeight="1" x14ac:dyDescent="0.2">
      <c r="A13" s="40">
        <v>6</v>
      </c>
      <c r="B13" s="123">
        <v>250</v>
      </c>
      <c r="C13" s="123">
        <v>9500</v>
      </c>
      <c r="D13" s="123">
        <v>4800</v>
      </c>
    </row>
    <row r="14" spans="1:4" ht="15" customHeight="1" x14ac:dyDescent="0.2">
      <c r="A14" s="46">
        <v>7</v>
      </c>
      <c r="B14" s="123">
        <v>360</v>
      </c>
      <c r="C14" s="123">
        <v>11550</v>
      </c>
      <c r="D14" s="123">
        <v>3250</v>
      </c>
    </row>
    <row r="15" spans="1:4" ht="15" customHeight="1" x14ac:dyDescent="0.2">
      <c r="A15" s="25">
        <v>8</v>
      </c>
      <c r="B15" s="123">
        <v>430</v>
      </c>
      <c r="C15" s="123">
        <v>14300</v>
      </c>
      <c r="D15" s="123">
        <v>2790</v>
      </c>
    </row>
    <row r="16" spans="1:4" ht="15" customHeight="1" x14ac:dyDescent="0.2">
      <c r="A16" s="25">
        <v>9</v>
      </c>
      <c r="B16" s="123">
        <v>270</v>
      </c>
      <c r="C16" s="123">
        <v>9000</v>
      </c>
      <c r="D16" s="123">
        <v>1800</v>
      </c>
    </row>
    <row r="17" spans="1:4" ht="15" customHeight="1" x14ac:dyDescent="0.2">
      <c r="A17" s="25">
        <v>10</v>
      </c>
      <c r="B17" s="123">
        <v>610</v>
      </c>
      <c r="C17" s="123">
        <v>8700</v>
      </c>
      <c r="D17" s="123">
        <v>2850</v>
      </c>
    </row>
    <row r="18" spans="1:4" ht="15" customHeight="1" x14ac:dyDescent="0.2">
      <c r="A18" s="25">
        <v>11</v>
      </c>
      <c r="B18" s="123">
        <v>180</v>
      </c>
      <c r="C18" s="123">
        <v>7200</v>
      </c>
      <c r="D18" s="123">
        <v>1100</v>
      </c>
    </row>
    <row r="19" spans="1:4" ht="15" customHeight="1" x14ac:dyDescent="0.2">
      <c r="A19" s="25">
        <v>12</v>
      </c>
      <c r="B19" s="123">
        <v>490</v>
      </c>
      <c r="C19" s="123">
        <v>6200</v>
      </c>
      <c r="D19" s="123">
        <v>1950</v>
      </c>
    </row>
    <row r="20" spans="1:4" ht="15" customHeight="1" x14ac:dyDescent="0.2">
      <c r="A20" s="47" t="s">
        <v>96</v>
      </c>
      <c r="B20" s="48">
        <f>SUM(B8:B19)</f>
        <v>6080</v>
      </c>
      <c r="C20" s="48">
        <f>SUM(C8:C19)</f>
        <v>127970</v>
      </c>
      <c r="D20" s="48">
        <f>SUM(D8:D19)</f>
        <v>42770</v>
      </c>
    </row>
    <row r="22" spans="1:4" ht="15" customHeight="1" x14ac:dyDescent="0.2">
      <c r="A22" s="49" t="s">
        <v>183</v>
      </c>
      <c r="B22" s="25">
        <v>56</v>
      </c>
      <c r="C22" s="2"/>
    </row>
    <row r="23" spans="1:4" ht="15" customHeight="1" x14ac:dyDescent="0.2">
      <c r="A23" s="2"/>
      <c r="B23" s="121"/>
    </row>
    <row r="24" spans="1:4" ht="15" customHeight="1" x14ac:dyDescent="0.2">
      <c r="A24" s="26" t="s">
        <v>184</v>
      </c>
      <c r="B24" s="6">
        <v>345.6</v>
      </c>
    </row>
    <row r="25" spans="1:4" ht="15" customHeight="1" x14ac:dyDescent="0.2">
      <c r="A25" s="26" t="s">
        <v>185</v>
      </c>
      <c r="B25" s="25" t="s">
        <v>106</v>
      </c>
    </row>
    <row r="26" spans="1:4" ht="15" customHeight="1" x14ac:dyDescent="0.2">
      <c r="A26" s="26" t="s">
        <v>186</v>
      </c>
      <c r="B26" s="25">
        <v>22</v>
      </c>
    </row>
    <row r="27" spans="1:4" ht="15" customHeight="1" x14ac:dyDescent="0.2">
      <c r="A27" s="49" t="s">
        <v>182</v>
      </c>
      <c r="B27" s="25">
        <v>53</v>
      </c>
    </row>
  </sheetData>
  <sheetProtection algorithmName="SHA-512" hashValue="BXQGflhVjLPZQDTzpTZaxqDtu4gGUkHUiRkPEAp/nJIV4MPzMqr3+4LfLXiiZaGB/y8N8ShHRKQ/CtFFmfQetg==" saltValue="SE7eUGbLzlk9+4d4QlzMpg==" spinCount="100000" sheet="1" objects="1" scenarios="1"/>
  <mergeCells count="2">
    <mergeCell ref="A6:D6"/>
    <mergeCell ref="A2:B2"/>
  </mergeCell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"/>
  <sheetViews>
    <sheetView workbookViewId="0">
      <selection activeCell="B1" sqref="B1:C2"/>
    </sheetView>
  </sheetViews>
  <sheetFormatPr defaultRowHeight="15" x14ac:dyDescent="0.25"/>
  <cols>
    <col min="1" max="1" width="27.28515625" bestFit="1" customWidth="1"/>
    <col min="2" max="2" width="15.7109375" customWidth="1"/>
    <col min="3" max="3" width="13.42578125" customWidth="1"/>
    <col min="4" max="4" width="16.28515625" customWidth="1"/>
    <col min="5" max="5" width="13.85546875" customWidth="1"/>
    <col min="6" max="6" width="13.28515625" customWidth="1"/>
    <col min="7" max="7" width="11.140625" customWidth="1"/>
    <col min="8" max="8" width="12" customWidth="1"/>
    <col min="9" max="9" width="10.85546875" customWidth="1"/>
  </cols>
  <sheetData>
    <row r="1" spans="1:16" ht="22.5" customHeight="1" x14ac:dyDescent="0.25">
      <c r="A1" s="174" t="s">
        <v>0</v>
      </c>
      <c r="B1" s="182" t="s">
        <v>187</v>
      </c>
      <c r="C1" s="182" t="s">
        <v>188</v>
      </c>
      <c r="D1" s="175" t="s">
        <v>107</v>
      </c>
      <c r="E1" s="178" t="s">
        <v>195</v>
      </c>
      <c r="F1" s="179"/>
      <c r="G1" s="180"/>
      <c r="H1" s="176" t="s">
        <v>1</v>
      </c>
      <c r="I1" s="177"/>
      <c r="J1" s="177"/>
    </row>
    <row r="2" spans="1:16" x14ac:dyDescent="0.25">
      <c r="A2" s="174"/>
      <c r="B2" s="182"/>
      <c r="C2" s="182"/>
      <c r="D2" s="175"/>
      <c r="E2" s="50" t="s">
        <v>36</v>
      </c>
      <c r="F2" s="50" t="s">
        <v>3</v>
      </c>
      <c r="G2" s="50" t="s">
        <v>130</v>
      </c>
      <c r="H2" s="50" t="s">
        <v>36</v>
      </c>
      <c r="I2" s="50" t="s">
        <v>3</v>
      </c>
      <c r="J2" s="50" t="s">
        <v>130</v>
      </c>
    </row>
    <row r="3" spans="1:16" x14ac:dyDescent="0.25">
      <c r="A3" s="4" t="s">
        <v>108</v>
      </c>
      <c r="B3" s="25">
        <v>-20.358698</v>
      </c>
      <c r="C3" s="25">
        <v>-40.323844000000001</v>
      </c>
      <c r="D3" s="57">
        <f>Dados!B22*Dados!B27</f>
        <v>2968</v>
      </c>
      <c r="E3" s="62">
        <f>'FE-Perf e Det'!C6</f>
        <v>0.59</v>
      </c>
      <c r="F3" s="62">
        <f>'FE-Perf e Det'!D6</f>
        <v>0.31</v>
      </c>
      <c r="G3" s="62">
        <f>0.03*E3</f>
        <v>1.7699999999999997E-2</v>
      </c>
      <c r="H3" s="78">
        <f>D3*E3/8760</f>
        <v>0.19989954337899543</v>
      </c>
      <c r="I3" s="78">
        <f>F3*D3/8760</f>
        <v>0.10503196347031964</v>
      </c>
      <c r="J3" s="78">
        <f>G3*D3/8760</f>
        <v>5.9969863013698624E-3</v>
      </c>
    </row>
    <row r="4" spans="1:16" x14ac:dyDescent="0.25">
      <c r="A4" s="183" t="s">
        <v>190</v>
      </c>
      <c r="B4" s="184"/>
      <c r="C4" s="184"/>
      <c r="D4" s="184"/>
      <c r="E4" s="184"/>
      <c r="F4" s="184"/>
      <c r="G4" s="185"/>
      <c r="H4" s="24">
        <f>SUM(H3)</f>
        <v>0.19989954337899543</v>
      </c>
      <c r="I4" s="24">
        <f>SUM(I3)</f>
        <v>0.10503196347031964</v>
      </c>
      <c r="J4" s="24">
        <f>SUM(J3)</f>
        <v>5.9969863013698624E-3</v>
      </c>
    </row>
    <row r="5" spans="1:16" x14ac:dyDescent="0.25">
      <c r="A5" s="63"/>
    </row>
    <row r="7" spans="1:16" x14ac:dyDescent="0.25">
      <c r="A7" s="174" t="s">
        <v>0</v>
      </c>
      <c r="B7" s="182" t="s">
        <v>187</v>
      </c>
      <c r="C7" s="182" t="s">
        <v>188</v>
      </c>
      <c r="D7" s="175" t="s">
        <v>191</v>
      </c>
      <c r="E7" s="186" t="s">
        <v>103</v>
      </c>
      <c r="F7" s="186" t="s">
        <v>192</v>
      </c>
      <c r="G7" s="172" t="s">
        <v>104</v>
      </c>
      <c r="H7" s="173"/>
      <c r="I7" s="173"/>
      <c r="J7" s="173"/>
      <c r="K7" s="181"/>
      <c r="L7" s="172" t="s">
        <v>35</v>
      </c>
      <c r="M7" s="173"/>
      <c r="N7" s="173"/>
      <c r="O7" s="173"/>
      <c r="P7" s="173"/>
    </row>
    <row r="8" spans="1:16" ht="24.75" customHeight="1" x14ac:dyDescent="0.25">
      <c r="A8" s="174"/>
      <c r="B8" s="182"/>
      <c r="C8" s="182"/>
      <c r="D8" s="175"/>
      <c r="E8" s="187"/>
      <c r="F8" s="187"/>
      <c r="G8" s="51" t="s">
        <v>193</v>
      </c>
      <c r="H8" s="51" t="s">
        <v>194</v>
      </c>
      <c r="I8" s="51" t="s">
        <v>196</v>
      </c>
      <c r="J8" s="50" t="s">
        <v>197</v>
      </c>
      <c r="K8" s="50" t="s">
        <v>198</v>
      </c>
      <c r="L8" s="50" t="s">
        <v>36</v>
      </c>
      <c r="M8" s="50" t="s">
        <v>58</v>
      </c>
      <c r="N8" s="50" t="s">
        <v>59</v>
      </c>
      <c r="O8" s="50" t="s">
        <v>6</v>
      </c>
      <c r="P8" s="50" t="s">
        <v>4</v>
      </c>
    </row>
    <row r="9" spans="1:16" x14ac:dyDescent="0.25">
      <c r="A9" s="52" t="s">
        <v>105</v>
      </c>
      <c r="B9" s="25">
        <v>-20.358698</v>
      </c>
      <c r="C9" s="25">
        <v>-40.323844000000001</v>
      </c>
      <c r="D9" s="53">
        <f>Dados!B24</f>
        <v>345.6</v>
      </c>
      <c r="E9" s="53">
        <f>Dados!B27</f>
        <v>53</v>
      </c>
      <c r="F9" s="54">
        <f>Dados!B26*Dados!B22*Dados!B27/1000</f>
        <v>65.296000000000006</v>
      </c>
      <c r="G9" s="55">
        <f>0.00022*(D9^1.5)</f>
        <v>1.4134592149384435</v>
      </c>
      <c r="H9" s="8">
        <f>G9*0.52</f>
        <v>0.73499879176799066</v>
      </c>
      <c r="I9" s="8">
        <f>G9*0.03</f>
        <v>4.2403776448153303E-2</v>
      </c>
      <c r="J9" s="6">
        <f>'FE-Perf e Det'!D20</f>
        <v>0.2</v>
      </c>
      <c r="K9" s="6">
        <f>'FE-Perf e Det'!C20</f>
        <v>17</v>
      </c>
      <c r="L9" s="8">
        <f>$E$9*G9/8760</f>
        <v>8.5517509579609036E-3</v>
      </c>
      <c r="M9" s="14">
        <f>$E$9*H9/8760</f>
        <v>4.4469104981396694E-3</v>
      </c>
      <c r="N9" s="14">
        <f>$E$9*I9/8760</f>
        <v>2.5655252873882703E-4</v>
      </c>
      <c r="O9" s="14">
        <f>$F$9*J9/8760</f>
        <v>1.4907762557077628E-3</v>
      </c>
      <c r="P9" s="92">
        <f>$F$9*K9/8760</f>
        <v>0.12671598173515983</v>
      </c>
    </row>
    <row r="10" spans="1:16" x14ac:dyDescent="0.25">
      <c r="A10" s="137" t="s">
        <v>190</v>
      </c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5">
        <f>SUM(L9)</f>
        <v>8.5517509579609036E-3</v>
      </c>
      <c r="M10" s="15">
        <f>SUM(M9)</f>
        <v>4.4469104981396694E-3</v>
      </c>
      <c r="N10" s="15">
        <f>SUM(N9)</f>
        <v>2.5655252873882703E-4</v>
      </c>
      <c r="O10" s="15">
        <f>SUM(O9)</f>
        <v>1.4907762557077628E-3</v>
      </c>
      <c r="P10" s="28">
        <f>SUM(P9)</f>
        <v>0.12671598173515983</v>
      </c>
    </row>
    <row r="11" spans="1:16" x14ac:dyDescent="0.25">
      <c r="A11" s="2" t="s">
        <v>189</v>
      </c>
      <c r="J11" s="89"/>
    </row>
  </sheetData>
  <sheetProtection algorithmName="SHA-512" hashValue="H0tLX8g8p63ut92LQh0Owt2g9+GSHQ63gVygv0UUAmp71H7NH3QlsyZcND1iAfXNwIpGDgzkjyY3qEFmijjsjg==" saltValue="m4st4VqttKnbUDGJI/TVfQ==" spinCount="100000" sheet="1" objects="1" scenarios="1"/>
  <mergeCells count="16">
    <mergeCell ref="A10:K10"/>
    <mergeCell ref="B7:B8"/>
    <mergeCell ref="C7:C8"/>
    <mergeCell ref="A4:G4"/>
    <mergeCell ref="E7:E8"/>
    <mergeCell ref="F7:F8"/>
    <mergeCell ref="L7:P7"/>
    <mergeCell ref="A1:A2"/>
    <mergeCell ref="D1:D2"/>
    <mergeCell ref="H1:J1"/>
    <mergeCell ref="E1:G1"/>
    <mergeCell ref="A7:A8"/>
    <mergeCell ref="D7:D8"/>
    <mergeCell ref="G7:K7"/>
    <mergeCell ref="B1:B2"/>
    <mergeCell ref="C1:C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4"/>
  <sheetViews>
    <sheetView workbookViewId="0">
      <selection activeCell="E2" sqref="D2:E3"/>
    </sheetView>
  </sheetViews>
  <sheetFormatPr defaultRowHeight="15" customHeight="1" x14ac:dyDescent="0.2"/>
  <cols>
    <col min="1" max="1" width="33.85546875" style="1" customWidth="1"/>
    <col min="2" max="2" width="19.28515625" style="1" customWidth="1"/>
    <col min="3" max="3" width="23.7109375" style="1" bestFit="1" customWidth="1"/>
    <col min="4" max="7" width="13.7109375" style="1" customWidth="1"/>
    <col min="8" max="13" width="8.7109375" style="1" customWidth="1"/>
    <col min="14" max="14" width="10.42578125" style="1" bestFit="1" customWidth="1"/>
    <col min="15" max="16384" width="9.140625" style="1"/>
  </cols>
  <sheetData>
    <row r="1" spans="1:15" ht="15" customHeight="1" x14ac:dyDescent="0.2">
      <c r="A1" s="3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ht="15" customHeight="1" x14ac:dyDescent="0.2">
      <c r="A2" s="189" t="s">
        <v>0</v>
      </c>
      <c r="B2" s="189" t="s">
        <v>17</v>
      </c>
      <c r="C2" s="189" t="s">
        <v>18</v>
      </c>
      <c r="D2" s="182" t="s">
        <v>187</v>
      </c>
      <c r="E2" s="182" t="s">
        <v>188</v>
      </c>
      <c r="F2" s="189" t="s">
        <v>19</v>
      </c>
      <c r="G2" s="189" t="s">
        <v>20</v>
      </c>
      <c r="H2" s="191" t="s">
        <v>1</v>
      </c>
      <c r="I2" s="192"/>
      <c r="J2" s="192"/>
      <c r="K2" s="192"/>
      <c r="L2" s="192"/>
      <c r="M2" s="192"/>
      <c r="N2" s="192"/>
    </row>
    <row r="3" spans="1:15" ht="15" customHeight="1" x14ac:dyDescent="0.2">
      <c r="A3" s="190"/>
      <c r="B3" s="190"/>
      <c r="C3" s="190"/>
      <c r="D3" s="182"/>
      <c r="E3" s="182"/>
      <c r="F3" s="190"/>
      <c r="G3" s="190"/>
      <c r="H3" s="5" t="s">
        <v>2</v>
      </c>
      <c r="I3" s="5" t="s">
        <v>3</v>
      </c>
      <c r="J3" s="5" t="s">
        <v>21</v>
      </c>
      <c r="K3" s="5" t="s">
        <v>6</v>
      </c>
      <c r="L3" s="5" t="s">
        <v>7</v>
      </c>
      <c r="M3" s="5" t="s">
        <v>4</v>
      </c>
      <c r="N3" s="5" t="s">
        <v>5</v>
      </c>
    </row>
    <row r="4" spans="1:15" ht="15" customHeight="1" x14ac:dyDescent="0.2">
      <c r="A4" s="3" t="s">
        <v>41</v>
      </c>
      <c r="B4" s="11">
        <v>167.67</v>
      </c>
      <c r="C4" s="3" t="s">
        <v>91</v>
      </c>
      <c r="D4" s="193">
        <v>-20.358698</v>
      </c>
      <c r="E4" s="193">
        <v>-40.323844000000001</v>
      </c>
      <c r="F4" s="6">
        <v>1</v>
      </c>
      <c r="G4" s="11">
        <v>7</v>
      </c>
      <c r="H4" s="23">
        <f t="shared" ref="H4:H8" si="0">(INDEX(FE_Equip,MATCH($C4,Pot_Equip,0),2))*F4*G4/(24)</f>
        <v>1.0506753449677516E-2</v>
      </c>
      <c r="I4" s="23">
        <f>H4</f>
        <v>1.0506753449677516E-2</v>
      </c>
      <c r="J4" s="23">
        <f>H4</f>
        <v>1.0506753449677516E-2</v>
      </c>
      <c r="K4" s="23">
        <f t="shared" ref="K4:K8" si="1">(INDEX(FE_Equip,MATCH($C4,Pot_Equip,0),3))*F4*G4/(24)</f>
        <v>0.18385154510132773</v>
      </c>
      <c r="L4" s="23">
        <f t="shared" ref="L4:L8" si="2">(INDEX(FE_Equip,MATCH($C4,Pot_Equip,0),4))*F4*G4/(24)</f>
        <v>1.6705032749727937E-4</v>
      </c>
      <c r="M4" s="23">
        <f t="shared" ref="M4:M8" si="3">(INDEX(FE_Equip,MATCH($C4,Pot_Equip,0),5))*F4*G4/(24)</f>
        <v>8.9403571222771913E-2</v>
      </c>
      <c r="N4" s="23">
        <f t="shared" ref="N4:N8" si="4">(INDEX(FE_Equip,MATCH($C4,Pot_Equip,0),6))*F4*G4/(24)</f>
        <v>2.3711787524484218E-2</v>
      </c>
    </row>
    <row r="5" spans="1:15" ht="15" customHeight="1" x14ac:dyDescent="0.2">
      <c r="A5" s="3" t="s">
        <v>41</v>
      </c>
      <c r="B5" s="11">
        <v>242.63</v>
      </c>
      <c r="C5" s="3" t="s">
        <v>92</v>
      </c>
      <c r="D5" s="194"/>
      <c r="E5" s="194"/>
      <c r="F5" s="6">
        <v>1</v>
      </c>
      <c r="G5" s="11">
        <v>7</v>
      </c>
      <c r="H5" s="23">
        <f t="shared" si="0"/>
        <v>8.4841248200165729E-3</v>
      </c>
      <c r="I5" s="23">
        <f>H5</f>
        <v>8.4841248200165729E-3</v>
      </c>
      <c r="J5" s="23">
        <f>H5</f>
        <v>8.4841248200165729E-3</v>
      </c>
      <c r="K5" s="23">
        <f t="shared" si="1"/>
        <v>0.24553099163080727</v>
      </c>
      <c r="L5" s="23">
        <f t="shared" si="2"/>
        <v>2.3621129662568596E-4</v>
      </c>
      <c r="M5" s="23">
        <f t="shared" si="3"/>
        <v>6.1412876124071231E-2</v>
      </c>
      <c r="N5" s="23">
        <f t="shared" si="4"/>
        <v>2.283101178927964E-2</v>
      </c>
    </row>
    <row r="6" spans="1:15" ht="15" customHeight="1" x14ac:dyDescent="0.2">
      <c r="A6" s="3" t="s">
        <v>41</v>
      </c>
      <c r="B6" s="11">
        <v>177.54</v>
      </c>
      <c r="C6" s="3" t="s">
        <v>92</v>
      </c>
      <c r="D6" s="194"/>
      <c r="E6" s="194"/>
      <c r="F6" s="6">
        <v>1</v>
      </c>
      <c r="G6" s="11">
        <v>7</v>
      </c>
      <c r="H6" s="23">
        <f t="shared" si="0"/>
        <v>8.4841248200165729E-3</v>
      </c>
      <c r="I6" s="23">
        <f>H6</f>
        <v>8.4841248200165729E-3</v>
      </c>
      <c r="J6" s="23">
        <f>H6</f>
        <v>8.4841248200165729E-3</v>
      </c>
      <c r="K6" s="23">
        <f t="shared" si="1"/>
        <v>0.24553099163080727</v>
      </c>
      <c r="L6" s="23">
        <f t="shared" si="2"/>
        <v>2.3621129662568596E-4</v>
      </c>
      <c r="M6" s="23">
        <f t="shared" si="3"/>
        <v>6.1412876124071231E-2</v>
      </c>
      <c r="N6" s="23">
        <f t="shared" si="4"/>
        <v>2.283101178927964E-2</v>
      </c>
    </row>
    <row r="7" spans="1:15" ht="15" customHeight="1" x14ac:dyDescent="0.2">
      <c r="A7" s="3" t="s">
        <v>25</v>
      </c>
      <c r="B7" s="11">
        <v>168.97</v>
      </c>
      <c r="C7" s="3" t="s">
        <v>30</v>
      </c>
      <c r="D7" s="194"/>
      <c r="E7" s="194"/>
      <c r="F7" s="6">
        <v>2</v>
      </c>
      <c r="G7" s="11">
        <v>7</v>
      </c>
      <c r="H7" s="23">
        <f t="shared" si="0"/>
        <v>2.034300967119794E-2</v>
      </c>
      <c r="I7" s="23">
        <f>H7</f>
        <v>2.034300967119794E-2</v>
      </c>
      <c r="J7" s="23">
        <f>H7</f>
        <v>2.034300967119794E-2</v>
      </c>
      <c r="K7" s="23">
        <f t="shared" si="1"/>
        <v>0.36644425163201383</v>
      </c>
      <c r="L7" s="23">
        <f t="shared" si="2"/>
        <v>3.1651648459711979E-4</v>
      </c>
      <c r="M7" s="23">
        <f t="shared" si="3"/>
        <v>0.17000482135576436</v>
      </c>
      <c r="N7" s="23">
        <f t="shared" si="4"/>
        <v>4.6554077465484477E-2</v>
      </c>
    </row>
    <row r="8" spans="1:15" ht="15" customHeight="1" x14ac:dyDescent="0.2">
      <c r="A8" s="3" t="s">
        <v>25</v>
      </c>
      <c r="B8" s="11">
        <v>226.63</v>
      </c>
      <c r="C8" s="3" t="s">
        <v>31</v>
      </c>
      <c r="D8" s="194"/>
      <c r="E8" s="194"/>
      <c r="F8" s="6">
        <v>2</v>
      </c>
      <c r="G8" s="11">
        <v>7</v>
      </c>
      <c r="H8" s="23">
        <f t="shared" si="0"/>
        <v>1.808965152883486E-2</v>
      </c>
      <c r="I8" s="23">
        <f>H8</f>
        <v>1.808965152883486E-2</v>
      </c>
      <c r="J8" s="23">
        <f>H8</f>
        <v>1.808965152883486E-2</v>
      </c>
      <c r="K8" s="23">
        <f t="shared" si="1"/>
        <v>0.48823917071817569</v>
      </c>
      <c r="L8" s="23">
        <f t="shared" si="2"/>
        <v>4.4352606885591708E-4</v>
      </c>
      <c r="M8" s="23">
        <f t="shared" si="3"/>
        <v>0.13122580225255712</v>
      </c>
      <c r="N8" s="23">
        <f t="shared" si="4"/>
        <v>4.7122474508416202E-2</v>
      </c>
    </row>
    <row r="9" spans="1:15" ht="15" customHeight="1" x14ac:dyDescent="0.2">
      <c r="A9" s="188" t="s">
        <v>190</v>
      </c>
      <c r="B9" s="188"/>
      <c r="C9" s="188"/>
      <c r="D9" s="188"/>
      <c r="E9" s="188"/>
      <c r="F9" s="188"/>
      <c r="G9" s="188"/>
      <c r="H9" s="15">
        <f t="shared" ref="H9:N9" si="5">SUM(H4:H8)</f>
        <v>6.5907664289743456E-2</v>
      </c>
      <c r="I9" s="15">
        <f t="shared" si="5"/>
        <v>6.5907664289743456E-2</v>
      </c>
      <c r="J9" s="15">
        <f t="shared" si="5"/>
        <v>6.5907664289743456E-2</v>
      </c>
      <c r="K9" s="15">
        <f t="shared" si="5"/>
        <v>1.5295969507131317</v>
      </c>
      <c r="L9" s="15">
        <f t="shared" si="5"/>
        <v>1.3995154742016882E-3</v>
      </c>
      <c r="M9" s="15">
        <f t="shared" si="5"/>
        <v>0.51345994707923581</v>
      </c>
      <c r="N9" s="15">
        <f t="shared" si="5"/>
        <v>0.16305036307694418</v>
      </c>
      <c r="O9" s="18"/>
    </row>
    <row r="10" spans="1:15" ht="15" customHeight="1" x14ac:dyDescent="0.2">
      <c r="A10" s="27"/>
      <c r="B10" s="35"/>
      <c r="G10" s="27"/>
      <c r="H10" s="9"/>
      <c r="I10" s="9"/>
      <c r="J10" s="9"/>
      <c r="K10" s="9"/>
      <c r="L10" s="10"/>
      <c r="M10" s="9"/>
      <c r="N10" s="9"/>
    </row>
    <row r="11" spans="1:15" ht="15" customHeight="1" x14ac:dyDescent="0.2">
      <c r="A11" s="97"/>
      <c r="B11" s="97"/>
      <c r="D11" s="97"/>
      <c r="E11" s="97"/>
      <c r="F11" s="97"/>
      <c r="G11" s="97"/>
      <c r="H11" s="41"/>
      <c r="I11" s="41"/>
      <c r="J11" s="41"/>
      <c r="K11" s="41"/>
      <c r="L11" s="41"/>
    </row>
    <row r="12" spans="1:15" ht="15" customHeight="1" x14ac:dyDescent="0.25">
      <c r="A12" s="99"/>
      <c r="B12" s="100"/>
      <c r="D12" s="98"/>
      <c r="E12" s="98"/>
      <c r="F12" s="97"/>
      <c r="G12" s="97"/>
    </row>
    <row r="13" spans="1:15" ht="15" customHeight="1" x14ac:dyDescent="0.2">
      <c r="A13" s="99"/>
      <c r="B13" s="97"/>
      <c r="D13" s="97"/>
      <c r="E13" s="97"/>
      <c r="F13" s="97"/>
      <c r="G13" s="97"/>
    </row>
    <row r="14" spans="1:15" ht="15" customHeight="1" x14ac:dyDescent="0.2">
      <c r="A14" s="97"/>
      <c r="B14" s="97"/>
    </row>
  </sheetData>
  <sheetProtection algorithmName="SHA-512" hashValue="vyu3WsFHFmReCHu+GoQxOmcOwvaHKHUpUoMAak1Pgw+nBhl68/sfqNUuTccnbXov/PiSEt4RpeONeKCSl2CbYA==" saltValue="4xnv+OCssqFw6Gt0Dsh3vg==" spinCount="100000" sheet="1" objects="1" scenarios="1"/>
  <mergeCells count="11">
    <mergeCell ref="A9:G9"/>
    <mergeCell ref="G2:G3"/>
    <mergeCell ref="H2:N2"/>
    <mergeCell ref="A2:A3"/>
    <mergeCell ref="B2:B3"/>
    <mergeCell ref="C2:C3"/>
    <mergeCell ref="F2:F3"/>
    <mergeCell ref="D2:D3"/>
    <mergeCell ref="E2:E3"/>
    <mergeCell ref="D4:D8"/>
    <mergeCell ref="E4:E8"/>
  </mergeCells>
  <dataValidations count="1">
    <dataValidation type="list" allowBlank="1" showInputMessage="1" showErrorMessage="1" sqref="C4:C8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selection activeCell="B3" sqref="B3:C4"/>
    </sheetView>
  </sheetViews>
  <sheetFormatPr defaultRowHeight="15" x14ac:dyDescent="0.25"/>
  <cols>
    <col min="1" max="1" width="32.42578125" bestFit="1" customWidth="1"/>
    <col min="2" max="2" width="19.7109375" bestFit="1" customWidth="1"/>
    <col min="3" max="3" width="19.7109375" customWidth="1"/>
    <col min="4" max="5" width="18.28515625" customWidth="1"/>
    <col min="6" max="11" width="11" customWidth="1"/>
  </cols>
  <sheetData>
    <row r="1" spans="1:12" x14ac:dyDescent="0.25">
      <c r="A1" s="19" t="s">
        <v>199</v>
      </c>
      <c r="B1" s="124">
        <v>4.1937865160171146</v>
      </c>
    </row>
    <row r="3" spans="1:12" ht="15" customHeight="1" x14ac:dyDescent="0.25">
      <c r="A3" s="174" t="s">
        <v>0</v>
      </c>
      <c r="B3" s="182" t="s">
        <v>187</v>
      </c>
      <c r="C3" s="182" t="s">
        <v>188</v>
      </c>
      <c r="D3" s="175" t="s">
        <v>200</v>
      </c>
      <c r="E3" s="186" t="s">
        <v>201</v>
      </c>
      <c r="F3" s="176" t="s">
        <v>202</v>
      </c>
      <c r="G3" s="177"/>
      <c r="H3" s="195"/>
      <c r="I3" s="176" t="s">
        <v>1</v>
      </c>
      <c r="J3" s="177"/>
      <c r="K3" s="195"/>
    </row>
    <row r="4" spans="1:12" x14ac:dyDescent="0.25">
      <c r="A4" s="174"/>
      <c r="B4" s="182"/>
      <c r="C4" s="182"/>
      <c r="D4" s="175"/>
      <c r="E4" s="187"/>
      <c r="F4" s="112" t="s">
        <v>36</v>
      </c>
      <c r="G4" s="112" t="s">
        <v>58</v>
      </c>
      <c r="H4" s="112" t="s">
        <v>59</v>
      </c>
      <c r="I4" s="112" t="s">
        <v>36</v>
      </c>
      <c r="J4" s="112" t="s">
        <v>58</v>
      </c>
      <c r="K4" s="112" t="s">
        <v>59</v>
      </c>
    </row>
    <row r="5" spans="1:12" x14ac:dyDescent="0.25">
      <c r="A5" s="19" t="s">
        <v>132</v>
      </c>
      <c r="B5" s="25">
        <v>-20.358698</v>
      </c>
      <c r="C5" s="25">
        <v>-40.323844000000001</v>
      </c>
      <c r="D5" s="62">
        <f>SUM(Dados!B20:D20)/8760</f>
        <v>20.184931506849313</v>
      </c>
      <c r="E5" s="57">
        <v>1</v>
      </c>
      <c r="F5" s="34">
        <f>'FE-Transferências'!$B$3*0.0016*(($B$1/2.2)^1.3)/(($E5/2)^1.4)</f>
        <v>7.2282377015546288E-3</v>
      </c>
      <c r="G5" s="34">
        <f>'FE-Transferências'!$C$3*0.0016*(($B$1/2.2)^1.3)/(($E5/2)^1.4)</f>
        <v>3.418761075059621E-3</v>
      </c>
      <c r="H5" s="34">
        <f>'FE-Transferências'!$D$3*0.0016*(($B$1/2.2)^1.3)/(($E5/2)^1.4)</f>
        <v>5.176981056518856E-4</v>
      </c>
      <c r="I5" s="73">
        <f>F5*$D5</f>
        <v>0.14590148292110608</v>
      </c>
      <c r="J5" s="73">
        <f>G5*$D5</f>
        <v>6.9007458138360969E-2</v>
      </c>
      <c r="K5" s="73">
        <f>H5*$D5</f>
        <v>1.0449700803808951E-2</v>
      </c>
    </row>
    <row r="6" spans="1:12" x14ac:dyDescent="0.25">
      <c r="A6" s="66" t="s">
        <v>145</v>
      </c>
      <c r="B6" s="25">
        <v>-20.357794999999999</v>
      </c>
      <c r="C6" s="75">
        <v>-40.32376</v>
      </c>
      <c r="D6" s="74">
        <f>D5</f>
        <v>20.184931506849313</v>
      </c>
      <c r="E6" s="57">
        <v>1</v>
      </c>
      <c r="F6" s="67">
        <f>'FE-Transferências'!$B$3*0.0016*(($B$1/2.2)^1.3)/(($E6/2)^1.4)</f>
        <v>7.2282377015546288E-3</v>
      </c>
      <c r="G6" s="34">
        <f>'FE-Transferências'!$C$3*0.0016*(($B$1/2.2)^1.3)/(($E6/2)^1.4)</f>
        <v>3.418761075059621E-3</v>
      </c>
      <c r="H6" s="34">
        <f>'FE-Transferências'!$D$3*0.0016*(($B$1/2.2)^1.3)/(($E6/2)^1.4)</f>
        <v>5.176981056518856E-4</v>
      </c>
      <c r="I6" s="73">
        <f t="shared" ref="I6:I15" si="0">F6*$D6</f>
        <v>0.14590148292110608</v>
      </c>
      <c r="J6" s="73">
        <f t="shared" ref="J6:J15" si="1">G6*$D6</f>
        <v>6.9007458138360969E-2</v>
      </c>
      <c r="K6" s="73">
        <f t="shared" ref="K6:K15" si="2">H6*$D6</f>
        <v>1.0449700803808951E-2</v>
      </c>
    </row>
    <row r="7" spans="1:12" x14ac:dyDescent="0.25">
      <c r="A7" s="66" t="s">
        <v>146</v>
      </c>
      <c r="B7" s="25">
        <v>-20.357661</v>
      </c>
      <c r="C7" s="25">
        <v>-40.323697000000003</v>
      </c>
      <c r="D7" s="74">
        <f>Dados!B20/8760</f>
        <v>0.69406392694063923</v>
      </c>
      <c r="E7" s="80">
        <v>1</v>
      </c>
      <c r="F7" s="67">
        <f>'FE-Transferências'!$B$3*0.0016*(($B$1/2.2)^1.3)/(($E7/2)^1.4)</f>
        <v>7.2282377015546288E-3</v>
      </c>
      <c r="G7" s="34">
        <f>'FE-Transferências'!$C$3*0.0016*(($B$1/2.2)^1.3)/(($E7/2)^1.4)</f>
        <v>3.418761075059621E-3</v>
      </c>
      <c r="H7" s="34">
        <f>'FE-Transferências'!$D$3*0.0016*(($B$1/2.2)^1.3)/(($E7/2)^1.4)</f>
        <v>5.176981056518856E-4</v>
      </c>
      <c r="I7" s="73">
        <f t="shared" si="0"/>
        <v>5.0168590440013861E-3</v>
      </c>
      <c r="J7" s="73">
        <f t="shared" si="1"/>
        <v>2.3728387370276819E-3</v>
      </c>
      <c r="K7" s="73">
        <f t="shared" si="2"/>
        <v>3.5931558017847766E-4</v>
      </c>
    </row>
    <row r="8" spans="1:12" x14ac:dyDescent="0.25">
      <c r="A8" s="66" t="s">
        <v>147</v>
      </c>
      <c r="B8" s="25">
        <v>-20.357569000000002</v>
      </c>
      <c r="C8" s="25">
        <v>-40.324058999999998</v>
      </c>
      <c r="D8" s="74">
        <f>SUM(Dados!C20:D20)/8760</f>
        <v>19.490867579908677</v>
      </c>
      <c r="E8" s="80">
        <v>1</v>
      </c>
      <c r="F8" s="67">
        <f>'FE-Transferências'!$B$3*0.0016*(($B$1/2.2)^1.3)/(($E8/2)^1.4)</f>
        <v>7.2282377015546288E-3</v>
      </c>
      <c r="G8" s="34">
        <f>'FE-Transferências'!$C$3*0.0016*(($B$1/2.2)^1.3)/(($E8/2)^1.4)</f>
        <v>3.418761075059621E-3</v>
      </c>
      <c r="H8" s="34">
        <f>'FE-Transferências'!$D$3*0.0016*(($B$1/2.2)^1.3)/(($E8/2)^1.4)</f>
        <v>5.176981056518856E-4</v>
      </c>
      <c r="I8" s="73">
        <f t="shared" si="0"/>
        <v>0.14088462387710474</v>
      </c>
      <c r="J8" s="73">
        <f t="shared" si="1"/>
        <v>6.6634619401333306E-2</v>
      </c>
      <c r="K8" s="73">
        <f t="shared" si="2"/>
        <v>1.0090385223630474E-2</v>
      </c>
      <c r="L8" s="27"/>
    </row>
    <row r="9" spans="1:12" x14ac:dyDescent="0.25">
      <c r="A9" s="66" t="s">
        <v>169</v>
      </c>
      <c r="B9" s="25">
        <v>-20.357392999999998</v>
      </c>
      <c r="C9" s="25">
        <v>-40.324263999999999</v>
      </c>
      <c r="D9" s="74">
        <f>'Emissão Brit e Pen'!B4</f>
        <v>19.490867579908677</v>
      </c>
      <c r="E9" s="80">
        <v>1</v>
      </c>
      <c r="F9" s="67">
        <f>'FE-Transferências'!$B$3*0.0016*(($B$1/2.2)^1.3)/(($E9/2)^1.4)</f>
        <v>7.2282377015546288E-3</v>
      </c>
      <c r="G9" s="34">
        <f>'FE-Transferências'!$C$3*0.0016*(($B$1/2.2)^1.3)/(($E9/2)^1.4)</f>
        <v>3.418761075059621E-3</v>
      </c>
      <c r="H9" s="34">
        <f>'FE-Transferências'!$D$3*0.0016*(($B$1/2.2)^1.3)/(($E9/2)^1.4)</f>
        <v>5.176981056518856E-4</v>
      </c>
      <c r="I9" s="73">
        <f t="shared" ref="I9" si="3">F9*$D9</f>
        <v>0.14088462387710474</v>
      </c>
      <c r="J9" s="73">
        <f t="shared" ref="J9" si="4">G9*$D9</f>
        <v>6.6634619401333306E-2</v>
      </c>
      <c r="K9" s="73">
        <f t="shared" ref="K9" si="5">H9*$D9</f>
        <v>1.0090385223630474E-2</v>
      </c>
      <c r="L9" s="27"/>
    </row>
    <row r="10" spans="1:12" x14ac:dyDescent="0.25">
      <c r="A10" s="66" t="s">
        <v>172</v>
      </c>
      <c r="B10" s="25">
        <v>-20.357392999999998</v>
      </c>
      <c r="C10" s="25">
        <v>-40.324263999999999</v>
      </c>
      <c r="D10" s="74">
        <f>'Emissão Brit e Pen'!B5</f>
        <v>9.7454337899543386</v>
      </c>
      <c r="E10" s="80">
        <v>1</v>
      </c>
      <c r="F10" s="67">
        <f>'FE-Transferências'!$B$3*0.0016*(($B$1/2.2)^1.3)/(($E10/2)^1.4)</f>
        <v>7.2282377015546288E-3</v>
      </c>
      <c r="G10" s="34">
        <f>'FE-Transferências'!$C$3*0.0016*(($B$1/2.2)^1.3)/(($E10/2)^1.4)</f>
        <v>3.418761075059621E-3</v>
      </c>
      <c r="H10" s="34">
        <f>'FE-Transferências'!$D$3*0.0016*(($B$1/2.2)^1.3)/(($E10/2)^1.4)</f>
        <v>5.176981056518856E-4</v>
      </c>
      <c r="I10" s="73">
        <f t="shared" ref="I10" si="6">F10*$D10</f>
        <v>7.0442311938552368E-2</v>
      </c>
      <c r="J10" s="73">
        <f t="shared" ref="J10" si="7">G10*$D10</f>
        <v>3.3317309700666653E-2</v>
      </c>
      <c r="K10" s="73">
        <f t="shared" ref="K10" si="8">H10*$D10</f>
        <v>5.0451926118152369E-3</v>
      </c>
      <c r="L10" s="27"/>
    </row>
    <row r="11" spans="1:12" x14ac:dyDescent="0.25">
      <c r="A11" s="66" t="s">
        <v>167</v>
      </c>
      <c r="B11" s="25">
        <v>-20.357223000000001</v>
      </c>
      <c r="C11" s="25">
        <v>-40.324052000000002</v>
      </c>
      <c r="D11" s="74">
        <f>'Emissão Brit e Pen'!B10+'Emissão Brit e Pen'!B11</f>
        <v>34.118721461187214</v>
      </c>
      <c r="E11" s="80">
        <v>1</v>
      </c>
      <c r="F11" s="67">
        <f>'FE-Transferências'!$B$3*0.0016*(($B$1/2.2)^1.3)/(($E11/2)^1.4)</f>
        <v>7.2282377015546288E-3</v>
      </c>
      <c r="G11" s="34">
        <f>'FE-Transferências'!$C$3*0.0016*(($B$1/2.2)^1.3)/(($E11/2)^1.4)</f>
        <v>3.418761075059621E-3</v>
      </c>
      <c r="H11" s="34">
        <f>'FE-Transferências'!$D$3*0.0016*(($B$1/2.2)^1.3)/(($E11/2)^1.4)</f>
        <v>5.176981056518856E-4</v>
      </c>
      <c r="I11" s="73">
        <f t="shared" ref="I11" si="9">F11*$D11</f>
        <v>0.24661822879459444</v>
      </c>
      <c r="J11" s="73">
        <f t="shared" ref="J11" si="10">G11*$D11</f>
        <v>0.11664375686230816</v>
      </c>
      <c r="K11" s="73">
        <f t="shared" ref="K11" si="11">H11*$D11</f>
        <v>1.7663197467720954E-2</v>
      </c>
      <c r="L11" s="27"/>
    </row>
    <row r="12" spans="1:12" x14ac:dyDescent="0.25">
      <c r="A12" s="66" t="s">
        <v>148</v>
      </c>
      <c r="B12" s="75">
        <v>-20.357279999999999</v>
      </c>
      <c r="C12" s="25">
        <v>-40.323945000000002</v>
      </c>
      <c r="D12" s="74">
        <f>SUM(Dados!C20:D20)/8760</f>
        <v>19.490867579908677</v>
      </c>
      <c r="E12" s="80">
        <v>1</v>
      </c>
      <c r="F12" s="67">
        <f>'FE-Transferências'!$B$3*0.0016*(($B$1/2.2)^1.3)/(($E12/2)^1.4)</f>
        <v>7.2282377015546288E-3</v>
      </c>
      <c r="G12" s="34">
        <f>'FE-Transferências'!$C$3*0.0016*(($B$1/2.2)^1.3)/(($E12/2)^1.4)</f>
        <v>3.418761075059621E-3</v>
      </c>
      <c r="H12" s="34">
        <f>'FE-Transferências'!$D$3*0.0016*(($B$1/2.2)^1.3)/(($E12/2)^1.4)</f>
        <v>5.176981056518856E-4</v>
      </c>
      <c r="I12" s="73">
        <f t="shared" si="0"/>
        <v>0.14088462387710474</v>
      </c>
      <c r="J12" s="73">
        <f t="shared" si="1"/>
        <v>6.6634619401333306E-2</v>
      </c>
      <c r="K12" s="73">
        <f t="shared" si="2"/>
        <v>1.0090385223630474E-2</v>
      </c>
      <c r="L12" s="27"/>
    </row>
    <row r="13" spans="1:12" x14ac:dyDescent="0.25">
      <c r="A13" s="66" t="s">
        <v>150</v>
      </c>
      <c r="B13" s="75">
        <v>-20.357279999999999</v>
      </c>
      <c r="C13" s="25">
        <v>-40.323945000000002</v>
      </c>
      <c r="D13" s="74">
        <f>Dados!D20/8760</f>
        <v>4.8824200913242013</v>
      </c>
      <c r="E13" s="80">
        <v>1</v>
      </c>
      <c r="F13" s="67">
        <f>'FE-Transferências'!$B$3*0.0016*(($B$1/2.2)^1.3)/(($E13/2)^1.4)</f>
        <v>7.2282377015546288E-3</v>
      </c>
      <c r="G13" s="34">
        <f>'FE-Transferências'!$C$3*0.0016*(($B$1/2.2)^1.3)/(($E13/2)^1.4)</f>
        <v>3.418761075059621E-3</v>
      </c>
      <c r="H13" s="34">
        <f>'FE-Transferências'!$D$3*0.0016*(($B$1/2.2)^1.3)/(($E13/2)^1.4)</f>
        <v>5.176981056518856E-4</v>
      </c>
      <c r="I13" s="73">
        <f t="shared" si="0"/>
        <v>3.5291292978937384E-2</v>
      </c>
      <c r="J13" s="73">
        <f t="shared" si="1"/>
        <v>1.6691827760308219E-2</v>
      </c>
      <c r="K13" s="73">
        <f t="shared" si="2"/>
        <v>2.5276196322752452E-3</v>
      </c>
      <c r="L13" s="27"/>
    </row>
    <row r="14" spans="1:12" x14ac:dyDescent="0.25">
      <c r="A14" s="66" t="s">
        <v>151</v>
      </c>
      <c r="B14" s="25">
        <v>-20.357008</v>
      </c>
      <c r="C14" s="25">
        <v>-40.325074999999998</v>
      </c>
      <c r="D14" s="74">
        <f>Dados!D20/8760</f>
        <v>4.8824200913242013</v>
      </c>
      <c r="E14" s="80">
        <v>1</v>
      </c>
      <c r="F14" s="67">
        <f>'FE-Transferências'!$B$3*0.0016*(($B$1/2.2)^1.3)/(($E14/2)^1.4)</f>
        <v>7.2282377015546288E-3</v>
      </c>
      <c r="G14" s="34">
        <f>'FE-Transferências'!$C$3*0.0016*(($B$1/2.2)^1.3)/(($E14/2)^1.4)</f>
        <v>3.418761075059621E-3</v>
      </c>
      <c r="H14" s="34">
        <f>'FE-Transferências'!$D$3*0.0016*(($B$1/2.2)^1.3)/(($E14/2)^1.4)</f>
        <v>5.176981056518856E-4</v>
      </c>
      <c r="I14" s="73">
        <f t="shared" si="0"/>
        <v>3.5291292978937384E-2</v>
      </c>
      <c r="J14" s="73">
        <f t="shared" si="1"/>
        <v>1.6691827760308219E-2</v>
      </c>
      <c r="K14" s="73">
        <f t="shared" si="2"/>
        <v>2.5276196322752452E-3</v>
      </c>
      <c r="L14" s="27"/>
    </row>
    <row r="15" spans="1:12" x14ac:dyDescent="0.25">
      <c r="A15" s="66" t="s">
        <v>149</v>
      </c>
      <c r="B15" s="25">
        <v>-20.357008</v>
      </c>
      <c r="C15" s="25">
        <v>-40.325074999999998</v>
      </c>
      <c r="D15" s="74">
        <f>Dados!D20/8760</f>
        <v>4.8824200913242013</v>
      </c>
      <c r="E15" s="80">
        <v>1</v>
      </c>
      <c r="F15" s="67">
        <f>'FE-Transferências'!$B$3*0.0016*(($B$1/2.2)^1.3)/(($E15/2)^1.4)</f>
        <v>7.2282377015546288E-3</v>
      </c>
      <c r="G15" s="34">
        <f>'FE-Transferências'!$C$3*0.0016*(($B$1/2.2)^1.3)/(($E15/2)^1.4)</f>
        <v>3.418761075059621E-3</v>
      </c>
      <c r="H15" s="34">
        <f>'FE-Transferências'!$D$3*0.0016*(($B$1/2.2)^1.3)/(($E15/2)^1.4)</f>
        <v>5.176981056518856E-4</v>
      </c>
      <c r="I15" s="73">
        <f t="shared" si="0"/>
        <v>3.5291292978937384E-2</v>
      </c>
      <c r="J15" s="73">
        <f t="shared" si="1"/>
        <v>1.6691827760308219E-2</v>
      </c>
      <c r="K15" s="73">
        <f t="shared" si="2"/>
        <v>2.5276196322752452E-3</v>
      </c>
    </row>
    <row r="16" spans="1:12" x14ac:dyDescent="0.25">
      <c r="A16" s="13" t="s">
        <v>152</v>
      </c>
      <c r="B16" s="75">
        <v>-20.357279999999999</v>
      </c>
      <c r="C16" s="25">
        <v>-40.323945000000002</v>
      </c>
      <c r="D16" s="74">
        <f>SUM(Dados!B20:D20)/8760</f>
        <v>20.184931506849313</v>
      </c>
      <c r="E16" s="80">
        <v>1</v>
      </c>
      <c r="F16" s="67">
        <f>'FE-Transferências'!$B$3*0.0016*(($B$1/2.2)^1.3)/(($E16/2)^1.4)</f>
        <v>7.2282377015546288E-3</v>
      </c>
      <c r="G16" s="34">
        <f>'FE-Transferências'!$C$3*0.0016*(($B$1/2.2)^1.3)/(($E16/2)^1.4)</f>
        <v>3.418761075059621E-3</v>
      </c>
      <c r="H16" s="34">
        <f>'FE-Transferências'!$D$3*0.0016*(($B$1/2.2)^1.3)/(($E16/2)^1.4)</f>
        <v>5.176981056518856E-4</v>
      </c>
      <c r="I16" s="73">
        <f t="shared" ref="I16" si="12">F16*$D16</f>
        <v>0.14590148292110608</v>
      </c>
      <c r="J16" s="73">
        <f t="shared" ref="J16" si="13">G16*$D16</f>
        <v>6.9007458138360969E-2</v>
      </c>
      <c r="K16" s="73">
        <f t="shared" ref="K16" si="14">H16*$D16</f>
        <v>1.0449700803808951E-2</v>
      </c>
    </row>
    <row r="17" spans="1:12" x14ac:dyDescent="0.25">
      <c r="A17" s="184" t="s">
        <v>190</v>
      </c>
      <c r="B17" s="184"/>
      <c r="C17" s="184"/>
      <c r="D17" s="184"/>
      <c r="E17" s="184"/>
      <c r="F17" s="184"/>
      <c r="G17" s="184"/>
      <c r="H17" s="184"/>
      <c r="I17" s="24">
        <f>SUM(I5:I16)</f>
        <v>1.2883095991085924</v>
      </c>
      <c r="J17" s="24">
        <f t="shared" ref="J17:K17" si="15">SUM(J5:J16)</f>
        <v>0.60933562120000995</v>
      </c>
      <c r="K17" s="24">
        <f t="shared" si="15"/>
        <v>9.2270822638858663E-2</v>
      </c>
      <c r="L17" s="20"/>
    </row>
    <row r="18" spans="1:12" x14ac:dyDescent="0.25">
      <c r="C18" s="27"/>
      <c r="D18" s="27"/>
      <c r="E18" s="27"/>
    </row>
    <row r="21" spans="1:12" x14ac:dyDescent="0.25">
      <c r="A21" s="1"/>
    </row>
    <row r="23" spans="1:12" x14ac:dyDescent="0.25">
      <c r="A23" s="27"/>
    </row>
  </sheetData>
  <sheetProtection algorithmName="SHA-512" hashValue="N7SA/LpqSHedxJRzZQtCyLM5dQ8KjKHcOcuwrUOtItw5F+ewz/p8gZMsp4/Z3RxlEAPjEX/1cH1xhu4XcHA1Vw==" saltValue="wDbkWEQsLZa9zkHx8HebKA==" spinCount="100000" sheet="1" objects="1" scenarios="1"/>
  <mergeCells count="8">
    <mergeCell ref="A17:H17"/>
    <mergeCell ref="A3:A4"/>
    <mergeCell ref="D3:D4"/>
    <mergeCell ref="E3:E4"/>
    <mergeCell ref="I3:K3"/>
    <mergeCell ref="F3:H3"/>
    <mergeCell ref="B3:B4"/>
    <mergeCell ref="C3:C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</vt:i4>
      </vt:variant>
    </vt:vector>
  </HeadingPairs>
  <TitlesOfParts>
    <vt:vector size="14" baseType="lpstr">
      <vt:lpstr>FE-Perf e Det</vt:lpstr>
      <vt:lpstr>FE-Maq e Equip</vt:lpstr>
      <vt:lpstr>FE-Transferências</vt:lpstr>
      <vt:lpstr>FE-Brit e Pen</vt:lpstr>
      <vt:lpstr>FE-Vias</vt:lpstr>
      <vt:lpstr>Dados</vt:lpstr>
      <vt:lpstr>Emissão Perf e Det</vt:lpstr>
      <vt:lpstr>Emissão Maq e Equip</vt:lpstr>
      <vt:lpstr>Emissão Transferências</vt:lpstr>
      <vt:lpstr>Emissão Brit e Pen</vt:lpstr>
      <vt:lpstr>Emissão Vias </vt:lpstr>
      <vt:lpstr>Resumo</vt:lpstr>
      <vt:lpstr>FE_Equip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2016-12-13T12:13:55Z</dcterms:created>
  <dcterms:modified xsi:type="dcterms:W3CDTF">2019-06-06T19:39:14Z</dcterms:modified>
</cp:coreProperties>
</file>