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TRVV\"/>
    </mc:Choice>
  </mc:AlternateContent>
  <bookViews>
    <workbookView xWindow="0" yWindow="0" windowWidth="24000" windowHeight="9735" tabRatio="627"/>
  </bookViews>
  <sheets>
    <sheet name="FE-Solid Waste" sheetId="17" r:id="rId1"/>
    <sheet name="FE-Maq e Equip" sheetId="11" r:id="rId2"/>
    <sheet name="FE-Transferências" sheetId="7" r:id="rId3"/>
    <sheet name="FE-Escavação" sheetId="13" r:id="rId4"/>
    <sheet name="FE-Vias" sheetId="5" r:id="rId5"/>
    <sheet name="Dados" sheetId="10" r:id="rId6"/>
    <sheet name="Emissão Maq e Equip" sheetId="2" r:id="rId7"/>
    <sheet name="Emissão Vias" sheetId="4" r:id="rId8"/>
    <sheet name="Emissão Escavação" sheetId="6" r:id="rId9"/>
    <sheet name="Emissão Transferências" sheetId="14" r:id="rId10"/>
    <sheet name="Emissão Aterro" sheetId="9" r:id="rId11"/>
    <sheet name="Emissão Flare" sheetId="18" r:id="rId12"/>
    <sheet name="Resumo" sheetId="16" r:id="rId13"/>
  </sheets>
  <definedNames>
    <definedName name="Fator_Emissao">'FE-Maq e Equip'!$B$4:$G$33</definedName>
    <definedName name="Pot_Equip">'FE-Maq e Equip'!$B$4:$B$33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F38" i="10" l="1"/>
  <c r="F39" i="10"/>
  <c r="F40" i="10"/>
  <c r="F41" i="10"/>
  <c r="F42" i="10"/>
  <c r="F43" i="10"/>
  <c r="F44" i="10"/>
  <c r="F45" i="10"/>
  <c r="F46" i="10"/>
  <c r="F47" i="10"/>
  <c r="F48" i="10"/>
  <c r="F37" i="10"/>
  <c r="F7" i="4"/>
  <c r="E7" i="4" l="1"/>
  <c r="K4" i="2" l="1"/>
  <c r="J5" i="2"/>
  <c r="J4" i="2"/>
  <c r="M4" i="18"/>
  <c r="M5" i="18" s="1"/>
  <c r="H8" i="16" s="1"/>
  <c r="G4" i="18"/>
  <c r="F4" i="18"/>
  <c r="E4" i="18"/>
  <c r="D4" i="18"/>
  <c r="K4" i="18" s="1"/>
  <c r="K5" i="18" s="1"/>
  <c r="E8" i="16" s="1"/>
  <c r="L4" i="18" l="1"/>
  <c r="L5" i="18" s="1"/>
  <c r="G8" i="16" s="1"/>
  <c r="H4" i="18"/>
  <c r="G3" i="9"/>
  <c r="H7" i="16" s="1"/>
  <c r="F3" i="9"/>
  <c r="G7" i="16" s="1"/>
  <c r="H5" i="18" l="1"/>
  <c r="B8" i="16" s="1"/>
  <c r="J4" i="18"/>
  <c r="J5" i="18" s="1"/>
  <c r="D8" i="16" s="1"/>
  <c r="I4" i="18"/>
  <c r="I5" i="18" s="1"/>
  <c r="C8" i="16" s="1"/>
  <c r="E7" i="14" l="1"/>
  <c r="E8" i="14"/>
  <c r="E6" i="14"/>
  <c r="B15" i="10" l="1"/>
  <c r="L20" i="10" l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G4" i="9" l="1"/>
  <c r="F4" i="9"/>
  <c r="F8" i="14"/>
  <c r="G8" i="14" s="1"/>
  <c r="F7" i="14"/>
  <c r="H7" i="14" s="1"/>
  <c r="F6" i="14"/>
  <c r="I6" i="14" s="1"/>
  <c r="B2" i="6"/>
  <c r="D7" i="6"/>
  <c r="B1" i="6"/>
  <c r="B6" i="10"/>
  <c r="B7" i="10" s="1"/>
  <c r="L7" i="4"/>
  <c r="E7" i="6" l="1"/>
  <c r="I5" i="2"/>
  <c r="I9" i="2"/>
  <c r="I10" i="2"/>
  <c r="I7" i="2"/>
  <c r="I8" i="2"/>
  <c r="I6" i="2"/>
  <c r="I4" i="2"/>
  <c r="I8" i="14"/>
  <c r="L8" i="14" s="1"/>
  <c r="H8" i="14"/>
  <c r="K8" i="14" s="1"/>
  <c r="I7" i="14"/>
  <c r="L7" i="14" s="1"/>
  <c r="L6" i="14"/>
  <c r="G6" i="14"/>
  <c r="J6" i="14" s="1"/>
  <c r="H6" i="14"/>
  <c r="K6" i="14" s="1"/>
  <c r="G7" i="14"/>
  <c r="J7" i="14" s="1"/>
  <c r="K7" i="14"/>
  <c r="J8" i="14"/>
  <c r="J7" i="4"/>
  <c r="K7" i="4"/>
  <c r="O5" i="2"/>
  <c r="O6" i="2"/>
  <c r="O7" i="2"/>
  <c r="O8" i="2"/>
  <c r="O9" i="2"/>
  <c r="O10" i="2"/>
  <c r="N5" i="2"/>
  <c r="N6" i="2"/>
  <c r="N7" i="2"/>
  <c r="N8" i="2"/>
  <c r="N9" i="2"/>
  <c r="N10" i="2"/>
  <c r="M5" i="2"/>
  <c r="M6" i="2"/>
  <c r="M7" i="2"/>
  <c r="M8" i="2"/>
  <c r="M9" i="2"/>
  <c r="M10" i="2"/>
  <c r="L5" i="2"/>
  <c r="L6" i="2"/>
  <c r="L7" i="2"/>
  <c r="L8" i="2"/>
  <c r="L9" i="2"/>
  <c r="L10" i="2"/>
  <c r="K5" i="2"/>
  <c r="K6" i="2"/>
  <c r="K7" i="2"/>
  <c r="K8" i="2"/>
  <c r="K9" i="2"/>
  <c r="K10" i="2"/>
  <c r="O4" i="2"/>
  <c r="N4" i="2"/>
  <c r="M4" i="2"/>
  <c r="L4" i="2"/>
  <c r="G7" i="4" l="1"/>
  <c r="F5" i="2"/>
  <c r="F6" i="2"/>
  <c r="F7" i="2"/>
  <c r="F8" i="2"/>
  <c r="F9" i="2"/>
  <c r="F10" i="2"/>
  <c r="F4" i="2"/>
  <c r="G6" i="2"/>
  <c r="G7" i="2"/>
  <c r="G8" i="2"/>
  <c r="G9" i="2"/>
  <c r="G10" i="2"/>
  <c r="G5" i="2"/>
  <c r="G4" i="2"/>
  <c r="T4" i="2" l="1"/>
  <c r="S4" i="2"/>
  <c r="U4" i="2"/>
  <c r="V4" i="2"/>
  <c r="P4" i="2"/>
  <c r="V5" i="2"/>
  <c r="S5" i="2"/>
  <c r="P5" i="2"/>
  <c r="U5" i="2"/>
  <c r="T5" i="2"/>
  <c r="F7" i="6"/>
  <c r="I7" i="6" l="1"/>
  <c r="L7" i="6" s="1"/>
  <c r="H7" i="6"/>
  <c r="K7" i="6" s="1"/>
  <c r="K9" i="14" l="1"/>
  <c r="C6" i="16" s="1"/>
  <c r="L8" i="6"/>
  <c r="C5" i="16" s="1"/>
  <c r="J9" i="14"/>
  <c r="B6" i="16" s="1"/>
  <c r="K8" i="6"/>
  <c r="B5" i="16" s="1"/>
  <c r="J7" i="6"/>
  <c r="M7" i="6" s="1"/>
  <c r="L9" i="14" l="1"/>
  <c r="D6" i="16" s="1"/>
  <c r="M8" i="6"/>
  <c r="D5" i="16" s="1"/>
  <c r="J6" i="2"/>
  <c r="J7" i="2"/>
  <c r="J8" i="2"/>
  <c r="J9" i="2"/>
  <c r="J10" i="2"/>
  <c r="H6" i="2"/>
  <c r="H7" i="2"/>
  <c r="H8" i="2"/>
  <c r="H9" i="2"/>
  <c r="H10" i="2"/>
  <c r="H5" i="2"/>
  <c r="H4" i="2"/>
  <c r="S7" i="2" l="1"/>
  <c r="T7" i="2"/>
  <c r="V7" i="2"/>
  <c r="U7" i="2"/>
  <c r="P7" i="2"/>
  <c r="V10" i="2"/>
  <c r="S10" i="2"/>
  <c r="P10" i="2"/>
  <c r="U10" i="2"/>
  <c r="T10" i="2"/>
  <c r="V6" i="2"/>
  <c r="T6" i="2"/>
  <c r="S6" i="2"/>
  <c r="P6" i="2"/>
  <c r="U6" i="2"/>
  <c r="V9" i="2"/>
  <c r="T9" i="2"/>
  <c r="U9" i="2"/>
  <c r="S9" i="2"/>
  <c r="P9" i="2"/>
  <c r="V8" i="2"/>
  <c r="P8" i="2"/>
  <c r="T8" i="2"/>
  <c r="S8" i="2"/>
  <c r="U8" i="2"/>
  <c r="S7" i="4"/>
  <c r="R7" i="4"/>
  <c r="Q7" i="4"/>
  <c r="P7" i="4"/>
  <c r="O7" i="4"/>
  <c r="N7" i="4"/>
  <c r="M7" i="4"/>
  <c r="Z7" i="4" l="1"/>
  <c r="W7" i="4"/>
  <c r="Y7" i="4"/>
  <c r="X7" i="4"/>
  <c r="G16" i="5"/>
  <c r="J14" i="5"/>
  <c r="J13" i="5"/>
  <c r="J12" i="5"/>
  <c r="J11" i="5"/>
  <c r="J10" i="5"/>
  <c r="J9" i="5"/>
  <c r="J8" i="5"/>
  <c r="J7" i="5"/>
  <c r="J6" i="5"/>
  <c r="J5" i="5"/>
  <c r="J4" i="5"/>
  <c r="J3" i="5"/>
  <c r="T7" i="4" l="1"/>
  <c r="T8" i="4" s="1"/>
  <c r="B4" i="16" s="1"/>
  <c r="U7" i="4"/>
  <c r="U8" i="4" s="1"/>
  <c r="C4" i="16" s="1"/>
  <c r="V7" i="4"/>
  <c r="V8" i="4" s="1"/>
  <c r="D4" i="16" s="1"/>
  <c r="W8" i="4"/>
  <c r="E4" i="16" s="1"/>
  <c r="X8" i="4"/>
  <c r="F4" i="16" s="1"/>
  <c r="Y8" i="4"/>
  <c r="G4" i="16" s="1"/>
  <c r="Z8" i="4"/>
  <c r="H4" i="16" s="1"/>
  <c r="Q7" i="2" l="1"/>
  <c r="R7" i="2" l="1"/>
  <c r="U11" i="2"/>
  <c r="G3" i="16" s="1"/>
  <c r="G9" i="16" s="1"/>
  <c r="T11" i="2"/>
  <c r="F3" i="16" s="1"/>
  <c r="F9" i="16" s="1"/>
  <c r="S11" i="2"/>
  <c r="E3" i="16" s="1"/>
  <c r="E9" i="16" s="1"/>
  <c r="Q5" i="2"/>
  <c r="R5" i="2"/>
  <c r="V11" i="2"/>
  <c r="H3" i="16" s="1"/>
  <c r="H9" i="16" s="1"/>
  <c r="R8" i="2"/>
  <c r="Q8" i="2"/>
  <c r="Q10" i="2"/>
  <c r="R10" i="2"/>
  <c r="R9" i="2"/>
  <c r="Q9" i="2"/>
  <c r="P11" i="2"/>
  <c r="B3" i="16" s="1"/>
  <c r="B9" i="16" s="1"/>
  <c r="Q4" i="2"/>
  <c r="R4" i="2"/>
  <c r="Q6" i="2"/>
  <c r="R6" i="2"/>
  <c r="Q11" i="2" l="1"/>
  <c r="C3" i="16" s="1"/>
  <c r="C9" i="16" s="1"/>
  <c r="R11" i="2"/>
  <c r="D3" i="16" s="1"/>
  <c r="D9" i="16" s="1"/>
</calcChain>
</file>

<file path=xl/comments1.xml><?xml version="1.0" encoding="utf-8"?>
<comments xmlns="http://schemas.openxmlformats.org/spreadsheetml/2006/main">
  <authors>
    <author>Vanessa Brusco Filete</author>
  </authors>
  <commentList>
    <comment ref="N3" authorId="0" shapeId="0">
      <text>
        <r>
          <rPr>
            <sz val="9"/>
            <color indexed="81"/>
            <rFont val="Segoe UI"/>
            <family val="2"/>
          </rPr>
          <t>Fonte: 
http://www.rio.rj.gov.br/dlstatic/10112/7219844/4197840/TabelasO.pdf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Table 13.2.3-1 da Seção 13.2.3 estabelece este fator para a atividade de escavação 
https://www3.epa.gov/ttn/chief/ap42/ch13/final/c13s02-3.pdf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C20" authorId="1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0" authorId="1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0" authorId="1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4.xml><?xml version="1.0" encoding="utf-8"?>
<comments xmlns="http://schemas.openxmlformats.org/spreadsheetml/2006/main">
  <authors>
    <author>Vanessa Brusco Filete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Fonte: resposta ao Ofício Nº 062-2017 - Anexo A - Máquinas e Equipamentos</t>
        </r>
      </text>
    </comment>
    <comment ref="B5" authorId="0" shapeId="0">
      <text>
        <r>
          <rPr>
            <sz val="9"/>
            <color indexed="81"/>
            <rFont val="Segoe UI"/>
            <family val="2"/>
          </rPr>
          <t>segunda a sábado (6 dias na semana)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Valor estimado.</t>
        </r>
      </text>
    </comment>
    <comment ref="B6" authorId="0" shapeId="0">
      <text>
        <r>
          <rPr>
            <sz val="9"/>
            <color indexed="81"/>
            <rFont val="Segoe UI"/>
            <family val="2"/>
          </rPr>
          <t>Total de dias trabalhados em 2015. 
Analisa-se que o ano de 2015 teve 52 domingos, sendo este o único dia para o qual não há operação no Aterro. Desta forma, os mesmos foram desconsiderados na contagem de horas trabalhadas.</t>
        </r>
      </text>
    </comment>
    <comment ref="G9" authorId="0" shapeId="0">
      <text>
        <r>
          <rPr>
            <b/>
            <sz val="9"/>
            <color indexed="81"/>
            <rFont val="Segoe UI"/>
            <family val="2"/>
          </rPr>
          <t>Valor estimado.</t>
        </r>
      </text>
    </comment>
    <comment ref="D13" authorId="0" shapeId="0">
      <text>
        <r>
          <rPr>
            <b/>
            <sz val="9"/>
            <color indexed="81"/>
            <rFont val="Segoe UI"/>
            <family val="2"/>
          </rPr>
          <t>Fonte: resposta ao Ofício Nº 062-2017 - Anexo A - Máquinas e Equipamentos</t>
        </r>
      </text>
    </comment>
    <comment ref="B15" authorId="0" shapeId="0">
      <text>
        <r>
          <rPr>
            <sz val="9"/>
            <color indexed="81"/>
            <rFont val="Segoe UI"/>
            <family val="2"/>
          </rPr>
          <t>Valor médio, pois o empreendimento informa que a eficiência de captação da geração total de biogás do aterro sanitário é de 55 à 75%.</t>
        </r>
      </text>
    </comment>
    <comment ref="K19" authorId="0" shapeId="0">
      <text>
        <r>
          <rPr>
            <sz val="9"/>
            <color indexed="81"/>
            <rFont val="Segoe UI"/>
            <family val="2"/>
          </rPr>
          <t>Taxa de crescimento populacional utilizada: 1,1% (ao ano).
Fonte: IJSN,2016. http://www.ijsn.es.gov.br/component/attachments/download/5496</t>
        </r>
      </text>
    </comment>
    <comment ref="D21" authorId="0" shapeId="0">
      <text>
        <r>
          <rPr>
            <b/>
            <sz val="9"/>
            <color indexed="81"/>
            <rFont val="Segoe UI"/>
            <family val="2"/>
          </rPr>
          <t xml:space="preserve">Dados baseados em Imagens de Satélite (Google Earth) para a data de 20/04/2015
</t>
        </r>
      </text>
    </comment>
  </commentList>
</comments>
</file>

<file path=xl/comments5.xml><?xml version="1.0" encoding="utf-8"?>
<comments xmlns="http://schemas.openxmlformats.org/spreadsheetml/2006/main">
  <authors>
    <author>Vanessa Brusco Filete</author>
    <author>Andrielly Moutinho Knupp</author>
  </authors>
  <commentList>
    <comment ref="G2" authorId="0" shapeId="0">
      <text>
        <r>
          <rPr>
            <sz val="9"/>
            <color indexed="81"/>
            <rFont val="Segoe UI"/>
            <family val="2"/>
          </rPr>
          <t>1 kW = 1,34102 HP</t>
        </r>
      </text>
    </comment>
    <comment ref="M3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para cálculo o fator de emissão de SOx.</t>
        </r>
      </text>
    </comment>
    <comment ref="O3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Q3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R3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</commentList>
</comments>
</file>

<file path=xl/comments6.xml><?xml version="1.0" encoding="utf-8"?>
<comments xmlns="http://schemas.openxmlformats.org/spreadsheetml/2006/main">
  <authors>
    <author>Vanessa Brusco Filete</author>
    <author>Alinie Rossi dos Santos</author>
    <author>Andrielly Moutinho Knupp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 xml:space="preserve">Tara 6,54 t; PBT 23t </t>
        </r>
        <r>
          <rPr>
            <sz val="9"/>
            <color indexed="81"/>
            <rFont val="Segoe UI"/>
            <family val="2"/>
          </rPr>
          <t xml:space="preserve">= caminhão M. BENZ/L 1620
Fonte: https://www.caminhoes-e-carretas.com/2010/01/mercedes-benz-l-1620-6x2.html
</t>
        </r>
        <r>
          <rPr>
            <b/>
            <sz val="9"/>
            <color indexed="81"/>
            <rFont val="Segoe UI"/>
            <family val="2"/>
          </rPr>
          <t>Tara 4,8 t; PBT 14,1t</t>
        </r>
        <r>
          <rPr>
            <sz val="9"/>
            <color indexed="81"/>
            <rFont val="Segoe UI"/>
            <family val="2"/>
          </rPr>
          <t xml:space="preserve"> = caminhão Ford F 14000 HD
Fonte: https://www.viarural.cl/agroindustria/camiones/ford/f-14000-especificaciones.htm</t>
        </r>
      </text>
    </comment>
    <comment ref="A2" authorId="0" shapeId="0">
      <text>
        <r>
          <rPr>
            <sz val="9"/>
            <color indexed="81"/>
            <rFont val="Segoe UI"/>
            <family val="2"/>
          </rPr>
          <t xml:space="preserve">USEPA (2011) - Unpaved Roads. Table 13.2.2-1 - Municipal solid waste landfills
Como não foi informado o teor de silte das vias internas, foi considerado o valor médio referente à "Municipal solid waste landfills".
</t>
        </r>
      </text>
    </comment>
    <comment ref="H5" authorId="1" shapeId="0">
      <text>
        <r>
          <rPr>
            <sz val="9"/>
            <color indexed="81"/>
            <rFont val="Segoe UI"/>
            <family val="2"/>
          </rPr>
          <t xml:space="preserve">Fonte: WRAP: Fugitive Dust Control Measures </t>
        </r>
      </text>
    </comment>
    <comment ref="I5" authorId="1" shapeId="0">
      <text>
        <r>
          <rPr>
            <sz val="9"/>
            <color indexed="81"/>
            <rFont val="Segoe UI"/>
            <family val="2"/>
          </rPr>
          <t>WRAP (2006)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6" authorId="0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B13" authorId="2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</commentList>
</comments>
</file>

<file path=xl/comments7.xml><?xml version="1.0" encoding="utf-8"?>
<comments xmlns="http://schemas.openxmlformats.org/spreadsheetml/2006/main">
  <authors>
    <author>Vanessa Brusco Filete</author>
    <author>Alinie Rossi dos Santos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Considerou-se a informação fornecida pela empresa, de que a mesma opera de segunda à sabado, 24h por dia.</t>
        </r>
      </text>
    </comment>
    <comment ref="G5" authorId="1" shapeId="0">
      <text>
        <r>
          <rPr>
            <sz val="9"/>
            <color indexed="81"/>
            <rFont val="Segoe UI"/>
            <family val="2"/>
          </rPr>
          <t xml:space="preserve">USEPA (2006) : umidade para a argila (clay) obtida da Tabela 13.2.4-1: TYPICAL SILT AND MOISTURE CONTENTS OF MATERIALS AT VARIOUS INDUSTRIES. 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 xml:space="preserve">Fonte: </t>
        </r>
        <r>
          <rPr>
            <sz val="9"/>
            <color indexed="81"/>
            <rFont val="Segoe UI"/>
            <family val="2"/>
          </rPr>
          <t>AP 42 11.9 Western Surface Coal Mining.
Table 11.9-1 (English Units). EMISSION FACTOR EQUATIONS FOR UNCONTROLLED OPEN DUST SOURCES
AT WESTERN SURFACE COAL MINESa
Considerou-se a operação "Bulldozing" e o material "overburden"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  <author>Gabriel Aarão Gonçalves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  <comment ref="E4" authorId="1" shapeId="0">
      <text>
        <r>
          <rPr>
            <sz val="9"/>
            <color indexed="81"/>
            <rFont val="Segoe UI"/>
            <family val="2"/>
          </rPr>
          <t xml:space="preserve">Como não há informação sobre a quantidade movimentada de material em cada processo, foi considerado que cada etapa movimenta a mesma quantidade (valor médio)
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 xml:space="preserve">USEPA (2006) : umidade para a argila (clay) obtida da Tabela 13.2.4-1: TYPICAL SILT AND MOISTURE CONTENTS OF MATERIALS AT VARIOUS INDUSTRIES. </t>
        </r>
      </text>
    </comment>
  </commentList>
</comments>
</file>

<file path=xl/comments9.xml><?xml version="1.0" encoding="utf-8"?>
<comments xmlns="http://schemas.openxmlformats.org/spreadsheetml/2006/main">
  <authors>
    <author>Andrielly Moutinho Knupp</author>
  </authors>
  <commentList>
    <comment ref="F3" authorId="0" shapeId="0">
      <text>
        <r>
          <rPr>
            <sz val="9"/>
            <color indexed="81"/>
            <rFont val="Segoe UI"/>
            <family val="2"/>
          </rPr>
          <t>Considerado fator de NO2 como sendo NOX</t>
        </r>
      </text>
    </comment>
    <comment ref="I3" authorId="0" shapeId="0">
      <text>
        <r>
          <rPr>
            <sz val="9"/>
            <color indexed="81"/>
            <rFont val="Segoe UI"/>
            <family val="2"/>
          </rPr>
          <t>Considerado que PM = PM10 = PM2.5, pois no rodapé da Tabela 2.4-4:
"</t>
        </r>
        <r>
          <rPr>
            <i/>
            <sz val="9"/>
            <color indexed="81"/>
            <rFont val="Segoe UI"/>
            <family val="2"/>
          </rPr>
          <t>No data on PM size distributions were available, however for other gas-fired combustion sources, most of the particulate matter is less than 2.5 microns in diameter. Hence, this emission factor can be used to provide estimates of PM-10 or PM-2.5 emissions</t>
        </r>
        <r>
          <rPr>
            <sz val="9"/>
            <color indexed="81"/>
            <rFont val="Segoe UI"/>
            <family val="2"/>
          </rPr>
          <t xml:space="preserve">". 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Considerado que PM = PM10 = PM2.5, pois no rodapé da Tabela 2.4-4:
"</t>
        </r>
        <r>
          <rPr>
            <i/>
            <sz val="9"/>
            <color indexed="81"/>
            <rFont val="Segoe UI"/>
            <family val="2"/>
          </rPr>
          <t>No data on PM size distributions were available, however for other gas-fired combustion sources, most of the particulate matter is less than 2.5 microns in diameter. Hence, this emission factor can be used to provide estimates of PM-10 or PM-2.5 emissions</t>
        </r>
        <r>
          <rPr>
            <sz val="9"/>
            <color indexed="81"/>
            <rFont val="Segoe UI"/>
            <family val="2"/>
          </rPr>
          <t xml:space="preserve">". 
</t>
        </r>
      </text>
    </comment>
    <comment ref="M3" authorId="0" shapeId="0">
      <text>
        <r>
          <rPr>
            <b/>
            <sz val="9"/>
            <color indexed="81"/>
            <rFont val="Segoe UI"/>
            <family val="2"/>
          </rPr>
          <t xml:space="preserve">Considerada eficiência de controle COV (86%) da Table 2.4-3 do AP42 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<sst xmlns="http://schemas.openxmlformats.org/spreadsheetml/2006/main" count="480" uniqueCount="276">
  <si>
    <t>Modelo</t>
  </si>
  <si>
    <t>Quantidade</t>
  </si>
  <si>
    <t>Potência (kW)</t>
  </si>
  <si>
    <t>Pá Carregadeira</t>
  </si>
  <si>
    <t>Retroescavadeira</t>
  </si>
  <si>
    <t>Equipamentos - Escapamento</t>
  </si>
  <si>
    <t>Classificação dos fatores de emissão</t>
  </si>
  <si>
    <t>Quantidade Equipamentos</t>
  </si>
  <si>
    <t>Horas/dia</t>
  </si>
  <si>
    <t>Fator de Emissão [kg/h]</t>
  </si>
  <si>
    <t>Taxa de Emissão [kg/h]</t>
  </si>
  <si>
    <t>PM</t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</si>
  <si>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</si>
  <si>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</si>
  <si>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CO</t>
  </si>
  <si>
    <t>Equipment</t>
  </si>
  <si>
    <t>MaxHP</t>
  </si>
  <si>
    <t>ROG</t>
  </si>
  <si>
    <t>Equação Geral:</t>
  </si>
  <si>
    <t>Onde:
E - emissão (lb/dia)
n - número de equipamentos de cada categoria
H - número de horas diárias de operação do equipamento
EF - fator de emissão (lb/h)</t>
  </si>
  <si>
    <t>Consideração:</t>
  </si>
  <si>
    <t>Como não foi informado o ano dos equipamentos, foi considerado, de forma conservadora, os fatores de 2007.</t>
  </si>
  <si>
    <t>Consumo de Combustível (l)</t>
  </si>
  <si>
    <t>Horas/ano</t>
  </si>
  <si>
    <t>Fonte: USEPA (2006) https://www3.epa.gov/ttn/chief/ap42/ch13/final/c13s0202.pdf</t>
  </si>
  <si>
    <t>Ano 2015</t>
  </si>
  <si>
    <t>AP42 - 13.2.2 Unpaved Roads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</si>
  <si>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</si>
  <si>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</si>
  <si>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</si>
  <si>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</si>
  <si>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</si>
  <si>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Table 13.2.2-2 Constants for Equations 1a and 1b</t>
  </si>
  <si>
    <t>Jan</t>
  </si>
  <si>
    <t>Constant</t>
  </si>
  <si>
    <t>Industrial Roads (Equation 1a)</t>
  </si>
  <si>
    <t>Fev</t>
  </si>
  <si>
    <t>PM2.5</t>
  </si>
  <si>
    <t>PM10</t>
  </si>
  <si>
    <t>PM30</t>
  </si>
  <si>
    <t>Mar</t>
  </si>
  <si>
    <t>k (lb/VMT)</t>
  </si>
  <si>
    <t>Abr</t>
  </si>
  <si>
    <t>a</t>
  </si>
  <si>
    <t>Mai</t>
  </si>
  <si>
    <t>b</t>
  </si>
  <si>
    <t>Jun</t>
  </si>
  <si>
    <t>1 lb/VMT</t>
  </si>
  <si>
    <t>g/VKT</t>
  </si>
  <si>
    <t>Jul</t>
  </si>
  <si>
    <t>Equation</t>
  </si>
  <si>
    <t>Ago</t>
  </si>
  <si>
    <t>Set</t>
  </si>
  <si>
    <r>
      <t>k, a e b: constantes empíricas
s: teor de</t>
    </r>
    <r>
      <rPr>
        <i/>
        <sz val="8"/>
        <color theme="1"/>
        <rFont val="Arial"/>
        <family val="2"/>
      </rPr>
      <t xml:space="preserve"> silt</t>
    </r>
    <r>
      <rPr>
        <sz val="8"/>
        <color theme="1"/>
        <rFont val="Arial"/>
        <family val="2"/>
      </rPr>
      <t xml:space="preserve"> do material da superfície (%)
W: peso médio do veículo (t)</t>
    </r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</si>
  <si>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</si>
  <si>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</si>
  <si>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</si>
  <si>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</si>
  <si>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</si>
  <si>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</si>
  <si>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</si>
  <si>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Desgaste Pneus e Freio</t>
  </si>
  <si>
    <t>Desgaste da Pista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</si>
  <si>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</si>
  <si>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</si>
  <si>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</si>
  <si>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</si>
  <si>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</si>
  <si>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</si>
  <si>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 xml:space="preserve">Fonte Emissora </t>
  </si>
  <si>
    <t>Tipo</t>
  </si>
  <si>
    <t>Comprimento [m]</t>
  </si>
  <si>
    <t>DMT  [km/h]</t>
  </si>
  <si>
    <t>Controle</t>
  </si>
  <si>
    <t>Eficiência de Controle [%]</t>
  </si>
  <si>
    <t>Fator de Emissão - Ressuspensão [kg/VKT]</t>
  </si>
  <si>
    <t>Fator de Emissão - Gases Escapamento [kg/km]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</si>
  <si>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</si>
  <si>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</si>
  <si>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Via 1</t>
  </si>
  <si>
    <t>Via 3</t>
  </si>
  <si>
    <t>Via 4</t>
  </si>
  <si>
    <t>Via 5</t>
  </si>
  <si>
    <t>Via 6</t>
  </si>
  <si>
    <t>Via 9</t>
  </si>
  <si>
    <t>Via 10</t>
  </si>
  <si>
    <t>Via 11</t>
  </si>
  <si>
    <t>Auxiliar</t>
  </si>
  <si>
    <t>Veículos Leves</t>
  </si>
  <si>
    <r>
      <t>Nº de Veículos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</si>
  <si>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-</t>
  </si>
  <si>
    <t>Fonte Emissora</t>
  </si>
  <si>
    <t>Movimentação material [t/h]</t>
  </si>
  <si>
    <t>Umidade do Material [%]</t>
  </si>
  <si>
    <t>Fator de Emissão [kg/t]</t>
  </si>
  <si>
    <t xml:space="preserve">PM 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</si>
  <si>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</si>
  <si>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</si>
  <si>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Velocidade do Vento (m/s)</t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</si>
  <si>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</si>
  <si>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</si>
  <si>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</si>
  <si>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Início das atividades</t>
  </si>
  <si>
    <t>Vida Útil (anos)</t>
  </si>
  <si>
    <t>Equipamento</t>
  </si>
  <si>
    <t>Horas Trabalhadas (h/dia)</t>
  </si>
  <si>
    <t>Horário de funcionamento (h)</t>
  </si>
  <si>
    <t>Basculante</t>
  </si>
  <si>
    <t>FORD/F 14000 HD</t>
  </si>
  <si>
    <t>Células em Operação</t>
  </si>
  <si>
    <t>única</t>
  </si>
  <si>
    <t>M. BENZ/L 1620</t>
  </si>
  <si>
    <t>Quantidade de terra movimentada (m³)</t>
  </si>
  <si>
    <t>Caminhão Pipa</t>
  </si>
  <si>
    <t>Carro Pipa</t>
  </si>
  <si>
    <t>Escavadeira</t>
  </si>
  <si>
    <t>CATERPILLAR</t>
  </si>
  <si>
    <t>FIATALLIS</t>
  </si>
  <si>
    <t>M.A./NEW HOLLAND</t>
  </si>
  <si>
    <t>Patrol</t>
  </si>
  <si>
    <t>VOLVO</t>
  </si>
  <si>
    <t>Coleta de Biogás</t>
  </si>
  <si>
    <t>Trator Girico</t>
  </si>
  <si>
    <t>Eficiência de Captação (%)</t>
  </si>
  <si>
    <t>Via 2</t>
  </si>
  <si>
    <t>Latitude (º)</t>
  </si>
  <si>
    <t>Longitude (º)</t>
  </si>
  <si>
    <t>FIATALLIS FD 170</t>
  </si>
  <si>
    <t>Esteira</t>
  </si>
  <si>
    <t>Veículos</t>
  </si>
  <si>
    <t>Escavação</t>
  </si>
  <si>
    <t>TR - Pilha</t>
  </si>
  <si>
    <t>TR - Caminhão</t>
  </si>
  <si>
    <t>TR - Célula</t>
  </si>
  <si>
    <t>Teor de Silte [%]</t>
  </si>
  <si>
    <t xml:space="preserve">Table 13.2.4-1. TYPICAL SILT AND MOISTURE CONTENTS OF MATERIALS AT VARIOUS INDUSTRIES </t>
  </si>
  <si>
    <t>Industry</t>
  </si>
  <si>
    <t>Material</t>
  </si>
  <si>
    <t>Silt Content (%)</t>
  </si>
  <si>
    <t>Moisture Content (%)</t>
  </si>
  <si>
    <t>Range</t>
  </si>
  <si>
    <t>Mean</t>
  </si>
  <si>
    <t>Municipal solid waste landfills</t>
  </si>
  <si>
    <t>Sand</t>
  </si>
  <si>
    <t>Slag</t>
  </si>
  <si>
    <t>3,0 - 4,7</t>
  </si>
  <si>
    <t>2,3 - 4,9</t>
  </si>
  <si>
    <t>Cover</t>
  </si>
  <si>
    <t>5,0 - 16</t>
  </si>
  <si>
    <t>8,9 - 16</t>
  </si>
  <si>
    <t>Clay/dirty mix</t>
  </si>
  <si>
    <t>Clay</t>
  </si>
  <si>
    <t>4,5 - 7,4</t>
  </si>
  <si>
    <t>8,9 - 11</t>
  </si>
  <si>
    <t>Fly ash</t>
  </si>
  <si>
    <t>78 - 81</t>
  </si>
  <si>
    <t>26 - 29</t>
  </si>
  <si>
    <t>Misc. Fill materials</t>
  </si>
  <si>
    <t>Massa específica (kg/m³)</t>
  </si>
  <si>
    <t>Fonte: USEPA (1998) - https://www3.epa.gov/ttn/chief/ap42/ch11/final/c11s09.pdf</t>
  </si>
  <si>
    <t>AP42 - Section 11.9 - Table 11.9-2 - Bulldozing (Overburden)</t>
  </si>
  <si>
    <r>
      <t>PM</t>
    </r>
    <r>
      <rPr>
        <b/>
        <vertAlign val="subscript"/>
        <sz val="8"/>
        <color theme="1"/>
        <rFont val="Arial"/>
        <family val="2"/>
      </rPr>
      <t>10</t>
    </r>
  </si>
  <si>
    <r>
      <t>PM</t>
    </r>
    <r>
      <rPr>
        <b/>
        <vertAlign val="subscript"/>
        <sz val="8"/>
        <color theme="1"/>
        <rFont val="Arial"/>
        <family val="2"/>
      </rPr>
      <t>2.5</t>
    </r>
  </si>
  <si>
    <t>Onde:
E - emissão (kg/h)
s - teor de silt (%)
M - teor de umidade do material (%)</t>
  </si>
  <si>
    <t>Argila</t>
  </si>
  <si>
    <t>Ano</t>
  </si>
  <si>
    <t>Peso (t)</t>
  </si>
  <si>
    <t>Movimentação de Resíduos Classe II</t>
  </si>
  <si>
    <t>Umectação</t>
  </si>
  <si>
    <t>Não Pavimentadas</t>
  </si>
  <si>
    <t>Via</t>
  </si>
  <si>
    <t>Latitude [º]</t>
  </si>
  <si>
    <t>Longitude [º]</t>
  </si>
  <si>
    <t>Comprimento</t>
  </si>
  <si>
    <t>Tráfego</t>
  </si>
  <si>
    <t>Dados Iniciais</t>
  </si>
  <si>
    <t>Características do Flare</t>
  </si>
  <si>
    <t>Máquinas e Equipamentos</t>
  </si>
  <si>
    <t>Excavators
(Escavadeira)</t>
  </si>
  <si>
    <t>Excavators - 25</t>
  </si>
  <si>
    <t>Excavators - 50</t>
  </si>
  <si>
    <t>Excavators - 120</t>
  </si>
  <si>
    <t>Excavators - 175</t>
  </si>
  <si>
    <t>Excavators - 250</t>
  </si>
  <si>
    <t>Excavators - 500</t>
  </si>
  <si>
    <t>Excavators - 750</t>
  </si>
  <si>
    <t>Rubber Tired Loaders
(Pá Carregadeira)</t>
  </si>
  <si>
    <t>Rubber Tired Loaders - 25</t>
  </si>
  <si>
    <t>Rubber Tired Loaders - 50</t>
  </si>
  <si>
    <t>Rubber Tired Loaders - 120</t>
  </si>
  <si>
    <t>Rubber Tired Loaders - 175</t>
  </si>
  <si>
    <t>Rubber Tired Loaders - 250</t>
  </si>
  <si>
    <t>Rubber Tired Loaders - 500</t>
  </si>
  <si>
    <t>Rubber Tired Loaders - 750</t>
  </si>
  <si>
    <t>Rubber Tired Loaders - 1000</t>
  </si>
  <si>
    <t>Tractors/Loaders/Backhoes
(Trator/Carregadeira/Retroescavadeira)</t>
  </si>
  <si>
    <t>Tractors/Loaders/Backhoes - 15</t>
  </si>
  <si>
    <t>Tractors/Loaders/Backhoes - 25</t>
  </si>
  <si>
    <t>Tractors/Loaders/Backhoes - 50</t>
  </si>
  <si>
    <t>Tractors/Loaders/Backhoes - 120</t>
  </si>
  <si>
    <t>Tractors/Loaders/Backhoes - 175</t>
  </si>
  <si>
    <t>Tractors/Loaders/Backhoes - 250</t>
  </si>
  <si>
    <t>Tractors/Loaders/Backhoes - 500</t>
  </si>
  <si>
    <t>Tractors/Loaders/Backhoes - 750</t>
  </si>
  <si>
    <t>Crawler Tractors
(Trator Esteira)</t>
  </si>
  <si>
    <t>Crawler Tractors - 50</t>
  </si>
  <si>
    <t>Crawler Tractors - 120</t>
  </si>
  <si>
    <t>Crawler Tractors - 175</t>
  </si>
  <si>
    <t>Crawler Tractors - 250</t>
  </si>
  <si>
    <t>Crawler Tractors - 500</t>
  </si>
  <si>
    <t>Crawler Tractors - 750</t>
  </si>
  <si>
    <t>Crawler Tractors - 1000</t>
  </si>
  <si>
    <t xml:space="preserve">TOTAL </t>
  </si>
  <si>
    <t>Peso médio - Veículos Pesados [t]:</t>
  </si>
  <si>
    <t>Taxa Silt [g/m²]:</t>
  </si>
  <si>
    <t>Jornada Trabalho (h):</t>
  </si>
  <si>
    <t>TOTAL</t>
  </si>
  <si>
    <t>Onde:
Ei - taxa de emissão de material particulado com diâmetro aerodinâmico &lt; i µm (kg/h)
FEi - fator de emissão com atenuação por precipitação, para material particulado com diâmetro aerodinâmico ≤ i µm (g/km)
DMT - distância média trafegada pelos veículos (km/h)</t>
  </si>
  <si>
    <t>Equação
(Ressuspensão):</t>
  </si>
  <si>
    <r>
      <t>Onde:
TE - taxa de emissão (kg/h)
FE - fator de emissão (g/km)
DMT - distância média trafegada (km/h)
10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- conversão de g para kg
ER - eficiência de controle </t>
    </r>
  </si>
  <si>
    <t>Dias Úteis 2015:</t>
  </si>
  <si>
    <t>Horas Trabalhadas</t>
  </si>
  <si>
    <t>Onde:
TE - taxa de emissão (kg/h)
k - particle size multiplier (dimensionless)
U - mean wind speed, meters per second (m/s) (miles per hour [mph]) 
M - material moisture content (%)
Q - quantidade de material movimentada (t/h)</t>
  </si>
  <si>
    <t>Taxa de Emissão LandGEM [t/ano]</t>
  </si>
  <si>
    <t xml:space="preserve">Estimativa de dados futuros </t>
  </si>
  <si>
    <t>Com base no crescimento populacional</t>
  </si>
  <si>
    <t>Tipo de Fonte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</si>
  <si>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</si>
  <si>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 xml:space="preserve">Vias </t>
  </si>
  <si>
    <t>Transferências</t>
  </si>
  <si>
    <t>Aterro</t>
  </si>
  <si>
    <r>
      <t xml:space="preserve">Nota: O empreendimento informou que a eficiência de captação do </t>
    </r>
    <r>
      <rPr>
        <i/>
        <sz val="8"/>
        <color theme="1"/>
        <rFont val="Arial"/>
        <family val="2"/>
      </rPr>
      <t>flare</t>
    </r>
    <r>
      <rPr>
        <sz val="8"/>
        <color theme="1"/>
        <rFont val="Arial"/>
        <family val="2"/>
      </rPr>
      <t xml:space="preserve"> é de de 55 a 75%. Considera-se assim, o valor médio de 65% de eficiência, de forma que apenas 35% dos gases gerados no aterro são lançados à atmosfera. </t>
    </r>
  </si>
  <si>
    <r>
      <t>NO</t>
    </r>
    <r>
      <rPr>
        <vertAlign val="subscript"/>
        <sz val="8"/>
        <rFont val="Arial"/>
        <family val="2"/>
      </rPr>
      <t>X</t>
    </r>
  </si>
  <si>
    <r>
      <t>SO</t>
    </r>
    <r>
      <rPr>
        <vertAlign val="subscript"/>
        <sz val="8"/>
        <rFont val="Arial"/>
        <family val="2"/>
      </rPr>
      <t>X</t>
    </r>
  </si>
  <si>
    <t>Equação geral</t>
  </si>
  <si>
    <t>Onde:
E - emissão (kg/h)
s - teor de silt (%)
M - teor de umidade do material (%)
Ht - Horas trabalhadas (h)</t>
  </si>
  <si>
    <t>Onde:
E - emissão (kg/h)
n - número de equipamentos de cada categoria
H - número de horas diárias de operação do equipamento
EF - fator de emissão (kg/h)</t>
  </si>
  <si>
    <t>Dias trabalhados 2015</t>
  </si>
  <si>
    <t>Horas totais trabalhadas (h/ano)</t>
  </si>
  <si>
    <t>Umectação de vias (por dia)</t>
  </si>
  <si>
    <t>Potência [HP]</t>
  </si>
  <si>
    <t>Consumo de Combustível [l]</t>
  </si>
  <si>
    <t>Taxa de Emissão LandGEM [kg/h]</t>
  </si>
  <si>
    <t>Flare</t>
  </si>
  <si>
    <r>
      <t>Fator de Emissão [kg/10</t>
    </r>
    <r>
      <rPr>
        <b/>
        <vertAlign val="superscript"/>
        <sz val="8"/>
        <color theme="0"/>
        <rFont val="Arial"/>
        <family val="2"/>
      </rPr>
      <t>6</t>
    </r>
    <r>
      <rPr>
        <b/>
        <sz val="8"/>
        <color theme="0"/>
        <rFont val="Arial"/>
        <family val="2"/>
      </rPr>
      <t xml:space="preserve"> dscm]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</si>
  <si>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</si>
  <si>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Fonte: AP42 (USEPA, 2006) - https://www3.epa.gov/ttn/chief/ap42/ch13/final/c13s0204.pdf</t>
  </si>
  <si>
    <t xml:space="preserve">Control Device </t>
  </si>
  <si>
    <t>Pollutant</t>
  </si>
  <si>
    <t>Nitrogen Dioxide</t>
  </si>
  <si>
    <t>Carbon Monoxide</t>
  </si>
  <si>
    <t>Particulate Matter</t>
  </si>
  <si>
    <t xml:space="preserve">Emission Factor
Rating </t>
  </si>
  <si>
    <t>A</t>
  </si>
  <si>
    <t>Table 2.4-4. EMISSION FACTORS FOR SECONDARY COMPOUNDS EXITING CONTROL DEVICES</t>
  </si>
  <si>
    <r>
      <t>Typical Rate kg/10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 xml:space="preserve"> dscm</t>
    </r>
  </si>
  <si>
    <t>Vazão (m³/h):</t>
  </si>
  <si>
    <t>EC (%):</t>
  </si>
  <si>
    <t>98 a 99,7</t>
  </si>
  <si>
    <t>Vazão Biogás [m³/h]</t>
  </si>
  <si>
    <r>
      <t xml:space="preserve">Nota: O empreendimento informou que a eficiência de captação do </t>
    </r>
    <r>
      <rPr>
        <i/>
        <sz val="8"/>
        <color theme="1"/>
        <rFont val="Arial"/>
        <family val="2"/>
      </rPr>
      <t>flare</t>
    </r>
    <r>
      <rPr>
        <sz val="8"/>
        <color theme="1"/>
        <rFont val="Arial"/>
        <family val="2"/>
      </rPr>
      <t xml:space="preserve"> é de de 55 a 75%. Considera-se assim, o valor médio de 65% de eficiência.</t>
    </r>
  </si>
  <si>
    <t xml:space="preserve">Células do Aterro </t>
  </si>
  <si>
    <t>Fonte: Informações enviadas pelo empreendimento através do Ofício IEMA N° 062/2017</t>
  </si>
  <si>
    <t>Não Pavimentada</t>
  </si>
  <si>
    <t>Via 7</t>
  </si>
  <si>
    <t>Via 8</t>
  </si>
  <si>
    <t>Distribuição de Tráfego de Veículos (%)</t>
  </si>
  <si>
    <t>Discretização de Tráfego (un.)</t>
  </si>
  <si>
    <t>(%) Pesados</t>
  </si>
  <si>
    <t>Quantidade Pesados</t>
  </si>
  <si>
    <t>Via 12</t>
  </si>
  <si>
    <t>VOC</t>
  </si>
  <si>
    <t>Fonte: AP42 (USEPA, 2008) - https://www3.epa.gov/ttn/chief/ap42/ch02/draft/d02s04.pdf</t>
  </si>
  <si>
    <t>Fonte: AQMD (2016) - http://www.aqmd.gov/home/regulations/ceqa/air-quality-analysis-handbook/off-road-mobile-source-emission-factors</t>
  </si>
  <si>
    <t>Nota: Foi utilizado para a estimativa da emissão da atividade de compactação a operação Bulldozing para o material overburden, apresentada na Tabela 11.9-2. Fonte: USEPA (1998)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</si>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</sst>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"/>
    <numFmt numFmtId="166" formatCode="0.00000"/>
    <numFmt numFmtId="167" formatCode="0.000"/>
    <numFmt numFmtId="168" formatCode="0.000000"/>
    <numFmt numFmtId="169" formatCode="[&gt;=0.005]\ #,##0.00;[&lt;0.005]&quot;&lt;0,01&quot;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Segoe UI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b/>
      <vertAlign val="superscript"/>
      <sz val="8"/>
      <color theme="0"/>
      <name val="Arial"/>
      <family val="2"/>
    </font>
    <font>
      <b/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i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horizontal="left" vertical="center"/>
    </xf>
    <xf numFmtId="166" fontId="1" fillId="0" borderId="18" xfId="0" applyNumberFormat="1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0" xfId="0" applyFont="1" applyFill="1" applyAlignment="1">
      <alignment horizontal="center"/>
    </xf>
    <xf numFmtId="167" fontId="1" fillId="0" borderId="0" xfId="0" applyNumberFormat="1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0" xfId="0" quotePrefix="1" applyFont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left" vertical="center"/>
    </xf>
    <xf numFmtId="164" fontId="1" fillId="0" borderId="2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19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vertical="center" wrapText="1"/>
    </xf>
    <xf numFmtId="0" fontId="0" fillId="0" borderId="25" xfId="0" applyBorder="1"/>
    <xf numFmtId="0" fontId="0" fillId="0" borderId="0" xfId="0" applyBorder="1"/>
    <xf numFmtId="0" fontId="0" fillId="0" borderId="1" xfId="0" applyBorder="1"/>
    <xf numFmtId="166" fontId="1" fillId="0" borderId="1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Font="1"/>
    <xf numFmtId="168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23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9" fontId="1" fillId="0" borderId="0" xfId="0" applyNumberFormat="1" applyFont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3" fontId="1" fillId="0" borderId="3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1" fillId="0" borderId="0" xfId="0" applyNumberFormat="1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3" fontId="1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169" fontId="1" fillId="3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9" fontId="1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166" fontId="1" fillId="0" borderId="18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4" borderId="2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1" fontId="1" fillId="0" borderId="17" xfId="0" applyNumberFormat="1" applyFont="1" applyFill="1" applyBorder="1" applyAlignment="1">
      <alignment horizontal="center" vertical="center"/>
    </xf>
    <xf numFmtId="3" fontId="1" fillId="0" borderId="17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quotePrefix="1" applyFont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 wrapText="1"/>
    </xf>
    <xf numFmtId="0" fontId="1" fillId="4" borderId="22" xfId="0" applyFont="1" applyFill="1" applyBorder="1" applyAlignment="1">
      <alignment horizontal="left" vertical="center" wrapText="1"/>
    </xf>
    <xf numFmtId="0" fontId="1" fillId="4" borderId="29" xfId="0" applyFont="1" applyFill="1" applyBorder="1" applyAlignment="1">
      <alignment horizontal="left" vertical="center" wrapText="1"/>
    </xf>
    <xf numFmtId="0" fontId="1" fillId="4" borderId="2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30" xfId="0" applyFont="1" applyFill="1" applyBorder="1" applyAlignment="1">
      <alignment horizontal="left" vertical="center" wrapText="1"/>
    </xf>
    <xf numFmtId="0" fontId="1" fillId="4" borderId="24" xfId="0" applyFont="1" applyFill="1" applyBorder="1" applyAlignment="1">
      <alignment horizontal="left" vertical="center" wrapText="1"/>
    </xf>
    <xf numFmtId="0" fontId="1" fillId="4" borderId="25" xfId="0" applyFont="1" applyFill="1" applyBorder="1" applyAlignment="1">
      <alignment horizontal="left" vertical="center" wrapText="1"/>
    </xf>
    <xf numFmtId="0" fontId="1" fillId="4" borderId="31" xfId="0" applyFont="1" applyFill="1" applyBorder="1" applyAlignment="1">
      <alignment horizontal="left" vertical="center" wrapText="1"/>
    </xf>
    <xf numFmtId="0" fontId="7" fillId="4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3" borderId="2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  <color rgb="FFD9D9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142875</xdr:rowOff>
    </xdr:from>
    <xdr:to>
      <xdr:col>13</xdr:col>
      <xdr:colOff>352425</xdr:colOff>
      <xdr:row>20</xdr:row>
      <xdr:rowOff>28575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2875"/>
          <a:ext cx="5219700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36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952750" y="9348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952750" y="9348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(𝑈/2,2)^1,3∕(𝑀/2)^1,4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1828801</xdr:colOff>
      <xdr:row>2</xdr:row>
      <xdr:rowOff>100012</xdr:rowOff>
    </xdr:from>
    <xdr:ext cx="24003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28801" y="3043237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𝑃𝑀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=2,6×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28801" y="3043237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𝐸_𝑃𝑀=2,6×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(𝑠)^1,2∕(𝑀)^1,3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</xdr:row>
      <xdr:rowOff>123825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76425" y="34480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=0,75×0,45×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1,5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76425" y="34480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𝐸=0,75×0,45×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(𝑠)^1,5∕(𝑀)^1,4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1809750</xdr:colOff>
      <xdr:row>6</xdr:row>
      <xdr:rowOff>142875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09750" y="38481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=0,105×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𝑃𝑀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09750" y="38481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𝐸=0,105×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𝐸_𝑃𝑀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9</xdr:row>
      <xdr:rowOff>0</xdr:rowOff>
    </xdr:from>
    <xdr:ext cx="2628900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990601" y="1952625"/>
              <a:ext cx="2628900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990601" y="1952625"/>
              <a:ext cx="2628900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  <xdr:twoCellAnchor>
    <xdr:from>
      <xdr:col>2</xdr:col>
      <xdr:colOff>552450</xdr:colOff>
      <xdr:row>9</xdr:row>
      <xdr:rowOff>0</xdr:rowOff>
    </xdr:from>
    <xdr:to>
      <xdr:col>3</xdr:col>
      <xdr:colOff>533400</xdr:colOff>
      <xdr:row>10</xdr:row>
      <xdr:rowOff>180976</xdr:rowOff>
    </xdr:to>
    <xdr:sp macro="" textlink="">
      <xdr:nvSpPr>
        <xdr:cNvPr id="5" name="Elipse 4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533650" y="1952625"/>
          <a:ext cx="97155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619125</xdr:colOff>
      <xdr:row>12</xdr:row>
      <xdr:rowOff>147637</xdr:rowOff>
    </xdr:from>
    <xdr:ext cx="160972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266950" y="2547937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𝐸𝐹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266950" y="2547937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𝐸=(𝑛 𝑥 𝐻 𝑥 𝐸𝐹 )/24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9</xdr:row>
      <xdr:rowOff>185737</xdr:rowOff>
    </xdr:from>
    <xdr:ext cx="21907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066925" y="2957512"/>
              <a:ext cx="2190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𝐹𝐸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𝐷𝑀𝑇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)/10³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66925" y="2957512"/>
              <a:ext cx="2190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𝐸_𝑖=(〖𝐹𝐸〗_𝑖  . 𝐷𝑀𝑇)/10³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114301</xdr:colOff>
      <xdr:row>18</xdr:row>
      <xdr:rowOff>119062</xdr:rowOff>
    </xdr:from>
    <xdr:ext cx="1981200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1771651" y="4605337"/>
              <a:ext cx="198120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</a:rPr>
                      <m:t>FE</m:t>
                    </m:r>
                    <m:r>
                      <a:rPr lang="pt-BR" sz="1100" b="0" i="0">
                        <a:latin typeface="Cambria Math" panose="02040503050406030204" pitchFamily="18" charset="0"/>
                      </a:rPr>
                      <m:t> .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BR" sz="1100" b="0" i="0">
                            <a:latin typeface="Cambria Math" panose="02040503050406030204" pitchFamily="18" charset="0"/>
                          </a:rPr>
                          <m:t>DMT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pt-BR" sz="1100" b="0" i="0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m:rPr>
                            <m:sty m:val="p"/>
                          </m:rPr>
                          <a:rPr lang="pt-BR" sz="1100" b="0" i="0">
                            <a:latin typeface="Cambria Math" panose="02040503050406030204" pitchFamily="18" charset="0"/>
                          </a:rPr>
                          <m:t>ER</m:t>
                        </m:r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/100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771651" y="4605337"/>
              <a:ext cx="198120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𝑇𝐸=FE .DMT/〖10〗^3   . (1−ER1/100)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533401</xdr:colOff>
      <xdr:row>9</xdr:row>
      <xdr:rowOff>119062</xdr:rowOff>
    </xdr:from>
    <xdr:ext cx="24003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895601" y="1643062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𝑃𝑀</m:t>
                      </m:r>
                    </m:sub>
                  </m:sSub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2,6×</m:t>
                      </m:r>
                      <m:f>
                        <m:fPr>
                          <m:type m:val="lin"/>
                          <m:ctrlPr>
                            <a:rPr lang="pt-BR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e>
                              </m:d>
                            </m:e>
                            <m:sup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1,2</m:t>
                              </m:r>
                            </m:sup>
                          </m:sSup>
                        </m:num>
                        <m:den>
                          <m:sSup>
                            <m:sSupPr>
                              <m:ctrlP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𝑀</m:t>
                                  </m:r>
                                </m:e>
                              </m:d>
                            </m:e>
                            <m:sup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1,3</m:t>
                              </m:r>
                            </m:sup>
                          </m:sSup>
                        </m:den>
                      </m:f>
                    </m:e>
                  </m:d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</m:oMath>
              </a14:m>
              <a:r>
                <a:rPr lang="pt-BR" sz="1100"/>
                <a:t> Ht</a:t>
              </a: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2895601" y="1643062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𝐸_𝑃𝑀=(2,6×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(𝑠)^1,2∕(𝑀)^1,3 )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pt-BR" sz="1100"/>
                <a:t> Ht</a:t>
              </a:r>
            </a:p>
          </xdr:txBody>
        </xdr:sp>
      </mc:Fallback>
    </mc:AlternateContent>
    <xdr:clientData/>
  </xdr:oneCellAnchor>
  <xdr:oneCellAnchor>
    <xdr:from>
      <xdr:col>2</xdr:col>
      <xdr:colOff>333375</xdr:colOff>
      <xdr:row>11</xdr:row>
      <xdr:rowOff>95250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695575" y="20002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=0,75×0,45×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1,5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×</m:t>
                    </m:r>
                    <m:r>
                      <m:rPr>
                        <m:nor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Ht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2695575" y="20002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0" i="0">
                  <a:latin typeface="Cambria Math" panose="02040503050406030204" pitchFamily="18" charset="0"/>
                </a:rPr>
                <a:t>𝐸=0,75×0,45×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(𝑠)^1,5∕(𝑀)^1,4  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Ht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200025</xdr:colOff>
      <xdr:row>13</xdr:row>
      <xdr:rowOff>95250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181350" y="23812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𝐸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=0,105×</m:t>
                  </m:r>
                  <m:sSub>
                    <m:sSubPr>
                      <m:ctrlPr>
                        <a:rPr lang="pt-B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pt-B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𝑃𝑀</m:t>
                      </m:r>
                    </m:sub>
                  </m:sSub>
                </m:oMath>
              </a14:m>
              <a:r>
                <a:rPr lang="pt-BR" sz="1100"/>
                <a:t> </a:t>
              </a:r>
              <a14:m>
                <m:oMath xmlns:m="http://schemas.openxmlformats.org/officeDocument/2006/math"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r>
                    <m:rPr>
                      <m:nor/>
                    </m:rPr>
                    <a:rPr lang="pt-BR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t-B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Ht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3181350" y="238125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𝐸=0,105×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𝐸_𝑃𝑀</a:t>
              </a:r>
              <a:r>
                <a:rPr lang="pt-BR" sz="1100"/>
                <a:t>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Ht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10</xdr:row>
      <xdr:rowOff>184871</xdr:rowOff>
    </xdr:from>
    <xdr:ext cx="3222914" cy="66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634836" y="2089871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0,0016</m:t>
                            </m:r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2,2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1,4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634836" y="2089871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𝑘(0,0016)  (𝑈/2,2)^1,3/(𝑀/2)^1,4 )</a:t>
              </a:r>
              <a:r>
                <a:rPr lang="pt-BR" sz="1100" b="0" i="0">
                  <a:latin typeface="Cambria Math" panose="02040503050406030204" pitchFamily="18" charset="0"/>
                </a:rPr>
                <a:t>. 𝑄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20" sqref="C20"/>
    </sheetView>
  </sheetViews>
  <sheetFormatPr defaultRowHeight="15" x14ac:dyDescent="0.25"/>
  <cols>
    <col min="1" max="1" width="14.140625" customWidth="1"/>
    <col min="2" max="2" width="19.140625" customWidth="1"/>
    <col min="3" max="4" width="20.42578125" customWidth="1"/>
  </cols>
  <sheetData>
    <row r="1" spans="1:4" x14ac:dyDescent="0.25">
      <c r="A1" s="2" t="s">
        <v>272</v>
      </c>
    </row>
    <row r="2" spans="1:4" x14ac:dyDescent="0.25">
      <c r="A2" s="119" t="s">
        <v>254</v>
      </c>
      <c r="B2" s="120"/>
      <c r="C2" s="120"/>
      <c r="D2" s="120"/>
    </row>
    <row r="3" spans="1:4" x14ac:dyDescent="0.25">
      <c r="A3" s="94" t="s">
        <v>247</v>
      </c>
      <c r="B3" s="94" t="s">
        <v>248</v>
      </c>
      <c r="C3" s="94" t="s">
        <v>255</v>
      </c>
      <c r="D3" s="94" t="s">
        <v>252</v>
      </c>
    </row>
    <row r="4" spans="1:4" x14ac:dyDescent="0.25">
      <c r="A4" s="118" t="s">
        <v>243</v>
      </c>
      <c r="B4" s="2" t="s">
        <v>249</v>
      </c>
      <c r="C4" s="91">
        <v>631</v>
      </c>
      <c r="D4" s="91" t="s">
        <v>253</v>
      </c>
    </row>
    <row r="5" spans="1:4" x14ac:dyDescent="0.25">
      <c r="A5" s="118"/>
      <c r="B5" s="2" t="s">
        <v>250</v>
      </c>
      <c r="C5" s="91">
        <v>737</v>
      </c>
      <c r="D5" s="91" t="s">
        <v>253</v>
      </c>
    </row>
    <row r="6" spans="1:4" x14ac:dyDescent="0.25">
      <c r="A6" s="118"/>
      <c r="B6" s="2" t="s">
        <v>251</v>
      </c>
      <c r="C6" s="91">
        <v>238</v>
      </c>
      <c r="D6" s="91" t="s">
        <v>253</v>
      </c>
    </row>
  </sheetData>
  <sheetProtection algorithmName="SHA-512" hashValue="OzzYplti1ChwYwCh3P2yIKnK5Q16SHDuPokDlZaERzb1619pl1gd1B4VyX0+7m9JUuYR/nrB8GuLjRsVxX4Rkg==" saltValue="FmfQ/fkKQyQ/bR1j6OL2LA==" spinCount="100000" sheet="1" objects="1" scenarios="1"/>
  <mergeCells count="2">
    <mergeCell ref="A4:A6"/>
    <mergeCell ref="A2:D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workbookViewId="0">
      <selection activeCell="J30" sqref="J30"/>
    </sheetView>
  </sheetViews>
  <sheetFormatPr defaultRowHeight="15" x14ac:dyDescent="0.25"/>
  <cols>
    <col min="1" max="1" width="19.7109375" bestFit="1" customWidth="1"/>
    <col min="2" max="3" width="11.7109375" customWidth="1"/>
    <col min="5" max="5" width="15.140625" customWidth="1"/>
    <col min="6" max="6" width="20.140625" customWidth="1"/>
  </cols>
  <sheetData>
    <row r="1" spans="1:12" x14ac:dyDescent="0.25">
      <c r="A1" s="12" t="s">
        <v>98</v>
      </c>
      <c r="B1" s="69">
        <v>4.1937865160171146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85"/>
      <c r="B2" s="69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2" t="s">
        <v>262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" customHeight="1" x14ac:dyDescent="0.25">
      <c r="A4" s="195" t="s">
        <v>91</v>
      </c>
      <c r="B4" s="184" t="s">
        <v>171</v>
      </c>
      <c r="C4" s="184" t="s">
        <v>172</v>
      </c>
      <c r="D4" s="195" t="s">
        <v>137</v>
      </c>
      <c r="E4" s="197" t="s">
        <v>92</v>
      </c>
      <c r="F4" s="197" t="s">
        <v>93</v>
      </c>
      <c r="G4" s="195" t="s">
        <v>94</v>
      </c>
      <c r="H4" s="195"/>
      <c r="I4" s="195"/>
      <c r="J4" s="195" t="s">
        <v>10</v>
      </c>
      <c r="K4" s="195"/>
      <c r="L4" s="195"/>
    </row>
    <row r="5" spans="1:12" x14ac:dyDescent="0.25">
      <c r="A5" s="195"/>
      <c r="B5" s="184"/>
      <c r="C5" s="184"/>
      <c r="D5" s="195"/>
      <c r="E5" s="197"/>
      <c r="F5" s="197"/>
      <c r="G5" s="97" t="s">
        <v>95</v>
      </c>
      <c r="H5" s="97" t="s">
        <v>96</v>
      </c>
      <c r="I5" s="97" t="s">
        <v>97</v>
      </c>
      <c r="J5" s="97" t="s">
        <v>95</v>
      </c>
      <c r="K5" s="97" t="s">
        <v>96</v>
      </c>
      <c r="L5" s="97" t="s">
        <v>97</v>
      </c>
    </row>
    <row r="6" spans="1:12" x14ac:dyDescent="0.25">
      <c r="A6" s="2" t="s">
        <v>131</v>
      </c>
      <c r="B6" s="52">
        <v>-20.459216999999999</v>
      </c>
      <c r="C6" s="21">
        <v>-40.389803999999998</v>
      </c>
      <c r="D6" s="21" t="s">
        <v>164</v>
      </c>
      <c r="E6" s="73">
        <f>((Dados!$B$9*'FE-Transferências'!$N$3)/1000)/8760</f>
        <v>5.4143835616438354</v>
      </c>
      <c r="F6" s="91">
        <f>'FE-Transferências'!$K$9</f>
        <v>10</v>
      </c>
      <c r="G6" s="21">
        <f>'FE-Transferências'!$B$3*0.0016*(($B$1/2.2)^1.3)/(($F$6/2)^1.4)</f>
        <v>2.8776132594540281E-4</v>
      </c>
      <c r="H6" s="21">
        <f>'FE-Transferências'!$C$3*0.0016*(($B$1/2.2)^1.3)/(($F$6/2)^1.4)</f>
        <v>1.3610332983904184E-4</v>
      </c>
      <c r="I6" s="21">
        <f>'FE-Transferências'!$D$3*0.0016*(($B$1/2.2)^1.3)/(($F$6/2)^1.4)</f>
        <v>2.0609932804197768E-5</v>
      </c>
      <c r="J6" s="7">
        <f>$E$6*$G$6</f>
        <v>1.5580501928756227E-3</v>
      </c>
      <c r="K6" s="7">
        <f>$E$6*$H$6</f>
        <v>7.3691563176549711E-4</v>
      </c>
      <c r="L6" s="7">
        <f>$E$6*$I$6</f>
        <v>1.1159008138163242E-4</v>
      </c>
    </row>
    <row r="7" spans="1:12" x14ac:dyDescent="0.25">
      <c r="A7" s="2" t="s">
        <v>132</v>
      </c>
      <c r="B7" s="52">
        <v>-20.459216999999999</v>
      </c>
      <c r="C7" s="21">
        <v>-40.389803999999998</v>
      </c>
      <c r="D7" s="21" t="s">
        <v>164</v>
      </c>
      <c r="E7" s="73">
        <f>((Dados!$B$9*'FE-Transferências'!$N$3)/1000)/8760</f>
        <v>5.4143835616438354</v>
      </c>
      <c r="F7" s="91">
        <f>'FE-Transferências'!$K$9</f>
        <v>10</v>
      </c>
      <c r="G7" s="21">
        <f>'FE-Transferências'!$B$3*0.0016*(($B$1/2.2)^1.3)/(($F$7/2)^1.4)</f>
        <v>2.8776132594540281E-4</v>
      </c>
      <c r="H7" s="21">
        <f>'FE-Transferências'!$C$3*0.0016*(($B$1/2.2)^1.3)/(($F$7/2)^1.4)</f>
        <v>1.3610332983904184E-4</v>
      </c>
      <c r="I7" s="21">
        <f>'FE-Transferências'!$D$3*0.0016*(($B$1/2.2)^1.3)/(($F$7/2)^1.4)</f>
        <v>2.0609932804197768E-5</v>
      </c>
      <c r="J7" s="7">
        <f>$E$7*$G$7</f>
        <v>1.5580501928756227E-3</v>
      </c>
      <c r="K7" s="7">
        <f>$E$7*$H$7</f>
        <v>7.3691563176549711E-4</v>
      </c>
      <c r="L7" s="7">
        <f>$E$7*$I$7</f>
        <v>1.1159008138163242E-4</v>
      </c>
    </row>
    <row r="8" spans="1:12" x14ac:dyDescent="0.25">
      <c r="A8" s="12" t="s">
        <v>133</v>
      </c>
      <c r="B8" s="114">
        <v>-20.459216999999999</v>
      </c>
      <c r="C8" s="27">
        <v>-40.389803999999998</v>
      </c>
      <c r="D8" s="27" t="s">
        <v>164</v>
      </c>
      <c r="E8" s="115">
        <f>((Dados!$B$9*'FE-Transferências'!$N$3)/1000)/8760</f>
        <v>5.4143835616438354</v>
      </c>
      <c r="F8" s="27">
        <f>'FE-Transferências'!$K$9</f>
        <v>10</v>
      </c>
      <c r="G8" s="27">
        <f>'FE-Transferências'!$B$3*0.0016*(($B$1/2.2)^1.3)/(($F$8/2)^1.4)</f>
        <v>2.8776132594540281E-4</v>
      </c>
      <c r="H8" s="27">
        <f>'FE-Transferências'!$C$3*0.0016*(($B$1/2.2)^1.3)/(($F$8/2)^1.4)</f>
        <v>1.3610332983904184E-4</v>
      </c>
      <c r="I8" s="27">
        <f>'FE-Transferências'!$D$3*0.0016*(($B$1/2.2)^1.3)/(($F$8/2)^1.4)</f>
        <v>2.0609932804197768E-5</v>
      </c>
      <c r="J8" s="116">
        <f>$E$8*$G$8</f>
        <v>1.5580501928756227E-3</v>
      </c>
      <c r="K8" s="116">
        <f>$E$8*$H$8</f>
        <v>7.3691563176549711E-4</v>
      </c>
      <c r="L8" s="116">
        <f>$E$8*$I$8</f>
        <v>1.1159008138163242E-4</v>
      </c>
    </row>
    <row r="9" spans="1:12" s="54" customFormat="1" x14ac:dyDescent="0.25">
      <c r="A9" s="209" t="s">
        <v>216</v>
      </c>
      <c r="B9" s="209"/>
      <c r="C9" s="209"/>
      <c r="D9" s="209"/>
      <c r="E9" s="209"/>
      <c r="F9" s="209"/>
      <c r="G9" s="209"/>
      <c r="H9" s="209"/>
      <c r="I9" s="209"/>
      <c r="J9" s="111">
        <f>SUM('Emissão Escavação'!K7,J6:J8)</f>
        <v>0.65731107657905197</v>
      </c>
      <c r="K9" s="111">
        <f>SUM('Emissão Escavação'!L7,K6:K8)</f>
        <v>0.11740145465845495</v>
      </c>
      <c r="L9" s="111">
        <f>SUM('Emissão Escavação'!M7,L6:L8)</f>
        <v>6.8861647474189547E-2</v>
      </c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08" t="s">
        <v>18</v>
      </c>
      <c r="B11" s="163"/>
      <c r="C11" s="163"/>
      <c r="D11" s="163"/>
      <c r="E11" s="163"/>
      <c r="F11" s="163"/>
      <c r="G11" s="2"/>
      <c r="H11" s="2"/>
      <c r="I11" s="2"/>
      <c r="J11" s="2"/>
      <c r="K11" s="2"/>
      <c r="L11" s="2"/>
    </row>
    <row r="12" spans="1:12" x14ac:dyDescent="0.25">
      <c r="A12" s="208"/>
      <c r="B12" s="163"/>
      <c r="C12" s="163"/>
      <c r="D12" s="163"/>
      <c r="E12" s="163"/>
      <c r="F12" s="163"/>
      <c r="G12" s="2"/>
      <c r="H12" s="2"/>
      <c r="I12" s="2"/>
      <c r="J12" s="2"/>
      <c r="K12" s="2"/>
      <c r="L12" s="2"/>
    </row>
    <row r="13" spans="1:12" x14ac:dyDescent="0.25">
      <c r="A13" s="208"/>
      <c r="B13" s="163"/>
      <c r="C13" s="163"/>
      <c r="D13" s="163"/>
      <c r="E13" s="163"/>
      <c r="F13" s="163"/>
      <c r="G13" s="2"/>
      <c r="H13" s="2"/>
      <c r="I13" s="2"/>
      <c r="J13" s="2"/>
      <c r="K13" s="2"/>
      <c r="L13" s="2"/>
    </row>
    <row r="14" spans="1:12" x14ac:dyDescent="0.25">
      <c r="A14" s="208"/>
      <c r="B14" s="163"/>
      <c r="C14" s="163"/>
      <c r="D14" s="163"/>
      <c r="E14" s="163"/>
      <c r="F14" s="163"/>
      <c r="G14" s="2"/>
      <c r="H14" s="2"/>
      <c r="I14" s="2"/>
      <c r="J14" s="2"/>
      <c r="K14" s="2"/>
      <c r="L14" s="2"/>
    </row>
    <row r="15" spans="1:12" x14ac:dyDescent="0.25">
      <c r="A15" s="208"/>
      <c r="B15" s="163"/>
      <c r="C15" s="163"/>
      <c r="D15" s="163"/>
      <c r="E15" s="163"/>
      <c r="F15" s="163"/>
      <c r="G15" s="2"/>
      <c r="H15" s="2"/>
      <c r="I15" s="2"/>
      <c r="J15" s="2"/>
      <c r="K15" s="2"/>
      <c r="L15" s="2"/>
    </row>
    <row r="16" spans="1:12" ht="15" customHeight="1" x14ac:dyDescent="0.25">
      <c r="A16" s="208"/>
      <c r="B16" s="210" t="s">
        <v>222</v>
      </c>
      <c r="C16" s="210"/>
      <c r="D16" s="210"/>
      <c r="E16" s="210"/>
      <c r="F16" s="210"/>
      <c r="G16" s="6"/>
      <c r="H16" s="6"/>
      <c r="I16" s="6"/>
      <c r="J16" s="6"/>
      <c r="K16" s="6"/>
      <c r="L16" s="6"/>
    </row>
    <row r="17" spans="1:12" x14ac:dyDescent="0.25">
      <c r="A17" s="208"/>
      <c r="B17" s="210"/>
      <c r="C17" s="210"/>
      <c r="D17" s="210"/>
      <c r="E17" s="210"/>
      <c r="F17" s="210"/>
      <c r="G17" s="6"/>
      <c r="H17" s="6"/>
      <c r="I17" s="6"/>
      <c r="J17" s="6"/>
      <c r="K17" s="6"/>
      <c r="L17" s="6"/>
    </row>
    <row r="18" spans="1:12" x14ac:dyDescent="0.25">
      <c r="A18" s="208"/>
      <c r="B18" s="210"/>
      <c r="C18" s="210"/>
      <c r="D18" s="210"/>
      <c r="E18" s="210"/>
      <c r="F18" s="210"/>
      <c r="G18" s="6"/>
      <c r="H18" s="6"/>
      <c r="I18" s="6"/>
      <c r="J18" s="6"/>
      <c r="K18" s="6"/>
      <c r="L18" s="6"/>
    </row>
    <row r="19" spans="1:12" x14ac:dyDescent="0.25">
      <c r="A19" s="208"/>
      <c r="B19" s="210"/>
      <c r="C19" s="210"/>
      <c r="D19" s="210"/>
      <c r="E19" s="210"/>
      <c r="F19" s="210"/>
      <c r="G19" s="6"/>
      <c r="H19" s="6"/>
      <c r="I19" s="6"/>
      <c r="J19" s="6"/>
      <c r="K19" s="6"/>
      <c r="L19" s="6"/>
    </row>
    <row r="20" spans="1:12" x14ac:dyDescent="0.25">
      <c r="A20" s="208"/>
      <c r="B20" s="210"/>
      <c r="C20" s="210"/>
      <c r="D20" s="210"/>
      <c r="E20" s="210"/>
      <c r="F20" s="210"/>
      <c r="G20" s="6"/>
      <c r="H20" s="6"/>
      <c r="I20" s="6"/>
      <c r="J20" s="6"/>
      <c r="K20" s="6"/>
      <c r="L20" s="6"/>
    </row>
    <row r="21" spans="1:12" x14ac:dyDescent="0.25">
      <c r="A21" s="208"/>
      <c r="B21" s="210"/>
      <c r="C21" s="210"/>
      <c r="D21" s="210"/>
      <c r="E21" s="210"/>
      <c r="F21" s="210"/>
      <c r="G21" s="6"/>
      <c r="H21" s="6"/>
      <c r="I21" s="6"/>
      <c r="J21" s="6"/>
      <c r="K21" s="6"/>
      <c r="L21" s="6"/>
    </row>
  </sheetData>
  <sheetProtection algorithmName="SHA-512" hashValue="5nffCFYD7JqSEe6ncY0n2R7EN+JAWj8slr45wDEl3z1Zm3TQ39d5lQyMFnM7SgTYuELG+E0d6ZsAJVM9IVqaVQ==" saltValue="A5s3iHSj0un8ICSmpmGyeQ==" spinCount="100000" sheet="1" objects="1" scenarios="1"/>
  <mergeCells count="12">
    <mergeCell ref="J4:L4"/>
    <mergeCell ref="A4:A5"/>
    <mergeCell ref="E4:E5"/>
    <mergeCell ref="F4:F5"/>
    <mergeCell ref="D4:D5"/>
    <mergeCell ref="B4:B5"/>
    <mergeCell ref="C4:C5"/>
    <mergeCell ref="A11:A21"/>
    <mergeCell ref="A9:I9"/>
    <mergeCell ref="G4:I4"/>
    <mergeCell ref="B16:F21"/>
    <mergeCell ref="B11:F1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25" sqref="I25"/>
    </sheetView>
  </sheetViews>
  <sheetFormatPr defaultRowHeight="15" customHeight="1" x14ac:dyDescent="0.2"/>
  <cols>
    <col min="1" max="1" width="29.7109375" style="1" customWidth="1"/>
    <col min="2" max="2" width="10.7109375" style="1" customWidth="1"/>
    <col min="3" max="3" width="13" style="1" customWidth="1"/>
    <col min="4" max="4" width="12.28515625" style="1" customWidth="1"/>
    <col min="5" max="5" width="12.85546875" style="1" customWidth="1"/>
    <col min="6" max="7" width="10.7109375" style="1" customWidth="1"/>
    <col min="8" max="16384" width="9.140625" style="1"/>
  </cols>
  <sheetData>
    <row r="1" spans="1:7" ht="23.25" customHeight="1" x14ac:dyDescent="0.2">
      <c r="A1" s="184" t="s">
        <v>91</v>
      </c>
      <c r="B1" s="184" t="s">
        <v>171</v>
      </c>
      <c r="C1" s="184" t="s">
        <v>172</v>
      </c>
      <c r="D1" s="184" t="s">
        <v>223</v>
      </c>
      <c r="E1" s="184"/>
      <c r="F1" s="184" t="s">
        <v>242</v>
      </c>
      <c r="G1" s="184"/>
    </row>
    <row r="2" spans="1:7" ht="15" customHeight="1" x14ac:dyDescent="0.2">
      <c r="A2" s="184"/>
      <c r="B2" s="184"/>
      <c r="C2" s="184"/>
      <c r="D2" s="98" t="s">
        <v>14</v>
      </c>
      <c r="E2" s="98" t="s">
        <v>271</v>
      </c>
      <c r="F2" s="98" t="s">
        <v>14</v>
      </c>
      <c r="G2" s="98" t="s">
        <v>271</v>
      </c>
    </row>
    <row r="3" spans="1:7" ht="15" customHeight="1" x14ac:dyDescent="0.2">
      <c r="A3" s="3" t="s">
        <v>261</v>
      </c>
      <c r="B3" s="21">
        <v>-20.456751000000001</v>
      </c>
      <c r="C3" s="21">
        <v>-40.390022000000002</v>
      </c>
      <c r="D3" s="15">
        <v>5.3564618644910338</v>
      </c>
      <c r="E3" s="15">
        <v>44.258242519031015</v>
      </c>
      <c r="F3" s="15">
        <f>(D$3*1000*0.35)/(365*24)</f>
        <v>0.21401388727989287</v>
      </c>
      <c r="G3" s="15">
        <f>(E$3*1000*0.35)/(365*24)</f>
        <v>1.7683087764453032</v>
      </c>
    </row>
    <row r="4" spans="1:7" ht="15" customHeight="1" x14ac:dyDescent="0.2">
      <c r="A4" s="120" t="s">
        <v>216</v>
      </c>
      <c r="B4" s="120"/>
      <c r="C4" s="120"/>
      <c r="D4" s="120"/>
      <c r="E4" s="120"/>
      <c r="F4" s="111">
        <f>F3</f>
        <v>0.21401388727989287</v>
      </c>
      <c r="G4" s="111">
        <f>G3</f>
        <v>1.7683087764453032</v>
      </c>
    </row>
    <row r="5" spans="1:7" ht="15" customHeight="1" x14ac:dyDescent="0.2">
      <c r="A5" s="3" t="s">
        <v>231</v>
      </c>
      <c r="B5" s="2"/>
      <c r="C5" s="2"/>
      <c r="D5" s="2"/>
      <c r="E5" s="2"/>
      <c r="F5" s="2"/>
      <c r="G5" s="2"/>
    </row>
    <row r="6" spans="1:7" ht="15" customHeight="1" x14ac:dyDescent="0.2">
      <c r="A6" s="75"/>
      <c r="B6" s="2"/>
      <c r="C6" s="2"/>
      <c r="D6" s="2"/>
      <c r="E6" s="2"/>
      <c r="F6" s="2"/>
      <c r="G6" s="2"/>
    </row>
  </sheetData>
  <sheetProtection algorithmName="SHA-512" hashValue="VXfk4dm7dtaI0LDgw8eOq74kSxzolyQD6NsKhI/EIwgCyFCydU9rNboKEhQ0Pf61WnahkaTN/eM2QS09PeRcsQ==" saltValue="iji4p0UGZwrt3w5vyMO+sg==" spinCount="100000" sheet="1" objects="1" scenarios="1"/>
  <mergeCells count="6">
    <mergeCell ref="A4:E4"/>
    <mergeCell ref="A1:A2"/>
    <mergeCell ref="D1:E1"/>
    <mergeCell ref="F1:G1"/>
    <mergeCell ref="B1:B2"/>
    <mergeCell ref="C1:C2"/>
  </mergeCells>
  <dataValidations disablePrompts="1" count="1">
    <dataValidation type="decimal" operator="greaterThanOrEqual" allowBlank="1" showInputMessage="1" showErrorMessage="1" errorTitle="Invalid Waste Acceptance Rate" error="Pleate enter a Wate Acceptance Rate with a positive value." sqref="A7:A8">
      <formula1>0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"/>
  <sheetViews>
    <sheetView workbookViewId="0">
      <selection activeCell="F28" sqref="F28"/>
    </sheetView>
  </sheetViews>
  <sheetFormatPr defaultRowHeight="15" customHeight="1" x14ac:dyDescent="0.2"/>
  <cols>
    <col min="1" max="1" width="29.7109375" style="1" customWidth="1"/>
    <col min="2" max="2" width="10.7109375" style="1" customWidth="1"/>
    <col min="3" max="3" width="12.5703125" style="1" customWidth="1"/>
    <col min="4" max="4" width="12.28515625" style="1" customWidth="1"/>
    <col min="5" max="5" width="12.85546875" style="1" customWidth="1"/>
    <col min="6" max="7" width="10.7109375" style="1" customWidth="1"/>
    <col min="8" max="16384" width="9.140625" style="1"/>
  </cols>
  <sheetData>
    <row r="1" spans="1:13" ht="15" customHeight="1" x14ac:dyDescent="0.2">
      <c r="A1" s="2" t="s">
        <v>262</v>
      </c>
    </row>
    <row r="2" spans="1:13" ht="15" customHeight="1" x14ac:dyDescent="0.2">
      <c r="A2" s="184" t="s">
        <v>91</v>
      </c>
      <c r="B2" s="184" t="s">
        <v>171</v>
      </c>
      <c r="C2" s="184" t="s">
        <v>172</v>
      </c>
      <c r="D2" s="184" t="s">
        <v>259</v>
      </c>
      <c r="E2" s="184" t="s">
        <v>244</v>
      </c>
      <c r="F2" s="184"/>
      <c r="G2" s="184"/>
      <c r="H2" s="184" t="s">
        <v>10</v>
      </c>
      <c r="I2" s="184"/>
      <c r="J2" s="184"/>
      <c r="K2" s="184"/>
      <c r="L2" s="184"/>
      <c r="M2" s="184"/>
    </row>
    <row r="3" spans="1:13" ht="15" customHeight="1" x14ac:dyDescent="0.2">
      <c r="A3" s="184"/>
      <c r="B3" s="184"/>
      <c r="C3" s="184"/>
      <c r="D3" s="184"/>
      <c r="E3" s="98" t="s">
        <v>11</v>
      </c>
      <c r="F3" s="98" t="s">
        <v>245</v>
      </c>
      <c r="G3" s="98" t="s">
        <v>14</v>
      </c>
      <c r="H3" s="98" t="s">
        <v>11</v>
      </c>
      <c r="I3" s="97" t="s">
        <v>96</v>
      </c>
      <c r="J3" s="97" t="s">
        <v>97</v>
      </c>
      <c r="K3" s="98" t="s">
        <v>245</v>
      </c>
      <c r="L3" s="98" t="s">
        <v>14</v>
      </c>
      <c r="M3" s="98" t="s">
        <v>271</v>
      </c>
    </row>
    <row r="4" spans="1:13" ht="15" customHeight="1" x14ac:dyDescent="0.2">
      <c r="A4" s="2" t="s">
        <v>243</v>
      </c>
      <c r="B4" s="21">
        <v>-20.459161000000002</v>
      </c>
      <c r="C4" s="21">
        <v>-40.387509000000001</v>
      </c>
      <c r="D4" s="84">
        <f>Dados!B18</f>
        <v>1334.75</v>
      </c>
      <c r="E4" s="21">
        <f>'FE-Solid Waste'!C6</f>
        <v>238</v>
      </c>
      <c r="F4" s="21">
        <f>'FE-Solid Waste'!C4</f>
        <v>631</v>
      </c>
      <c r="G4" s="21">
        <f>'FE-Solid Waste'!C5</f>
        <v>737</v>
      </c>
      <c r="H4" s="15">
        <f>$D$4*(E4/10^6)</f>
        <v>0.31767050000000002</v>
      </c>
      <c r="I4" s="15">
        <f>H4</f>
        <v>0.31767050000000002</v>
      </c>
      <c r="J4" s="15">
        <f>H4</f>
        <v>0.31767050000000002</v>
      </c>
      <c r="K4" s="15">
        <f>$D$4*(F4/10^6)</f>
        <v>0.84222725000000009</v>
      </c>
      <c r="L4" s="15">
        <f>$D$4*(G4/10^6)</f>
        <v>0.98371075000000008</v>
      </c>
      <c r="M4" s="15">
        <f>('Emissão Aterro'!E3*0.65*1000/(365*24))*(1-86/100)</f>
        <v>0.45976028187577883</v>
      </c>
    </row>
    <row r="5" spans="1:13" ht="15" customHeight="1" x14ac:dyDescent="0.2">
      <c r="A5" s="120" t="s">
        <v>216</v>
      </c>
      <c r="B5" s="120"/>
      <c r="C5" s="120"/>
      <c r="D5" s="120"/>
      <c r="E5" s="120"/>
      <c r="F5" s="120"/>
      <c r="G5" s="120"/>
      <c r="H5" s="111">
        <f>H4</f>
        <v>0.31767050000000002</v>
      </c>
      <c r="I5" s="111">
        <f t="shared" ref="I5:K5" si="0">I4</f>
        <v>0.31767050000000002</v>
      </c>
      <c r="J5" s="111">
        <f t="shared" si="0"/>
        <v>0.31767050000000002</v>
      </c>
      <c r="K5" s="111">
        <f t="shared" si="0"/>
        <v>0.84222725000000009</v>
      </c>
      <c r="L5" s="111">
        <f>L4</f>
        <v>0.98371075000000008</v>
      </c>
      <c r="M5" s="111">
        <f>M4</f>
        <v>0.45976028187577883</v>
      </c>
    </row>
    <row r="6" spans="1:13" ht="15" customHeight="1" x14ac:dyDescent="0.2">
      <c r="A6" s="3" t="s">
        <v>260</v>
      </c>
    </row>
    <row r="7" spans="1:13" ht="15" customHeight="1" x14ac:dyDescent="0.2">
      <c r="B7" s="55"/>
      <c r="C7" s="55"/>
    </row>
  </sheetData>
  <sheetProtection algorithmName="SHA-512" hashValue="odAErK76G/S5dGsiVYeU2Q0Hta5MBVB5ggm7WQHr37++Deo1TBZWmvbUZYaaATaHN0nu57NcHtarSN4+yO9BAA==" saltValue="y99SinmgJMomBqeZ0R2WQQ==" spinCount="100000" sheet="1" objects="1" scenarios="1"/>
  <mergeCells count="7">
    <mergeCell ref="H2:M2"/>
    <mergeCell ref="A5:G5"/>
    <mergeCell ref="A2:A3"/>
    <mergeCell ref="D2:D3"/>
    <mergeCell ref="E2:G2"/>
    <mergeCell ref="B2:B3"/>
    <mergeCell ref="C2:C3"/>
  </mergeCells>
  <dataValidations disablePrompts="1" count="1">
    <dataValidation type="decimal" operator="greaterThanOrEqual" allowBlank="1" showInputMessage="1" showErrorMessage="1" errorTitle="Invalid Waste Acceptance Rate" error="Pleate enter a Wate Acceptance Rate with a positive value." sqref="A8:A9">
      <formula1>0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7" sqref="J7"/>
    </sheetView>
  </sheetViews>
  <sheetFormatPr defaultColWidth="10.7109375" defaultRowHeight="15" customHeight="1" x14ac:dyDescent="0.2"/>
  <cols>
    <col min="1" max="1" width="19.140625" style="1" bestFit="1" customWidth="1"/>
    <col min="2" max="16384" width="10.7109375" style="1"/>
  </cols>
  <sheetData>
    <row r="1" spans="1:8" ht="15" customHeight="1" x14ac:dyDescent="0.2">
      <c r="A1" s="195" t="s">
        <v>226</v>
      </c>
      <c r="B1" s="195" t="s">
        <v>10</v>
      </c>
      <c r="C1" s="195"/>
      <c r="D1" s="195"/>
      <c r="E1" s="195"/>
      <c r="F1" s="195"/>
      <c r="G1" s="195"/>
      <c r="H1" s="195"/>
    </row>
    <row r="2" spans="1:8" ht="15" customHeight="1" x14ac:dyDescent="0.2">
      <c r="A2" s="195"/>
      <c r="B2" s="98" t="s">
        <v>11</v>
      </c>
      <c r="C2" s="98" t="s">
        <v>77</v>
      </c>
      <c r="D2" s="98" t="s">
        <v>227</v>
      </c>
      <c r="E2" s="97" t="s">
        <v>13</v>
      </c>
      <c r="F2" s="97" t="s">
        <v>12</v>
      </c>
      <c r="G2" s="97" t="s">
        <v>14</v>
      </c>
      <c r="H2" s="97" t="s">
        <v>271</v>
      </c>
    </row>
    <row r="3" spans="1:8" ht="15" customHeight="1" x14ac:dyDescent="0.2">
      <c r="A3" s="2" t="s">
        <v>177</v>
      </c>
      <c r="B3" s="15">
        <f>'Emissão Maq e Equip'!P$11</f>
        <v>9.0831576537223541E-2</v>
      </c>
      <c r="C3" s="15">
        <f>'Emissão Maq e Equip'!Q$11</f>
        <v>9.0831576537223541E-2</v>
      </c>
      <c r="D3" s="15">
        <f>'Emissão Maq e Equip'!R$11</f>
        <v>9.0831576537223541E-2</v>
      </c>
      <c r="E3" s="15">
        <f>'Emissão Maq e Equip'!S$11</f>
        <v>1.3120751923177256</v>
      </c>
      <c r="F3" s="15">
        <f>'Emissão Maq e Equip'!T$11</f>
        <v>0.11789506098244505</v>
      </c>
      <c r="G3" s="15">
        <f>'Emissão Maq e Equip'!U$11</f>
        <v>0.66259438678878757</v>
      </c>
      <c r="H3" s="15">
        <f>'Emissão Maq e Equip'!V$11</f>
        <v>0.19910573835886913</v>
      </c>
    </row>
    <row r="4" spans="1:8" ht="15" customHeight="1" x14ac:dyDescent="0.2">
      <c r="A4" s="2" t="s">
        <v>228</v>
      </c>
      <c r="B4" s="15">
        <f>'Emissão Vias'!T$8</f>
        <v>8.3731149561610181</v>
      </c>
      <c r="C4" s="15">
        <f>'Emissão Vias'!U$8</f>
        <v>2.2622877527004563</v>
      </c>
      <c r="D4" s="15">
        <f>'Emissão Vias'!V$8</f>
        <v>0.22857730932081366</v>
      </c>
      <c r="E4" s="15">
        <f>'Emissão Vias'!W$8</f>
        <v>8.1082949726541023E-2</v>
      </c>
      <c r="F4" s="88">
        <f>'Emissão Vias'!X$8</f>
        <v>3.1379945810409418E-3</v>
      </c>
      <c r="G4" s="88">
        <f>'Emissão Vias'!Y$8</f>
        <v>1.5492525271956836E-2</v>
      </c>
      <c r="H4" s="88">
        <f>'Emissão Vias'!Z$8</f>
        <v>3.6951380240544322E-3</v>
      </c>
    </row>
    <row r="5" spans="1:8" ht="15" customHeight="1" x14ac:dyDescent="0.2">
      <c r="A5" s="2" t="s">
        <v>130</v>
      </c>
      <c r="B5" s="15">
        <f>'Emissão Escavação'!K$8</f>
        <v>0.65263692600042522</v>
      </c>
      <c r="C5" s="15">
        <f>'Emissão Escavação'!L$8</f>
        <v>0.11519070776315847</v>
      </c>
      <c r="D5" s="15">
        <f>'Emissão Escavação'!M$8</f>
        <v>6.852687723004465E-2</v>
      </c>
      <c r="E5" s="15" t="s">
        <v>90</v>
      </c>
      <c r="F5" s="15" t="s">
        <v>90</v>
      </c>
      <c r="G5" s="15" t="s">
        <v>90</v>
      </c>
      <c r="H5" s="15" t="s">
        <v>90</v>
      </c>
    </row>
    <row r="6" spans="1:8" ht="15" customHeight="1" x14ac:dyDescent="0.2">
      <c r="A6" s="2" t="s">
        <v>229</v>
      </c>
      <c r="B6" s="15">
        <f>'Emissão Transferências'!J$9</f>
        <v>0.65731107657905197</v>
      </c>
      <c r="C6" s="15">
        <f>'Emissão Transferências'!K$9</f>
        <v>0.11740145465845495</v>
      </c>
      <c r="D6" s="15">
        <f>'Emissão Transferências'!L$9</f>
        <v>6.8861647474189547E-2</v>
      </c>
      <c r="E6" s="15" t="s">
        <v>90</v>
      </c>
      <c r="F6" s="15" t="s">
        <v>90</v>
      </c>
      <c r="G6" s="15" t="s">
        <v>90</v>
      </c>
      <c r="H6" s="15" t="s">
        <v>90</v>
      </c>
    </row>
    <row r="7" spans="1:8" ht="15" customHeight="1" x14ac:dyDescent="0.2">
      <c r="A7" s="2" t="s">
        <v>230</v>
      </c>
      <c r="B7" s="15" t="s">
        <v>90</v>
      </c>
      <c r="C7" s="15" t="s">
        <v>90</v>
      </c>
      <c r="D7" s="15" t="s">
        <v>90</v>
      </c>
      <c r="E7" s="15" t="s">
        <v>90</v>
      </c>
      <c r="F7" s="15" t="s">
        <v>90</v>
      </c>
      <c r="G7" s="15">
        <f>'Emissão Aterro'!F3</f>
        <v>0.21401388727989287</v>
      </c>
      <c r="H7" s="15">
        <f>'Emissão Aterro'!G3</f>
        <v>1.7683087764453032</v>
      </c>
    </row>
    <row r="8" spans="1:8" ht="15" customHeight="1" x14ac:dyDescent="0.2">
      <c r="A8" s="2" t="s">
        <v>243</v>
      </c>
      <c r="B8" s="15">
        <f>'Emissão Flare'!H5</f>
        <v>0.31767050000000002</v>
      </c>
      <c r="C8" s="15">
        <f>'Emissão Flare'!I5</f>
        <v>0.31767050000000002</v>
      </c>
      <c r="D8" s="15">
        <f>'Emissão Flare'!J5</f>
        <v>0.31767050000000002</v>
      </c>
      <c r="E8" s="15">
        <f>'Emissão Flare'!K5</f>
        <v>0.84222725000000009</v>
      </c>
      <c r="F8" s="15" t="s">
        <v>90</v>
      </c>
      <c r="G8" s="15">
        <f>'Emissão Flare'!L5</f>
        <v>0.98371075000000008</v>
      </c>
      <c r="H8" s="15">
        <f>'Emissão Flare'!M5</f>
        <v>0.45976028187577883</v>
      </c>
    </row>
    <row r="9" spans="1:8" ht="15" customHeight="1" x14ac:dyDescent="0.2">
      <c r="A9" s="94" t="s">
        <v>216</v>
      </c>
      <c r="B9" s="111">
        <f>SUM(B3:B8)</f>
        <v>10.09156503527772</v>
      </c>
      <c r="C9" s="111">
        <f t="shared" ref="C9:H9" si="0">SUM(C3:C8)</f>
        <v>2.9033819916592933</v>
      </c>
      <c r="D9" s="111">
        <f t="shared" si="0"/>
        <v>0.77446791056227138</v>
      </c>
      <c r="E9" s="111">
        <f t="shared" si="0"/>
        <v>2.2353853920442668</v>
      </c>
      <c r="F9" s="111">
        <f t="shared" si="0"/>
        <v>0.12103305556348599</v>
      </c>
      <c r="G9" s="111">
        <f t="shared" si="0"/>
        <v>1.8758115493406375</v>
      </c>
      <c r="H9" s="111">
        <f t="shared" si="0"/>
        <v>2.4308699347040057</v>
      </c>
    </row>
  </sheetData>
  <sheetProtection algorithmName="SHA-512" hashValue="MWxsqA0tTXE1xmQllTyh0BeXOtcZoffiowni6/1f1enfvtgnZdZbGiLXeNVqwpCIiM9JctqG+EnrZyrDK2s4DA==" saltValue="2OL5cz/tVGs8fslMO4TopQ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workbookViewId="0">
      <selection activeCell="K15" sqref="K15"/>
    </sheetView>
  </sheetViews>
  <sheetFormatPr defaultRowHeight="15" x14ac:dyDescent="0.25"/>
  <cols>
    <col min="1" max="1" width="34.140625" style="6" customWidth="1"/>
    <col min="2" max="2" width="30.28515625" style="6" customWidth="1"/>
    <col min="3" max="7" width="9.140625" style="6"/>
    <col min="12" max="16384" width="9.140625" style="6"/>
  </cols>
  <sheetData>
    <row r="1" spans="1:11" x14ac:dyDescent="0.25">
      <c r="A1" s="2" t="s">
        <v>273</v>
      </c>
    </row>
    <row r="2" spans="1:11" x14ac:dyDescent="0.25">
      <c r="A2" s="131" t="s">
        <v>15</v>
      </c>
      <c r="B2" s="133" t="s">
        <v>9</v>
      </c>
      <c r="C2" s="134"/>
      <c r="D2" s="134"/>
      <c r="E2" s="134"/>
      <c r="F2" s="134"/>
      <c r="G2" s="134"/>
      <c r="I2" s="6"/>
      <c r="J2" s="2"/>
      <c r="K2" s="6"/>
    </row>
    <row r="3" spans="1:11" x14ac:dyDescent="0.25">
      <c r="A3" s="132"/>
      <c r="B3" s="31" t="s">
        <v>16</v>
      </c>
      <c r="C3" s="32" t="s">
        <v>11</v>
      </c>
      <c r="D3" s="32" t="s">
        <v>232</v>
      </c>
      <c r="E3" s="32" t="s">
        <v>233</v>
      </c>
      <c r="F3" s="32" t="s">
        <v>14</v>
      </c>
      <c r="G3" s="32" t="s">
        <v>17</v>
      </c>
      <c r="I3" s="6"/>
      <c r="J3" s="2"/>
      <c r="K3" s="6"/>
    </row>
    <row r="4" spans="1:11" x14ac:dyDescent="0.25">
      <c r="A4" s="135" t="s">
        <v>178</v>
      </c>
      <c r="B4" s="33" t="s">
        <v>179</v>
      </c>
      <c r="C4" s="7">
        <v>3.9890165496478201E-3</v>
      </c>
      <c r="D4" s="7">
        <v>9.4616446621996876E-5</v>
      </c>
      <c r="E4" s="7">
        <v>6.1369251319822266E-2</v>
      </c>
      <c r="F4" s="7">
        <v>3.0704922620167548E-2</v>
      </c>
      <c r="G4" s="7">
        <v>9.325230578523698E-3</v>
      </c>
      <c r="H4" s="6"/>
      <c r="I4" s="6"/>
      <c r="J4" s="2"/>
      <c r="K4" s="6"/>
    </row>
    <row r="5" spans="1:11" x14ac:dyDescent="0.25">
      <c r="A5" s="136"/>
      <c r="B5" s="33" t="s">
        <v>180</v>
      </c>
      <c r="C5" s="7">
        <v>1.5482138027073926E-2</v>
      </c>
      <c r="D5" s="7">
        <v>1.4669823419588148E-4</v>
      </c>
      <c r="E5" s="7">
        <v>0.12602279653815557</v>
      </c>
      <c r="F5" s="7">
        <v>0.15992567973540345</v>
      </c>
      <c r="G5" s="7">
        <v>6.8514240153494874E-2</v>
      </c>
      <c r="H5" s="6"/>
      <c r="I5" s="6"/>
      <c r="J5" s="2"/>
      <c r="K5" s="6"/>
    </row>
    <row r="6" spans="1:11" x14ac:dyDescent="0.25">
      <c r="A6" s="136"/>
      <c r="B6" s="33" t="s">
        <v>181</v>
      </c>
      <c r="C6" s="7">
        <v>4.3689955953397884E-2</v>
      </c>
      <c r="D6" s="7">
        <v>3.9173850602458582E-4</v>
      </c>
      <c r="E6" s="7">
        <v>0.46744735992116221</v>
      </c>
      <c r="F6" s="7">
        <v>0.24966648844319658</v>
      </c>
      <c r="G6" s="7">
        <v>8.1017998911048009E-2</v>
      </c>
      <c r="H6" s="6"/>
      <c r="I6" s="6"/>
      <c r="J6" s="2"/>
      <c r="K6" s="6"/>
    </row>
    <row r="7" spans="1:11" x14ac:dyDescent="0.25">
      <c r="A7" s="136"/>
      <c r="B7" s="33" t="s">
        <v>182</v>
      </c>
      <c r="C7" s="7">
        <v>3.6023154684608628E-2</v>
      </c>
      <c r="D7" s="7">
        <v>5.7274397999067218E-4</v>
      </c>
      <c r="E7" s="7">
        <v>0.63034815463312366</v>
      </c>
      <c r="F7" s="7">
        <v>0.30652652990664653</v>
      </c>
      <c r="G7" s="7">
        <v>8.1297557226803041E-2</v>
      </c>
      <c r="H7" s="6"/>
      <c r="I7" s="6"/>
      <c r="J7" s="2"/>
      <c r="K7" s="6"/>
    </row>
    <row r="8" spans="1:11" x14ac:dyDescent="0.25">
      <c r="A8" s="136"/>
      <c r="B8" s="33" t="s">
        <v>183</v>
      </c>
      <c r="C8" s="7">
        <v>2.9088427954342536E-2</v>
      </c>
      <c r="D8" s="7">
        <v>8.0986730271663749E-4</v>
      </c>
      <c r="E8" s="7">
        <v>0.84182054273419638</v>
      </c>
      <c r="F8" s="7">
        <v>0.21055843242538708</v>
      </c>
      <c r="G8" s="7">
        <v>7.8277754706101627E-2</v>
      </c>
      <c r="H8" s="6"/>
      <c r="I8" s="6"/>
      <c r="J8" s="2"/>
      <c r="K8" s="6"/>
    </row>
    <row r="9" spans="1:11" x14ac:dyDescent="0.25">
      <c r="A9" s="136"/>
      <c r="B9" s="33" t="s">
        <v>184</v>
      </c>
      <c r="C9" s="8">
        <v>3.8897927506608358E-2</v>
      </c>
      <c r="D9" s="8">
        <v>1.0406255490298018E-3</v>
      </c>
      <c r="E9" s="8">
        <v>1.0799749312549003</v>
      </c>
      <c r="F9" s="8">
        <v>0.34712417522482392</v>
      </c>
      <c r="G9" s="8">
        <v>0.1040828387327908</v>
      </c>
      <c r="H9" s="6"/>
      <c r="I9" s="6"/>
      <c r="J9" s="2"/>
      <c r="K9" s="6"/>
    </row>
    <row r="10" spans="1:11" x14ac:dyDescent="0.25">
      <c r="A10" s="137"/>
      <c r="B10" s="33" t="s">
        <v>185</v>
      </c>
      <c r="C10" s="8">
        <v>6.5509575064624348E-2</v>
      </c>
      <c r="D10" s="8">
        <v>1.7668986494167919E-3</v>
      </c>
      <c r="E10" s="8">
        <v>1.848764979398662</v>
      </c>
      <c r="F10" s="8">
        <v>0.57357271429451673</v>
      </c>
      <c r="G10" s="8">
        <v>0.17421540945270575</v>
      </c>
      <c r="H10" s="6"/>
      <c r="I10" s="6"/>
      <c r="J10" s="2"/>
      <c r="K10" s="6"/>
    </row>
    <row r="11" spans="1:11" x14ac:dyDescent="0.25">
      <c r="A11" s="138" t="s">
        <v>186</v>
      </c>
      <c r="B11" s="34" t="s">
        <v>187</v>
      </c>
      <c r="C11" s="35">
        <v>4.1647481574952775E-3</v>
      </c>
      <c r="D11" s="35">
        <v>6.5318933034944765E-2</v>
      </c>
      <c r="E11" s="35">
        <v>9.7431139391112798E-5</v>
      </c>
      <c r="F11" s="35">
        <v>3.2117661168667613E-2</v>
      </c>
      <c r="G11" s="35">
        <v>1.0013560541894806E-2</v>
      </c>
      <c r="H11" s="6"/>
      <c r="I11" s="6"/>
      <c r="J11" s="2"/>
      <c r="K11" s="6"/>
    </row>
    <row r="12" spans="1:11" x14ac:dyDescent="0.25">
      <c r="A12" s="138"/>
      <c r="B12" s="34" t="s">
        <v>188</v>
      </c>
      <c r="C12" s="35">
        <v>1.9389461005136124E-2</v>
      </c>
      <c r="D12" s="35">
        <v>0.15850781980120351</v>
      </c>
      <c r="E12" s="35">
        <v>1.8265581631205882E-4</v>
      </c>
      <c r="F12" s="35">
        <v>0.19953638186759515</v>
      </c>
      <c r="G12" s="35">
        <v>8.7889870552575564E-2</v>
      </c>
      <c r="H12" s="6"/>
      <c r="I12" s="2"/>
      <c r="J12" s="6"/>
      <c r="K12" s="6"/>
    </row>
    <row r="13" spans="1:11" x14ac:dyDescent="0.25">
      <c r="A13" s="138"/>
      <c r="B13" s="34" t="s">
        <v>189</v>
      </c>
      <c r="C13" s="35">
        <v>3.5159649405128737E-2</v>
      </c>
      <c r="D13" s="35">
        <v>0.39013010201093185</v>
      </c>
      <c r="E13" s="35">
        <v>3.1347091665644508E-4</v>
      </c>
      <c r="F13" s="35">
        <v>0.2004419223709539</v>
      </c>
      <c r="G13" s="35">
        <v>6.7138814469940591E-2</v>
      </c>
      <c r="H13" s="6"/>
      <c r="I13" s="2"/>
      <c r="J13" s="6"/>
      <c r="K13" s="6"/>
    </row>
    <row r="14" spans="1:11" x14ac:dyDescent="0.25">
      <c r="A14" s="138"/>
      <c r="B14" s="34" t="s">
        <v>190</v>
      </c>
      <c r="C14" s="35">
        <v>3.4873730864910753E-2</v>
      </c>
      <c r="D14" s="35">
        <v>0.62819014565488085</v>
      </c>
      <c r="E14" s="35">
        <v>5.4259968788077681E-4</v>
      </c>
      <c r="F14" s="35">
        <v>0.29143683660988179</v>
      </c>
      <c r="G14" s="35">
        <v>7.9806989940830519E-2</v>
      </c>
      <c r="H14" s="6"/>
      <c r="I14" s="2"/>
      <c r="J14" s="6"/>
      <c r="K14" s="6"/>
    </row>
    <row r="15" spans="1:11" x14ac:dyDescent="0.25">
      <c r="A15" s="138"/>
      <c r="B15" s="34" t="s">
        <v>191</v>
      </c>
      <c r="C15" s="35">
        <v>3.101083119228833E-2</v>
      </c>
      <c r="D15" s="35">
        <v>0.83698143551687265</v>
      </c>
      <c r="E15" s="35">
        <v>7.6033040375300068E-4</v>
      </c>
      <c r="F15" s="35">
        <v>0.22495851814724077</v>
      </c>
      <c r="G15" s="35">
        <v>8.0781384871570633E-2</v>
      </c>
      <c r="H15" s="6"/>
      <c r="I15" s="2"/>
      <c r="J15" s="6"/>
      <c r="K15" s="6"/>
    </row>
    <row r="16" spans="1:11" x14ac:dyDescent="0.25">
      <c r="A16" s="138"/>
      <c r="B16" s="34" t="s">
        <v>192</v>
      </c>
      <c r="C16" s="35">
        <v>4.4312637095619792E-2</v>
      </c>
      <c r="D16" s="35">
        <v>1.1811178567160983</v>
      </c>
      <c r="E16" s="35">
        <v>1.0551972934755545E-3</v>
      </c>
      <c r="F16" s="35">
        <v>0.44023160723795168</v>
      </c>
      <c r="G16" s="35">
        <v>0.11468313954524458</v>
      </c>
      <c r="H16" s="6"/>
      <c r="I16" s="2"/>
      <c r="J16" s="6"/>
      <c r="K16" s="6"/>
    </row>
    <row r="17" spans="1:11" x14ac:dyDescent="0.25">
      <c r="A17" s="138"/>
      <c r="B17" s="34" t="s">
        <v>193</v>
      </c>
      <c r="C17" s="35">
        <v>9.1699292295937748E-2</v>
      </c>
      <c r="D17" s="35">
        <v>2.4816495823931239</v>
      </c>
      <c r="E17" s="35">
        <v>2.2143711863278365E-3</v>
      </c>
      <c r="F17" s="35">
        <v>0.8977989810489746</v>
      </c>
      <c r="G17" s="35">
        <v>0.2376690359121682</v>
      </c>
      <c r="H17" s="6"/>
      <c r="I17" s="2"/>
      <c r="J17" s="6"/>
      <c r="K17" s="6"/>
    </row>
    <row r="18" spans="1:11" x14ac:dyDescent="0.25">
      <c r="A18" s="138"/>
      <c r="B18" s="34" t="s">
        <v>194</v>
      </c>
      <c r="C18" s="35">
        <v>0.11281698418835924</v>
      </c>
      <c r="D18" s="35">
        <v>3.6320533542247149</v>
      </c>
      <c r="E18" s="35">
        <v>2.708513011176045E-3</v>
      </c>
      <c r="F18" s="35">
        <v>1.2834306373108464</v>
      </c>
      <c r="G18" s="35">
        <v>0.33188731556128104</v>
      </c>
      <c r="H18" s="6"/>
      <c r="I18" s="2"/>
      <c r="J18" s="6"/>
      <c r="K18" s="6"/>
    </row>
    <row r="19" spans="1:11" x14ac:dyDescent="0.25">
      <c r="A19" s="139" t="s">
        <v>195</v>
      </c>
      <c r="B19" s="38" t="s">
        <v>196</v>
      </c>
      <c r="C19" s="35">
        <v>2.0640817007273079E-3</v>
      </c>
      <c r="D19" s="35">
        <v>2.8219273885099351E-2</v>
      </c>
      <c r="E19" s="35">
        <v>5.9745520174992271E-5</v>
      </c>
      <c r="F19" s="35">
        <v>2.3443526472403799E-2</v>
      </c>
      <c r="G19" s="35">
        <v>4.4915805061147788E-3</v>
      </c>
      <c r="H19" s="6"/>
      <c r="I19" s="2"/>
      <c r="J19" s="6"/>
      <c r="K19" s="6"/>
    </row>
    <row r="20" spans="1:11" x14ac:dyDescent="0.25">
      <c r="A20" s="122"/>
      <c r="B20" s="38" t="s">
        <v>197</v>
      </c>
      <c r="C20" s="35">
        <v>8.0981203325294713E-3</v>
      </c>
      <c r="D20" s="35">
        <v>0.12700903880930661</v>
      </c>
      <c r="E20" s="35">
        <v>1.8944945477683632E-4</v>
      </c>
      <c r="F20" s="35">
        <v>6.2451027131029957E-2</v>
      </c>
      <c r="G20" s="35">
        <v>1.947081147798415E-2</v>
      </c>
      <c r="H20" s="6"/>
      <c r="I20" s="2"/>
      <c r="J20" s="6"/>
      <c r="K20" s="6"/>
    </row>
    <row r="21" spans="1:11" x14ac:dyDescent="0.25">
      <c r="A21" s="122"/>
      <c r="B21" s="38" t="s">
        <v>198</v>
      </c>
      <c r="C21" s="35">
        <v>2.0583835868549602E-2</v>
      </c>
      <c r="D21" s="35">
        <v>0.17073255428259648</v>
      </c>
      <c r="E21" s="35">
        <v>1.9302394186076696E-4</v>
      </c>
      <c r="F21" s="35">
        <v>0.21097645179492586</v>
      </c>
      <c r="G21" s="35">
        <v>9.5687534035223232E-2</v>
      </c>
      <c r="H21" s="6"/>
      <c r="I21" s="2"/>
      <c r="J21" s="6"/>
      <c r="K21" s="6"/>
    </row>
    <row r="22" spans="1:11" x14ac:dyDescent="0.25">
      <c r="A22" s="122"/>
      <c r="B22" s="38" t="s">
        <v>199</v>
      </c>
      <c r="C22" s="35">
        <v>3.9384469740561555E-2</v>
      </c>
      <c r="D22" s="35">
        <v>0.4729552153703217</v>
      </c>
      <c r="E22" s="35">
        <v>3.4529841364397461E-4</v>
      </c>
      <c r="F22" s="35">
        <v>0.22817502993515104</v>
      </c>
      <c r="G22" s="35">
        <v>8.0159681604441452E-2</v>
      </c>
      <c r="H22" s="6"/>
      <c r="I22" s="2"/>
      <c r="J22" s="6"/>
      <c r="K22" s="6"/>
    </row>
    <row r="23" spans="1:11" x14ac:dyDescent="0.25">
      <c r="A23" s="122"/>
      <c r="B23" s="38" t="s">
        <v>200</v>
      </c>
      <c r="C23" s="35">
        <v>5.0292487854662421E-2</v>
      </c>
      <c r="D23" s="35">
        <v>0.9401228962540833</v>
      </c>
      <c r="E23" s="35">
        <v>7.3441011521314784E-4</v>
      </c>
      <c r="F23" s="35">
        <v>0.41409780619819375</v>
      </c>
      <c r="G23" s="35">
        <v>0.11803119016351812</v>
      </c>
      <c r="H23" s="6"/>
      <c r="I23" s="2"/>
      <c r="J23" s="6"/>
      <c r="K23" s="6"/>
    </row>
    <row r="24" spans="1:11" x14ac:dyDescent="0.25">
      <c r="A24" s="122"/>
      <c r="B24" s="38" t="s">
        <v>201</v>
      </c>
      <c r="C24" s="35">
        <v>5.8641760578405359E-2</v>
      </c>
      <c r="D24" s="35">
        <v>1.4033182396314499</v>
      </c>
      <c r="E24" s="35">
        <v>1.1376158433832162E-3</v>
      </c>
      <c r="F24" s="35">
        <v>0.42961493646714122</v>
      </c>
      <c r="G24" s="35">
        <v>0.14722312444668617</v>
      </c>
      <c r="H24" s="6"/>
      <c r="I24" s="2"/>
      <c r="J24" s="6"/>
      <c r="K24" s="6"/>
    </row>
    <row r="25" spans="1:11" x14ac:dyDescent="0.25">
      <c r="A25" s="122"/>
      <c r="B25" s="38" t="s">
        <v>202</v>
      </c>
      <c r="C25" s="35">
        <v>7.2162400075280922E-2</v>
      </c>
      <c r="D25" s="35">
        <v>1.7836653194875751</v>
      </c>
      <c r="E25" s="35">
        <v>1.3859939892346055E-3</v>
      </c>
      <c r="F25" s="35">
        <v>0.93799411706102809</v>
      </c>
      <c r="G25" s="35">
        <v>0.18226000651309163</v>
      </c>
      <c r="H25" s="6"/>
      <c r="I25" s="2"/>
      <c r="J25" s="6"/>
      <c r="K25" s="6"/>
    </row>
    <row r="26" spans="1:11" x14ac:dyDescent="0.25">
      <c r="A26" s="140"/>
      <c r="B26" s="38" t="s">
        <v>203</v>
      </c>
      <c r="C26" s="35">
        <v>0.136427456696531</v>
      </c>
      <c r="D26" s="35">
        <v>3.4134493932307426</v>
      </c>
      <c r="E26" s="35">
        <v>2.6765991419388816E-3</v>
      </c>
      <c r="F26" s="35">
        <v>1.7573670820489722</v>
      </c>
      <c r="G26" s="35">
        <v>0.34652906695841373</v>
      </c>
      <c r="H26" s="6"/>
      <c r="I26" s="2"/>
      <c r="J26" s="6"/>
      <c r="K26" s="6"/>
    </row>
    <row r="27" spans="1:11" ht="15" customHeight="1" x14ac:dyDescent="0.25">
      <c r="A27" s="121" t="s">
        <v>204</v>
      </c>
      <c r="B27" s="36" t="s">
        <v>205</v>
      </c>
      <c r="C27" s="37">
        <v>1.6685344341441255E-2</v>
      </c>
      <c r="D27" s="35">
        <v>0.13141957562206166</v>
      </c>
      <c r="E27" s="35">
        <v>1.4588936090667877E-4</v>
      </c>
      <c r="F27" s="35">
        <v>0.17293178432562875</v>
      </c>
      <c r="G27" s="35">
        <v>7.8343728303411103E-2</v>
      </c>
      <c r="H27" s="6"/>
      <c r="I27" s="6"/>
      <c r="J27" s="6"/>
      <c r="K27" s="6"/>
    </row>
    <row r="28" spans="1:11" x14ac:dyDescent="0.25">
      <c r="A28" s="122"/>
      <c r="B28" s="39" t="s">
        <v>206</v>
      </c>
      <c r="C28" s="35">
        <v>4.2682051972913831E-2</v>
      </c>
      <c r="D28" s="35">
        <v>0.47805176720589693</v>
      </c>
      <c r="E28" s="35">
        <v>3.5016924589573596E-4</v>
      </c>
      <c r="F28" s="35">
        <v>0.23666018647367493</v>
      </c>
      <c r="G28" s="35">
        <v>8.3656281211262368E-2</v>
      </c>
      <c r="H28" s="6"/>
      <c r="I28" s="6"/>
      <c r="J28" s="6"/>
      <c r="K28" s="6"/>
    </row>
    <row r="29" spans="1:11" x14ac:dyDescent="0.25">
      <c r="A29" s="122"/>
      <c r="B29" s="38" t="s">
        <v>207</v>
      </c>
      <c r="C29" s="35">
        <v>4.4401235069067839E-2</v>
      </c>
      <c r="D29" s="35">
        <v>0.78775936009992464</v>
      </c>
      <c r="E29" s="35">
        <v>6.1850438977116952E-4</v>
      </c>
      <c r="F29" s="35">
        <v>0.35443648699060287</v>
      </c>
      <c r="G29" s="35">
        <v>0.10233313533498303</v>
      </c>
      <c r="H29" s="6"/>
      <c r="I29" s="6"/>
      <c r="J29" s="6"/>
      <c r="K29" s="6"/>
    </row>
    <row r="30" spans="1:11" x14ac:dyDescent="0.25">
      <c r="A30" s="122"/>
      <c r="B30" s="38" t="s">
        <v>208</v>
      </c>
      <c r="C30" s="35">
        <v>4.2283206527599426E-2</v>
      </c>
      <c r="D30" s="35">
        <v>1.0352810333331539</v>
      </c>
      <c r="E30" s="35">
        <v>8.4788367287406919E-4</v>
      </c>
      <c r="F30" s="35">
        <v>0.30421833804757625</v>
      </c>
      <c r="G30" s="35">
        <v>0.10821566630408518</v>
      </c>
      <c r="H30" s="6"/>
      <c r="I30" s="3"/>
      <c r="J30" s="6"/>
      <c r="K30" s="6"/>
    </row>
    <row r="31" spans="1:11" x14ac:dyDescent="0.25">
      <c r="A31" s="122"/>
      <c r="B31" s="38" t="s">
        <v>209</v>
      </c>
      <c r="C31" s="35">
        <v>5.8471393844333593E-2</v>
      </c>
      <c r="D31" s="35">
        <v>1.4504044752796337</v>
      </c>
      <c r="E31" s="35">
        <v>1.1541289752949587E-3</v>
      </c>
      <c r="F31" s="35">
        <v>0.69236889624711362</v>
      </c>
      <c r="G31" s="35">
        <v>0.15079545254235013</v>
      </c>
      <c r="H31" s="6"/>
      <c r="I31" s="6"/>
      <c r="J31" s="6"/>
      <c r="K31" s="6"/>
    </row>
    <row r="32" spans="1:11" x14ac:dyDescent="0.25">
      <c r="A32" s="122"/>
      <c r="B32" s="38" t="s">
        <v>210</v>
      </c>
      <c r="C32" s="35">
        <v>0.10542678137303056</v>
      </c>
      <c r="D32" s="35">
        <v>2.6493344288937148</v>
      </c>
      <c r="E32" s="35">
        <v>2.1193175400435979E-3</v>
      </c>
      <c r="F32" s="35">
        <v>1.2334403465393207</v>
      </c>
      <c r="G32" s="35">
        <v>0.27162136378281504</v>
      </c>
      <c r="H32" s="6"/>
      <c r="I32" s="6"/>
      <c r="J32" s="6"/>
      <c r="K32" s="6"/>
    </row>
    <row r="33" spans="1:11" x14ac:dyDescent="0.25">
      <c r="A33" s="122"/>
      <c r="B33" s="38" t="s">
        <v>211</v>
      </c>
      <c r="C33" s="35">
        <v>0.14691184381350442</v>
      </c>
      <c r="D33" s="35">
        <v>4.3328309237297162</v>
      </c>
      <c r="E33" s="35">
        <v>3.0014495695396453E-3</v>
      </c>
      <c r="F33" s="35">
        <v>1.9431480425491361</v>
      </c>
      <c r="G33" s="35">
        <v>0.42061236372464678</v>
      </c>
      <c r="H33" s="6"/>
      <c r="I33" s="6"/>
      <c r="J33" s="6"/>
      <c r="K33" s="6"/>
    </row>
    <row r="34" spans="1:11" x14ac:dyDescent="0.25">
      <c r="A34" s="40"/>
      <c r="B34" s="36"/>
      <c r="C34" s="41"/>
      <c r="D34" s="41"/>
      <c r="E34" s="41"/>
      <c r="F34" s="41"/>
      <c r="G34" s="41"/>
      <c r="H34" s="6"/>
      <c r="I34" s="6"/>
      <c r="J34" s="6"/>
      <c r="K34" s="6"/>
    </row>
    <row r="35" spans="1:11" x14ac:dyDescent="0.25">
      <c r="H35" s="6"/>
      <c r="I35" s="6"/>
      <c r="J35" s="6"/>
      <c r="K35" s="6"/>
    </row>
    <row r="36" spans="1:11" x14ac:dyDescent="0.25">
      <c r="A36" s="123" t="s">
        <v>18</v>
      </c>
      <c r="B36" s="126"/>
      <c r="C36" s="126"/>
      <c r="D36" s="126"/>
      <c r="E36" s="126"/>
      <c r="F36" s="126"/>
      <c r="H36" s="6"/>
      <c r="I36" s="6"/>
      <c r="J36" s="6"/>
      <c r="K36" s="6"/>
    </row>
    <row r="37" spans="1:11" x14ac:dyDescent="0.25">
      <c r="A37" s="124"/>
      <c r="B37" s="127"/>
      <c r="C37" s="127"/>
      <c r="D37" s="127"/>
      <c r="E37" s="127"/>
      <c r="F37" s="127"/>
      <c r="H37" s="6"/>
      <c r="I37" s="6"/>
      <c r="J37" s="6"/>
      <c r="K37" s="6"/>
    </row>
    <row r="38" spans="1:11" x14ac:dyDescent="0.25">
      <c r="A38" s="124"/>
      <c r="B38" s="127"/>
      <c r="C38" s="127"/>
      <c r="D38" s="127"/>
      <c r="E38" s="127"/>
      <c r="F38" s="127"/>
      <c r="H38" s="6"/>
      <c r="I38" s="6"/>
      <c r="J38" s="6"/>
      <c r="K38" s="6"/>
    </row>
    <row r="39" spans="1:11" ht="15" customHeight="1" x14ac:dyDescent="0.25">
      <c r="A39" s="124"/>
      <c r="B39" s="128" t="s">
        <v>19</v>
      </c>
      <c r="C39" s="128"/>
      <c r="D39" s="128"/>
      <c r="E39" s="128"/>
      <c r="F39" s="128"/>
      <c r="H39" s="6"/>
      <c r="I39" s="6"/>
      <c r="J39" s="6"/>
      <c r="K39" s="6"/>
    </row>
    <row r="40" spans="1:11" x14ac:dyDescent="0.25">
      <c r="A40" s="124"/>
      <c r="B40" s="129"/>
      <c r="C40" s="129"/>
      <c r="D40" s="129"/>
      <c r="E40" s="129"/>
      <c r="F40" s="129"/>
      <c r="H40" s="6"/>
      <c r="I40" s="6"/>
      <c r="J40" s="6"/>
      <c r="K40" s="6"/>
    </row>
    <row r="41" spans="1:11" x14ac:dyDescent="0.25">
      <c r="A41" s="124"/>
      <c r="B41" s="129"/>
      <c r="C41" s="129"/>
      <c r="D41" s="129"/>
      <c r="E41" s="129"/>
      <c r="F41" s="129"/>
      <c r="H41" s="6"/>
      <c r="I41" s="6"/>
      <c r="J41" s="6"/>
      <c r="K41" s="6"/>
    </row>
    <row r="42" spans="1:11" x14ac:dyDescent="0.25">
      <c r="A42" s="125"/>
      <c r="B42" s="130"/>
      <c r="C42" s="130"/>
      <c r="D42" s="130"/>
      <c r="E42" s="130"/>
      <c r="F42" s="130"/>
      <c r="H42" s="6"/>
      <c r="I42" s="6"/>
      <c r="J42" s="6"/>
      <c r="K42" s="6"/>
    </row>
    <row r="43" spans="1:11" x14ac:dyDescent="0.25">
      <c r="H43" s="6"/>
      <c r="I43" s="6"/>
      <c r="J43" s="6"/>
      <c r="K43" s="6"/>
    </row>
    <row r="44" spans="1:11" x14ac:dyDescent="0.25">
      <c r="A44" s="2" t="s">
        <v>20</v>
      </c>
      <c r="H44" s="6"/>
      <c r="I44" s="6"/>
      <c r="J44" s="6"/>
      <c r="K44" s="6"/>
    </row>
    <row r="45" spans="1:11" x14ac:dyDescent="0.25">
      <c r="A45" s="2" t="s">
        <v>21</v>
      </c>
      <c r="H45" s="6"/>
      <c r="I45" s="6"/>
      <c r="J45" s="6"/>
      <c r="K45" s="6"/>
    </row>
    <row r="46" spans="1:11" x14ac:dyDescent="0.25">
      <c r="H46" s="6"/>
      <c r="I46" s="6"/>
      <c r="J46" s="6"/>
      <c r="K46" s="6"/>
    </row>
    <row r="47" spans="1:11" x14ac:dyDescent="0.25">
      <c r="H47" s="6"/>
      <c r="I47" s="6"/>
      <c r="J47" s="6"/>
      <c r="K47" s="6"/>
    </row>
    <row r="48" spans="1:11" x14ac:dyDescent="0.25">
      <c r="H48" s="6"/>
      <c r="I48" s="6"/>
      <c r="J48" s="6"/>
      <c r="K48" s="6"/>
    </row>
    <row r="49" spans="8:11" x14ac:dyDescent="0.25">
      <c r="H49" s="6"/>
      <c r="I49" s="6"/>
      <c r="J49" s="6"/>
      <c r="K49" s="6"/>
    </row>
    <row r="50" spans="8:11" x14ac:dyDescent="0.25">
      <c r="H50" s="6"/>
      <c r="I50" s="6"/>
      <c r="J50" s="6"/>
      <c r="K50" s="6"/>
    </row>
    <row r="51" spans="8:11" x14ac:dyDescent="0.25">
      <c r="H51" s="6"/>
      <c r="I51" s="6"/>
      <c r="J51" s="6"/>
      <c r="K51" s="6"/>
    </row>
    <row r="52" spans="8:11" x14ac:dyDescent="0.25">
      <c r="H52" s="6"/>
      <c r="I52" s="6"/>
      <c r="J52" s="6"/>
      <c r="K52" s="6"/>
    </row>
    <row r="53" spans="8:11" x14ac:dyDescent="0.25">
      <c r="H53" s="6"/>
      <c r="I53" s="6"/>
      <c r="J53" s="6"/>
      <c r="K53" s="6"/>
    </row>
    <row r="54" spans="8:11" x14ac:dyDescent="0.25">
      <c r="H54" s="6"/>
      <c r="I54" s="6"/>
      <c r="J54" s="6"/>
      <c r="K54" s="6"/>
    </row>
    <row r="55" spans="8:11" x14ac:dyDescent="0.25">
      <c r="H55" s="6"/>
      <c r="I55" s="6"/>
      <c r="J55" s="6"/>
      <c r="K55" s="6"/>
    </row>
    <row r="56" spans="8:11" x14ac:dyDescent="0.25">
      <c r="H56" s="6"/>
      <c r="I56" s="6"/>
      <c r="J56" s="6"/>
      <c r="K56" s="6"/>
    </row>
    <row r="57" spans="8:11" x14ac:dyDescent="0.25">
      <c r="H57" s="6"/>
      <c r="I57" s="6"/>
      <c r="J57" s="6"/>
      <c r="K57" s="6"/>
    </row>
    <row r="58" spans="8:11" x14ac:dyDescent="0.25">
      <c r="H58" s="6"/>
      <c r="I58" s="6"/>
      <c r="J58" s="6"/>
      <c r="K58" s="6"/>
    </row>
    <row r="59" spans="8:11" x14ac:dyDescent="0.25">
      <c r="H59" s="6"/>
      <c r="I59" s="6"/>
      <c r="J59" s="6"/>
      <c r="K59" s="6"/>
    </row>
    <row r="60" spans="8:11" x14ac:dyDescent="0.25">
      <c r="H60" s="6"/>
      <c r="I60" s="6"/>
      <c r="J60" s="6"/>
      <c r="K60" s="6"/>
    </row>
    <row r="61" spans="8:11" x14ac:dyDescent="0.25">
      <c r="H61" s="6"/>
      <c r="I61" s="6"/>
      <c r="J61" s="6"/>
      <c r="K61" s="6"/>
    </row>
    <row r="62" spans="8:11" x14ac:dyDescent="0.25">
      <c r="H62" s="6"/>
      <c r="I62" s="6"/>
      <c r="J62" s="6"/>
      <c r="K62" s="6"/>
    </row>
    <row r="63" spans="8:11" x14ac:dyDescent="0.25">
      <c r="H63" s="6"/>
      <c r="I63" s="6"/>
      <c r="J63" s="6"/>
      <c r="K63" s="6"/>
    </row>
    <row r="64" spans="8:11" x14ac:dyDescent="0.25">
      <c r="H64" s="6"/>
      <c r="I64" s="6"/>
      <c r="J64" s="6"/>
      <c r="K64" s="6"/>
    </row>
    <row r="65" spans="8:11" x14ac:dyDescent="0.25">
      <c r="H65" s="6"/>
      <c r="I65" s="6"/>
      <c r="J65" s="6"/>
      <c r="K65" s="6"/>
    </row>
    <row r="66" spans="8:11" x14ac:dyDescent="0.25">
      <c r="H66" s="6"/>
      <c r="I66" s="6"/>
      <c r="J66" s="6"/>
      <c r="K66" s="6"/>
    </row>
    <row r="67" spans="8:11" x14ac:dyDescent="0.25">
      <c r="H67" s="6"/>
      <c r="I67" s="6"/>
      <c r="J67" s="6"/>
      <c r="K67" s="6"/>
    </row>
    <row r="68" spans="8:11" x14ac:dyDescent="0.25">
      <c r="H68" s="6"/>
      <c r="I68" s="6"/>
      <c r="J68" s="6"/>
      <c r="K68" s="6"/>
    </row>
    <row r="69" spans="8:11" x14ac:dyDescent="0.25">
      <c r="H69" s="6"/>
      <c r="I69" s="6"/>
      <c r="J69" s="6"/>
      <c r="K69" s="6"/>
    </row>
    <row r="70" spans="8:11" x14ac:dyDescent="0.25">
      <c r="H70" s="6"/>
      <c r="I70" s="6"/>
      <c r="J70" s="6"/>
      <c r="K70" s="6"/>
    </row>
    <row r="71" spans="8:11" x14ac:dyDescent="0.25">
      <c r="H71" s="6"/>
      <c r="I71" s="6"/>
      <c r="J71" s="6"/>
      <c r="K71" s="6"/>
    </row>
    <row r="72" spans="8:11" x14ac:dyDescent="0.25">
      <c r="H72" s="6"/>
      <c r="I72" s="6"/>
      <c r="J72" s="6"/>
      <c r="K72" s="6"/>
    </row>
    <row r="73" spans="8:11" x14ac:dyDescent="0.25">
      <c r="H73" s="6"/>
      <c r="I73" s="6"/>
      <c r="J73" s="6"/>
      <c r="K73" s="6"/>
    </row>
    <row r="74" spans="8:11" x14ac:dyDescent="0.25">
      <c r="H74" s="6"/>
      <c r="I74" s="6"/>
      <c r="J74" s="6"/>
      <c r="K74" s="6"/>
    </row>
    <row r="75" spans="8:11" x14ac:dyDescent="0.25">
      <c r="H75" s="6"/>
      <c r="I75" s="6"/>
      <c r="J75" s="6"/>
      <c r="K75" s="6"/>
    </row>
    <row r="76" spans="8:11" x14ac:dyDescent="0.25">
      <c r="H76" s="6"/>
      <c r="I76" s="6"/>
      <c r="J76" s="6"/>
      <c r="K76" s="6"/>
    </row>
    <row r="77" spans="8:11" x14ac:dyDescent="0.25">
      <c r="H77" s="6"/>
      <c r="I77" s="6"/>
      <c r="J77" s="6"/>
      <c r="K77" s="6"/>
    </row>
    <row r="78" spans="8:11" x14ac:dyDescent="0.25">
      <c r="H78" s="6"/>
      <c r="I78" s="6"/>
      <c r="J78" s="6"/>
      <c r="K78" s="6"/>
    </row>
    <row r="79" spans="8:11" x14ac:dyDescent="0.25">
      <c r="H79" s="6"/>
      <c r="I79" s="6"/>
      <c r="J79" s="6"/>
      <c r="K79" s="6"/>
    </row>
    <row r="80" spans="8:11" x14ac:dyDescent="0.25">
      <c r="H80" s="6"/>
      <c r="I80" s="6"/>
      <c r="J80" s="6"/>
      <c r="K80" s="6"/>
    </row>
    <row r="81" spans="8:11" x14ac:dyDescent="0.25">
      <c r="H81" s="6"/>
      <c r="I81" s="6"/>
      <c r="J81" s="6"/>
      <c r="K81" s="6"/>
    </row>
    <row r="82" spans="8:11" x14ac:dyDescent="0.25">
      <c r="H82" s="6"/>
      <c r="I82" s="6"/>
      <c r="J82" s="6"/>
      <c r="K82" s="6"/>
    </row>
    <row r="83" spans="8:11" x14ac:dyDescent="0.25">
      <c r="H83" s="6"/>
      <c r="I83" s="6"/>
      <c r="J83" s="6"/>
      <c r="K83" s="6"/>
    </row>
    <row r="84" spans="8:11" x14ac:dyDescent="0.25">
      <c r="H84" s="6"/>
      <c r="I84" s="6"/>
      <c r="J84" s="6"/>
      <c r="K84" s="6"/>
    </row>
    <row r="85" spans="8:11" x14ac:dyDescent="0.25">
      <c r="H85" s="6"/>
      <c r="I85" s="6"/>
      <c r="J85" s="6"/>
      <c r="K85" s="6"/>
    </row>
    <row r="86" spans="8:11" x14ac:dyDescent="0.25">
      <c r="H86" s="6"/>
      <c r="I86" s="6"/>
      <c r="J86" s="6"/>
      <c r="K86" s="6"/>
    </row>
    <row r="87" spans="8:11" x14ac:dyDescent="0.25">
      <c r="H87" s="6"/>
      <c r="I87" s="6"/>
      <c r="J87" s="6"/>
      <c r="K87" s="6"/>
    </row>
    <row r="88" spans="8:11" x14ac:dyDescent="0.25">
      <c r="H88" s="6"/>
      <c r="I88" s="6"/>
      <c r="J88" s="6"/>
      <c r="K88" s="6"/>
    </row>
    <row r="89" spans="8:11" x14ac:dyDescent="0.25">
      <c r="H89" s="6"/>
      <c r="I89" s="6"/>
      <c r="J89" s="6"/>
      <c r="K89" s="6"/>
    </row>
    <row r="90" spans="8:11" x14ac:dyDescent="0.25">
      <c r="H90" s="6"/>
      <c r="I90" s="6"/>
      <c r="J90" s="6"/>
      <c r="K90" s="6"/>
    </row>
    <row r="91" spans="8:11" x14ac:dyDescent="0.25">
      <c r="H91" s="6"/>
      <c r="I91" s="6"/>
      <c r="J91" s="6"/>
      <c r="K91" s="6"/>
    </row>
    <row r="92" spans="8:11" x14ac:dyDescent="0.25">
      <c r="H92" s="6"/>
      <c r="I92" s="6"/>
      <c r="J92" s="6"/>
      <c r="K92" s="6"/>
    </row>
    <row r="93" spans="8:11" x14ac:dyDescent="0.25">
      <c r="H93" s="6"/>
      <c r="I93" s="6"/>
      <c r="J93" s="6"/>
      <c r="K93" s="6"/>
    </row>
    <row r="94" spans="8:11" x14ac:dyDescent="0.25">
      <c r="H94" s="6"/>
      <c r="I94" s="6"/>
      <c r="J94" s="6"/>
      <c r="K94" s="6"/>
    </row>
    <row r="95" spans="8:11" x14ac:dyDescent="0.25">
      <c r="H95" s="6"/>
      <c r="I95" s="6"/>
      <c r="J95" s="6"/>
      <c r="K95" s="6"/>
    </row>
    <row r="96" spans="8:11" x14ac:dyDescent="0.25">
      <c r="H96" s="6"/>
      <c r="I96" s="6"/>
      <c r="J96" s="6"/>
      <c r="K96" s="6"/>
    </row>
    <row r="97" spans="8:11" x14ac:dyDescent="0.25">
      <c r="H97" s="6"/>
      <c r="I97" s="6"/>
      <c r="J97" s="6"/>
      <c r="K97" s="6"/>
    </row>
    <row r="98" spans="8:11" x14ac:dyDescent="0.25">
      <c r="H98" s="6"/>
      <c r="I98" s="6"/>
      <c r="J98" s="6"/>
      <c r="K98" s="6"/>
    </row>
    <row r="99" spans="8:11" x14ac:dyDescent="0.25">
      <c r="H99" s="6"/>
      <c r="I99" s="6"/>
      <c r="J99" s="6"/>
      <c r="K99" s="6"/>
    </row>
    <row r="100" spans="8:11" x14ac:dyDescent="0.25">
      <c r="H100" s="6"/>
      <c r="I100" s="6"/>
      <c r="J100" s="6"/>
      <c r="K100" s="6"/>
    </row>
    <row r="101" spans="8:11" x14ac:dyDescent="0.25">
      <c r="H101" s="6"/>
      <c r="I101" s="6"/>
      <c r="J101" s="6"/>
      <c r="K101" s="6"/>
    </row>
    <row r="102" spans="8:11" x14ac:dyDescent="0.25">
      <c r="H102" s="6"/>
      <c r="I102" s="6"/>
      <c r="J102" s="6"/>
      <c r="K102" s="6"/>
    </row>
    <row r="103" spans="8:11" x14ac:dyDescent="0.25">
      <c r="H103" s="6"/>
      <c r="I103" s="6"/>
      <c r="J103" s="6"/>
      <c r="K103" s="6"/>
    </row>
    <row r="104" spans="8:11" x14ac:dyDescent="0.25">
      <c r="H104" s="6"/>
      <c r="I104" s="6"/>
      <c r="J104" s="6"/>
      <c r="K104" s="6"/>
    </row>
    <row r="105" spans="8:11" x14ac:dyDescent="0.25">
      <c r="H105" s="6"/>
      <c r="I105" s="6"/>
      <c r="J105" s="6"/>
      <c r="K105" s="6"/>
    </row>
    <row r="106" spans="8:11" x14ac:dyDescent="0.25">
      <c r="H106" s="6"/>
      <c r="I106" s="6"/>
      <c r="J106" s="6"/>
      <c r="K106" s="6"/>
    </row>
    <row r="107" spans="8:11" x14ac:dyDescent="0.25">
      <c r="H107" s="6"/>
      <c r="I107" s="6"/>
      <c r="J107" s="6"/>
      <c r="K107" s="6"/>
    </row>
    <row r="108" spans="8:11" x14ac:dyDescent="0.25">
      <c r="H108" s="6"/>
      <c r="I108" s="6"/>
      <c r="J108" s="6"/>
      <c r="K108" s="6"/>
    </row>
    <row r="109" spans="8:11" x14ac:dyDescent="0.25">
      <c r="H109" s="6"/>
      <c r="I109" s="6"/>
      <c r="J109" s="6"/>
      <c r="K109" s="6"/>
    </row>
    <row r="110" spans="8:11" x14ac:dyDescent="0.25">
      <c r="H110" s="6"/>
      <c r="I110" s="6"/>
      <c r="J110" s="6"/>
      <c r="K110" s="6"/>
    </row>
    <row r="111" spans="8:11" x14ac:dyDescent="0.25">
      <c r="H111" s="6"/>
      <c r="I111" s="6"/>
      <c r="J111" s="6"/>
      <c r="K111" s="6"/>
    </row>
    <row r="112" spans="8:11" x14ac:dyDescent="0.25">
      <c r="H112" s="6"/>
      <c r="I112" s="6"/>
      <c r="J112" s="6"/>
      <c r="K112" s="6"/>
    </row>
    <row r="113" spans="8:11" x14ac:dyDescent="0.25">
      <c r="H113" s="6"/>
      <c r="I113" s="6"/>
      <c r="J113" s="6"/>
      <c r="K113" s="6"/>
    </row>
    <row r="114" spans="8:11" x14ac:dyDescent="0.25">
      <c r="H114" s="6"/>
      <c r="I114" s="6"/>
      <c r="J114" s="6"/>
      <c r="K114" s="6"/>
    </row>
    <row r="115" spans="8:11" x14ac:dyDescent="0.25">
      <c r="H115" s="6"/>
      <c r="I115" s="6"/>
      <c r="J115" s="6"/>
      <c r="K115" s="6"/>
    </row>
    <row r="116" spans="8:11" x14ac:dyDescent="0.25">
      <c r="H116" s="6"/>
      <c r="I116" s="6"/>
      <c r="J116" s="6"/>
      <c r="K116" s="6"/>
    </row>
    <row r="117" spans="8:11" x14ac:dyDescent="0.25">
      <c r="H117" s="6"/>
      <c r="I117" s="6"/>
      <c r="J117" s="6"/>
      <c r="K117" s="6"/>
    </row>
    <row r="118" spans="8:11" x14ac:dyDescent="0.25">
      <c r="H118" s="6"/>
      <c r="I118" s="6"/>
      <c r="J118" s="6"/>
      <c r="K118" s="6"/>
    </row>
    <row r="119" spans="8:11" x14ac:dyDescent="0.25">
      <c r="H119" s="6"/>
      <c r="I119" s="6"/>
      <c r="J119" s="6"/>
      <c r="K119" s="6"/>
    </row>
    <row r="120" spans="8:11" x14ac:dyDescent="0.25">
      <c r="H120" s="6"/>
      <c r="I120" s="6"/>
      <c r="J120" s="6"/>
      <c r="K120" s="6"/>
    </row>
    <row r="121" spans="8:11" x14ac:dyDescent="0.25">
      <c r="H121" s="6"/>
      <c r="I121" s="6"/>
      <c r="J121" s="6"/>
      <c r="K121" s="6"/>
    </row>
    <row r="122" spans="8:11" x14ac:dyDescent="0.25">
      <c r="H122" s="6"/>
      <c r="I122" s="6"/>
      <c r="J122" s="6"/>
      <c r="K122" s="6"/>
    </row>
    <row r="123" spans="8:11" x14ac:dyDescent="0.25">
      <c r="H123" s="6"/>
      <c r="I123" s="6"/>
      <c r="J123" s="6"/>
      <c r="K123" s="6"/>
    </row>
    <row r="124" spans="8:11" x14ac:dyDescent="0.25">
      <c r="H124" s="6"/>
      <c r="I124" s="6"/>
      <c r="J124" s="6"/>
      <c r="K124" s="6"/>
    </row>
    <row r="125" spans="8:11" x14ac:dyDescent="0.25">
      <c r="H125" s="6"/>
      <c r="I125" s="6"/>
      <c r="J125" s="6"/>
      <c r="K125" s="6"/>
    </row>
    <row r="126" spans="8:11" x14ac:dyDescent="0.25">
      <c r="H126" s="6"/>
      <c r="I126" s="6"/>
      <c r="J126" s="6"/>
      <c r="K126" s="6"/>
    </row>
    <row r="127" spans="8:11" x14ac:dyDescent="0.25">
      <c r="H127" s="6"/>
      <c r="I127" s="6"/>
      <c r="J127" s="6"/>
      <c r="K127" s="6"/>
    </row>
    <row r="128" spans="8:11" x14ac:dyDescent="0.25">
      <c r="H128" s="6"/>
      <c r="I128" s="6"/>
      <c r="J128" s="6"/>
      <c r="K128" s="6"/>
    </row>
    <row r="129" spans="8:11" x14ac:dyDescent="0.25">
      <c r="H129" s="6"/>
      <c r="I129" s="6"/>
      <c r="J129" s="6"/>
      <c r="K129" s="6"/>
    </row>
    <row r="130" spans="8:11" x14ac:dyDescent="0.25">
      <c r="H130" s="6"/>
      <c r="I130" s="6"/>
      <c r="J130" s="6"/>
      <c r="K130" s="6"/>
    </row>
    <row r="131" spans="8:11" x14ac:dyDescent="0.25">
      <c r="H131" s="6"/>
      <c r="I131" s="6"/>
      <c r="J131" s="6"/>
      <c r="K131" s="6"/>
    </row>
    <row r="132" spans="8:11" x14ac:dyDescent="0.25">
      <c r="H132" s="6"/>
      <c r="I132" s="6"/>
      <c r="J132" s="6"/>
      <c r="K132" s="6"/>
    </row>
    <row r="133" spans="8:11" x14ac:dyDescent="0.25">
      <c r="H133" s="6"/>
      <c r="I133" s="6"/>
      <c r="J133" s="6"/>
      <c r="K133" s="6"/>
    </row>
    <row r="134" spans="8:11" x14ac:dyDescent="0.25">
      <c r="H134" s="6"/>
      <c r="I134" s="6"/>
      <c r="J134" s="6"/>
      <c r="K134" s="6"/>
    </row>
    <row r="135" spans="8:11" x14ac:dyDescent="0.25">
      <c r="H135" s="6"/>
      <c r="I135" s="6"/>
      <c r="J135" s="6"/>
      <c r="K135" s="6"/>
    </row>
    <row r="136" spans="8:11" x14ac:dyDescent="0.25">
      <c r="H136" s="6"/>
      <c r="I136" s="6"/>
      <c r="J136" s="6"/>
      <c r="K136" s="6"/>
    </row>
    <row r="137" spans="8:11" x14ac:dyDescent="0.25">
      <c r="H137" s="6"/>
      <c r="I137" s="6"/>
      <c r="J137" s="6"/>
      <c r="K137" s="6"/>
    </row>
    <row r="138" spans="8:11" x14ac:dyDescent="0.25">
      <c r="H138" s="6"/>
      <c r="I138" s="6"/>
      <c r="J138" s="6"/>
      <c r="K138" s="6"/>
    </row>
    <row r="139" spans="8:11" x14ac:dyDescent="0.25">
      <c r="H139" s="6"/>
      <c r="I139" s="6"/>
      <c r="J139" s="6"/>
      <c r="K139" s="6"/>
    </row>
    <row r="140" spans="8:11" x14ac:dyDescent="0.25">
      <c r="H140" s="6"/>
      <c r="I140" s="6"/>
      <c r="J140" s="6"/>
      <c r="K140" s="6"/>
    </row>
    <row r="141" spans="8:11" x14ac:dyDescent="0.25">
      <c r="H141" s="6"/>
      <c r="I141" s="6"/>
      <c r="J141" s="6"/>
      <c r="K141" s="6"/>
    </row>
    <row r="142" spans="8:11" x14ac:dyDescent="0.25">
      <c r="H142" s="6"/>
      <c r="I142" s="6"/>
      <c r="J142" s="6"/>
      <c r="K142" s="6"/>
    </row>
    <row r="143" spans="8:11" x14ac:dyDescent="0.25">
      <c r="H143" s="6"/>
      <c r="I143" s="6"/>
      <c r="J143" s="6"/>
      <c r="K143" s="6"/>
    </row>
    <row r="144" spans="8:11" x14ac:dyDescent="0.25">
      <c r="H144" s="6"/>
      <c r="I144" s="6"/>
      <c r="J144" s="6"/>
      <c r="K144" s="6"/>
    </row>
    <row r="145" spans="8:11" x14ac:dyDescent="0.25">
      <c r="H145" s="6"/>
      <c r="I145" s="6"/>
      <c r="J145" s="6"/>
      <c r="K145" s="6"/>
    </row>
    <row r="146" spans="8:11" x14ac:dyDescent="0.25">
      <c r="H146" s="6"/>
      <c r="I146" s="6"/>
      <c r="J146" s="6"/>
      <c r="K146" s="6"/>
    </row>
    <row r="147" spans="8:11" x14ac:dyDescent="0.25">
      <c r="H147" s="6"/>
      <c r="I147" s="6"/>
      <c r="J147" s="6"/>
      <c r="K147" s="6"/>
    </row>
    <row r="148" spans="8:11" x14ac:dyDescent="0.25">
      <c r="H148" s="6"/>
      <c r="I148" s="6"/>
      <c r="J148" s="6"/>
      <c r="K148" s="6"/>
    </row>
    <row r="149" spans="8:11" x14ac:dyDescent="0.25">
      <c r="H149" s="6"/>
      <c r="I149" s="6"/>
      <c r="J149" s="6"/>
      <c r="K149" s="6"/>
    </row>
    <row r="150" spans="8:11" x14ac:dyDescent="0.25">
      <c r="H150" s="6"/>
      <c r="I150" s="6"/>
      <c r="J150" s="6"/>
      <c r="K150" s="6"/>
    </row>
    <row r="151" spans="8:11" x14ac:dyDescent="0.25">
      <c r="H151" s="6"/>
      <c r="I151" s="6"/>
      <c r="J151" s="6"/>
      <c r="K151" s="6"/>
    </row>
    <row r="152" spans="8:11" x14ac:dyDescent="0.25">
      <c r="H152" s="6"/>
      <c r="I152" s="6"/>
      <c r="J152" s="6"/>
      <c r="K152" s="6"/>
    </row>
    <row r="153" spans="8:11" x14ac:dyDescent="0.25">
      <c r="H153" s="6"/>
      <c r="I153" s="6"/>
      <c r="J153" s="6"/>
      <c r="K153" s="6"/>
    </row>
    <row r="154" spans="8:11" x14ac:dyDescent="0.25">
      <c r="H154" s="6"/>
      <c r="I154" s="6"/>
      <c r="J154" s="6"/>
      <c r="K154" s="6"/>
    </row>
    <row r="155" spans="8:11" x14ac:dyDescent="0.25">
      <c r="H155" s="6"/>
      <c r="I155" s="6"/>
      <c r="J155" s="6"/>
      <c r="K155" s="6"/>
    </row>
    <row r="156" spans="8:11" x14ac:dyDescent="0.25">
      <c r="H156" s="6"/>
      <c r="I156" s="6"/>
      <c r="J156" s="6"/>
      <c r="K156" s="6"/>
    </row>
    <row r="157" spans="8:11" x14ac:dyDescent="0.25">
      <c r="H157" s="6"/>
      <c r="I157" s="6"/>
      <c r="J157" s="6"/>
      <c r="K157" s="6"/>
    </row>
    <row r="158" spans="8:11" x14ac:dyDescent="0.25">
      <c r="H158" s="6"/>
      <c r="I158" s="6"/>
      <c r="J158" s="6"/>
      <c r="K158" s="6"/>
    </row>
    <row r="159" spans="8:11" x14ac:dyDescent="0.25">
      <c r="H159" s="6"/>
      <c r="I159" s="6"/>
      <c r="J159" s="6"/>
      <c r="K159" s="6"/>
    </row>
    <row r="160" spans="8:11" x14ac:dyDescent="0.25">
      <c r="H160" s="6"/>
      <c r="I160" s="6"/>
      <c r="J160" s="6"/>
      <c r="K160" s="6"/>
    </row>
    <row r="161" spans="8:11" x14ac:dyDescent="0.25">
      <c r="H161" s="6"/>
      <c r="I161" s="6"/>
      <c r="J161" s="6"/>
      <c r="K161" s="6"/>
    </row>
    <row r="162" spans="8:11" x14ac:dyDescent="0.25">
      <c r="H162" s="6"/>
      <c r="I162" s="6"/>
      <c r="J162" s="6"/>
      <c r="K162" s="6"/>
    </row>
    <row r="163" spans="8:11" x14ac:dyDescent="0.25">
      <c r="H163" s="6"/>
      <c r="I163" s="6"/>
      <c r="J163" s="6"/>
      <c r="K163" s="6"/>
    </row>
    <row r="164" spans="8:11" x14ac:dyDescent="0.25">
      <c r="H164" s="6"/>
      <c r="I164" s="6"/>
      <c r="J164" s="6"/>
      <c r="K164" s="6"/>
    </row>
    <row r="165" spans="8:11" x14ac:dyDescent="0.25">
      <c r="H165" s="6"/>
      <c r="I165" s="6"/>
      <c r="J165" s="6"/>
      <c r="K165" s="6"/>
    </row>
    <row r="166" spans="8:11" x14ac:dyDescent="0.25">
      <c r="H166" s="6"/>
      <c r="I166" s="6"/>
      <c r="J166" s="6"/>
      <c r="K166" s="6"/>
    </row>
    <row r="167" spans="8:11" x14ac:dyDescent="0.25">
      <c r="H167" s="6"/>
      <c r="I167" s="6"/>
      <c r="J167" s="6"/>
      <c r="K167" s="6"/>
    </row>
    <row r="168" spans="8:11" x14ac:dyDescent="0.25">
      <c r="H168" s="6"/>
      <c r="I168" s="6"/>
      <c r="J168" s="6"/>
      <c r="K168" s="6"/>
    </row>
    <row r="169" spans="8:11" x14ac:dyDescent="0.25">
      <c r="H169" s="6"/>
      <c r="I169" s="6"/>
      <c r="J169" s="6"/>
      <c r="K169" s="6"/>
    </row>
    <row r="170" spans="8:11" x14ac:dyDescent="0.25">
      <c r="H170" s="6"/>
      <c r="I170" s="6"/>
      <c r="J170" s="6"/>
      <c r="K170" s="6"/>
    </row>
    <row r="171" spans="8:11" x14ac:dyDescent="0.25">
      <c r="H171" s="6"/>
      <c r="I171" s="6"/>
      <c r="J171" s="6"/>
      <c r="K171" s="6"/>
    </row>
    <row r="172" spans="8:11" x14ac:dyDescent="0.25">
      <c r="H172" s="6"/>
      <c r="I172" s="6"/>
      <c r="J172" s="6"/>
      <c r="K172" s="6"/>
    </row>
    <row r="173" spans="8:11" x14ac:dyDescent="0.25">
      <c r="H173" s="6"/>
      <c r="I173" s="6"/>
      <c r="J173" s="6"/>
      <c r="K173" s="6"/>
    </row>
    <row r="174" spans="8:11" x14ac:dyDescent="0.25">
      <c r="H174" s="6"/>
      <c r="I174" s="6"/>
      <c r="J174" s="6"/>
      <c r="K174" s="6"/>
    </row>
    <row r="175" spans="8:11" x14ac:dyDescent="0.25">
      <c r="H175" s="6"/>
      <c r="I175" s="6"/>
      <c r="J175" s="6"/>
      <c r="K175" s="6"/>
    </row>
    <row r="176" spans="8:11" x14ac:dyDescent="0.25">
      <c r="H176" s="6"/>
      <c r="I176" s="6"/>
      <c r="J176" s="6"/>
      <c r="K176" s="6"/>
    </row>
    <row r="177" spans="8:11" x14ac:dyDescent="0.25">
      <c r="H177" s="6"/>
      <c r="I177" s="6"/>
      <c r="J177" s="6"/>
      <c r="K177" s="6"/>
    </row>
    <row r="178" spans="8:11" x14ac:dyDescent="0.25">
      <c r="H178" s="6"/>
      <c r="I178" s="6"/>
      <c r="J178" s="6"/>
      <c r="K178" s="6"/>
    </row>
    <row r="179" spans="8:11" x14ac:dyDescent="0.25">
      <c r="H179" s="6"/>
      <c r="I179" s="6"/>
      <c r="J179" s="6"/>
      <c r="K179" s="6"/>
    </row>
    <row r="180" spans="8:11" x14ac:dyDescent="0.25">
      <c r="H180" s="6"/>
      <c r="I180" s="6"/>
      <c r="J180" s="6"/>
      <c r="K180" s="6"/>
    </row>
    <row r="181" spans="8:11" x14ac:dyDescent="0.25">
      <c r="H181" s="6"/>
      <c r="I181" s="6"/>
      <c r="J181" s="6"/>
      <c r="K181" s="6"/>
    </row>
    <row r="182" spans="8:11" x14ac:dyDescent="0.25">
      <c r="H182" s="6"/>
      <c r="I182" s="6"/>
      <c r="J182" s="6"/>
      <c r="K182" s="6"/>
    </row>
    <row r="183" spans="8:11" x14ac:dyDescent="0.25">
      <c r="H183" s="6"/>
      <c r="I183" s="6"/>
      <c r="J183" s="6"/>
      <c r="K183" s="6"/>
    </row>
    <row r="184" spans="8:11" x14ac:dyDescent="0.25">
      <c r="H184" s="6"/>
      <c r="I184" s="6"/>
      <c r="J184" s="6"/>
      <c r="K184" s="6"/>
    </row>
    <row r="185" spans="8:11" x14ac:dyDescent="0.25">
      <c r="H185" s="6"/>
      <c r="I185" s="6"/>
      <c r="J185" s="6"/>
      <c r="K185" s="6"/>
    </row>
    <row r="186" spans="8:11" x14ac:dyDescent="0.25">
      <c r="H186" s="6"/>
      <c r="I186" s="6"/>
      <c r="J186" s="6"/>
      <c r="K186" s="6"/>
    </row>
    <row r="187" spans="8:11" x14ac:dyDescent="0.25">
      <c r="H187" s="6"/>
      <c r="I187" s="6"/>
      <c r="J187" s="6"/>
      <c r="K187" s="6"/>
    </row>
    <row r="188" spans="8:11" x14ac:dyDescent="0.25">
      <c r="H188" s="6"/>
      <c r="I188" s="6"/>
      <c r="J188" s="6"/>
      <c r="K188" s="6"/>
    </row>
    <row r="189" spans="8:11" x14ac:dyDescent="0.25">
      <c r="H189" s="6"/>
      <c r="I189" s="6"/>
      <c r="J189" s="6"/>
      <c r="K189" s="6"/>
    </row>
    <row r="190" spans="8:11" x14ac:dyDescent="0.25">
      <c r="H190" s="6"/>
      <c r="I190" s="6"/>
      <c r="J190" s="6"/>
      <c r="K190" s="6"/>
    </row>
    <row r="191" spans="8:11" x14ac:dyDescent="0.25">
      <c r="H191" s="6"/>
      <c r="I191" s="6"/>
      <c r="J191" s="6"/>
      <c r="K191" s="6"/>
    </row>
    <row r="192" spans="8:11" x14ac:dyDescent="0.25">
      <c r="H192" s="6"/>
      <c r="I192" s="6"/>
      <c r="J192" s="6"/>
      <c r="K192" s="6"/>
    </row>
    <row r="193" spans="8:11" x14ac:dyDescent="0.25">
      <c r="H193" s="6"/>
      <c r="I193" s="6"/>
      <c r="J193" s="6"/>
      <c r="K193" s="6"/>
    </row>
    <row r="194" spans="8:11" x14ac:dyDescent="0.25">
      <c r="H194" s="6"/>
      <c r="I194" s="6"/>
      <c r="J194" s="6"/>
      <c r="K194" s="6"/>
    </row>
    <row r="195" spans="8:11" x14ac:dyDescent="0.25">
      <c r="H195" s="6"/>
      <c r="I195" s="6"/>
      <c r="J195" s="6"/>
      <c r="K195" s="6"/>
    </row>
    <row r="196" spans="8:11" x14ac:dyDescent="0.25">
      <c r="H196" s="6"/>
      <c r="I196" s="6"/>
      <c r="J196" s="6"/>
      <c r="K196" s="6"/>
    </row>
    <row r="197" spans="8:11" x14ac:dyDescent="0.25">
      <c r="H197" s="6"/>
      <c r="I197" s="6"/>
      <c r="J197" s="6"/>
      <c r="K197" s="6"/>
    </row>
    <row r="198" spans="8:11" x14ac:dyDescent="0.25">
      <c r="H198" s="6"/>
      <c r="I198" s="6"/>
      <c r="J198" s="6"/>
      <c r="K198" s="6"/>
    </row>
    <row r="199" spans="8:11" x14ac:dyDescent="0.25">
      <c r="H199" s="6"/>
      <c r="I199" s="6"/>
      <c r="J199" s="6"/>
      <c r="K199" s="6"/>
    </row>
    <row r="200" spans="8:11" x14ac:dyDescent="0.25">
      <c r="H200" s="6"/>
      <c r="I200" s="6"/>
      <c r="J200" s="6"/>
      <c r="K200" s="6"/>
    </row>
    <row r="201" spans="8:11" x14ac:dyDescent="0.25">
      <c r="H201" s="6"/>
      <c r="I201" s="6"/>
      <c r="J201" s="6"/>
      <c r="K201" s="6"/>
    </row>
    <row r="202" spans="8:11" x14ac:dyDescent="0.25">
      <c r="H202" s="6"/>
      <c r="I202" s="6"/>
      <c r="J202" s="6"/>
      <c r="K202" s="6"/>
    </row>
    <row r="203" spans="8:11" x14ac:dyDescent="0.25">
      <c r="H203" s="6"/>
      <c r="I203" s="6"/>
      <c r="J203" s="6"/>
      <c r="K203" s="6"/>
    </row>
    <row r="204" spans="8:11" x14ac:dyDescent="0.25">
      <c r="H204" s="6"/>
      <c r="I204" s="6"/>
      <c r="J204" s="6"/>
      <c r="K204" s="6"/>
    </row>
    <row r="205" spans="8:11" x14ac:dyDescent="0.25">
      <c r="H205" s="6"/>
      <c r="I205" s="6"/>
      <c r="J205" s="6"/>
      <c r="K205" s="6"/>
    </row>
    <row r="206" spans="8:11" x14ac:dyDescent="0.25">
      <c r="H206" s="6"/>
      <c r="I206" s="6"/>
      <c r="J206" s="6"/>
      <c r="K206" s="6"/>
    </row>
    <row r="207" spans="8:11" x14ac:dyDescent="0.25">
      <c r="H207" s="6"/>
      <c r="I207" s="6"/>
      <c r="J207" s="6"/>
      <c r="K207" s="6"/>
    </row>
    <row r="208" spans="8:11" x14ac:dyDescent="0.25">
      <c r="H208" s="6"/>
      <c r="I208" s="6"/>
      <c r="J208" s="6"/>
      <c r="K208" s="6"/>
    </row>
    <row r="209" spans="8:11" x14ac:dyDescent="0.25">
      <c r="H209" s="6"/>
      <c r="I209" s="6"/>
      <c r="J209" s="6"/>
      <c r="K209" s="6"/>
    </row>
    <row r="210" spans="8:11" x14ac:dyDescent="0.25">
      <c r="H210" s="6"/>
      <c r="I210" s="6"/>
      <c r="J210" s="6"/>
      <c r="K210" s="6"/>
    </row>
    <row r="211" spans="8:11" x14ac:dyDescent="0.25">
      <c r="H211" s="6"/>
      <c r="I211" s="6"/>
      <c r="J211" s="6"/>
      <c r="K211" s="6"/>
    </row>
    <row r="212" spans="8:11" x14ac:dyDescent="0.25">
      <c r="H212" s="6"/>
      <c r="I212" s="6"/>
      <c r="J212" s="6"/>
      <c r="K212" s="6"/>
    </row>
    <row r="213" spans="8:11" x14ac:dyDescent="0.25">
      <c r="H213" s="6"/>
      <c r="I213" s="6"/>
      <c r="J213" s="6"/>
      <c r="K213" s="6"/>
    </row>
    <row r="214" spans="8:11" x14ac:dyDescent="0.25">
      <c r="H214" s="6"/>
      <c r="I214" s="6"/>
      <c r="J214" s="6"/>
      <c r="K214" s="6"/>
    </row>
    <row r="215" spans="8:11" x14ac:dyDescent="0.25">
      <c r="H215" s="6"/>
      <c r="I215" s="6"/>
      <c r="J215" s="6"/>
      <c r="K215" s="6"/>
    </row>
    <row r="216" spans="8:11" x14ac:dyDescent="0.25">
      <c r="H216" s="6"/>
      <c r="I216" s="6"/>
      <c r="J216" s="6"/>
      <c r="K216" s="6"/>
    </row>
    <row r="217" spans="8:11" x14ac:dyDescent="0.25">
      <c r="H217" s="6"/>
      <c r="I217" s="6"/>
      <c r="J217" s="6"/>
      <c r="K217" s="6"/>
    </row>
    <row r="218" spans="8:11" x14ac:dyDescent="0.25">
      <c r="H218" s="6"/>
      <c r="I218" s="6"/>
      <c r="J218" s="6"/>
      <c r="K218" s="6"/>
    </row>
    <row r="219" spans="8:11" x14ac:dyDescent="0.25">
      <c r="H219" s="6"/>
      <c r="I219" s="6"/>
      <c r="J219" s="6"/>
      <c r="K219" s="6"/>
    </row>
    <row r="220" spans="8:11" x14ac:dyDescent="0.25">
      <c r="H220" s="6"/>
      <c r="I220" s="6"/>
      <c r="J220" s="6"/>
      <c r="K220" s="6"/>
    </row>
    <row r="221" spans="8:11" x14ac:dyDescent="0.25">
      <c r="H221" s="6"/>
      <c r="I221" s="6"/>
      <c r="J221" s="6"/>
      <c r="K221" s="6"/>
    </row>
    <row r="222" spans="8:11" x14ac:dyDescent="0.25">
      <c r="H222" s="6"/>
      <c r="I222" s="6"/>
      <c r="J222" s="6"/>
      <c r="K222" s="6"/>
    </row>
    <row r="223" spans="8:11" x14ac:dyDescent="0.25">
      <c r="H223" s="6"/>
      <c r="I223" s="6"/>
      <c r="J223" s="6"/>
      <c r="K223" s="6"/>
    </row>
    <row r="224" spans="8:11" x14ac:dyDescent="0.25">
      <c r="H224" s="6"/>
      <c r="I224" s="6"/>
      <c r="J224" s="6"/>
      <c r="K224" s="6"/>
    </row>
    <row r="225" spans="8:11" x14ac:dyDescent="0.25">
      <c r="H225" s="6"/>
      <c r="I225" s="6"/>
      <c r="J225" s="6"/>
      <c r="K225" s="6"/>
    </row>
    <row r="226" spans="8:11" x14ac:dyDescent="0.25">
      <c r="H226" s="6"/>
      <c r="I226" s="6"/>
      <c r="J226" s="6"/>
      <c r="K226" s="6"/>
    </row>
    <row r="227" spans="8:11" x14ac:dyDescent="0.25">
      <c r="H227" s="6"/>
      <c r="I227" s="6"/>
      <c r="J227" s="6"/>
      <c r="K227" s="6"/>
    </row>
    <row r="228" spans="8:11" x14ac:dyDescent="0.25">
      <c r="H228" s="6"/>
      <c r="I228" s="6"/>
      <c r="J228" s="6"/>
      <c r="K228" s="6"/>
    </row>
    <row r="229" spans="8:11" x14ac:dyDescent="0.25">
      <c r="H229" s="6"/>
      <c r="I229" s="6"/>
      <c r="J229" s="6"/>
      <c r="K229" s="6"/>
    </row>
    <row r="230" spans="8:11" x14ac:dyDescent="0.25">
      <c r="H230" s="6"/>
      <c r="I230" s="6"/>
      <c r="J230" s="6"/>
      <c r="K230" s="6"/>
    </row>
    <row r="231" spans="8:11" x14ac:dyDescent="0.25">
      <c r="H231" s="6"/>
      <c r="I231" s="6"/>
      <c r="J231" s="6"/>
      <c r="K231" s="6"/>
    </row>
    <row r="232" spans="8:11" x14ac:dyDescent="0.25">
      <c r="H232" s="6"/>
      <c r="I232" s="6"/>
      <c r="J232" s="6"/>
      <c r="K232" s="6"/>
    </row>
    <row r="233" spans="8:11" x14ac:dyDescent="0.25">
      <c r="H233" s="6"/>
      <c r="I233" s="6"/>
      <c r="J233" s="6"/>
      <c r="K233" s="6"/>
    </row>
    <row r="234" spans="8:11" x14ac:dyDescent="0.25">
      <c r="H234" s="6"/>
      <c r="I234" s="6"/>
      <c r="J234" s="6"/>
      <c r="K234" s="6"/>
    </row>
    <row r="235" spans="8:11" x14ac:dyDescent="0.25">
      <c r="H235" s="6"/>
      <c r="I235" s="6"/>
      <c r="J235" s="6"/>
      <c r="K235" s="6"/>
    </row>
    <row r="236" spans="8:11" x14ac:dyDescent="0.25">
      <c r="H236" s="6"/>
      <c r="I236" s="6"/>
      <c r="J236" s="6"/>
      <c r="K236" s="6"/>
    </row>
    <row r="237" spans="8:11" x14ac:dyDescent="0.25">
      <c r="H237" s="6"/>
      <c r="I237" s="6"/>
      <c r="J237" s="6"/>
      <c r="K237" s="6"/>
    </row>
    <row r="238" spans="8:11" x14ac:dyDescent="0.25">
      <c r="H238" s="6"/>
      <c r="I238" s="6"/>
      <c r="J238" s="6"/>
      <c r="K238" s="6"/>
    </row>
    <row r="239" spans="8:11" x14ac:dyDescent="0.25">
      <c r="H239" s="6"/>
      <c r="I239" s="6"/>
      <c r="J239" s="6"/>
      <c r="K239" s="6"/>
    </row>
    <row r="240" spans="8:11" x14ac:dyDescent="0.25">
      <c r="H240" s="6"/>
      <c r="I240" s="6"/>
      <c r="J240" s="6"/>
      <c r="K240" s="6"/>
    </row>
    <row r="241" spans="8:11" x14ac:dyDescent="0.25">
      <c r="H241" s="6"/>
      <c r="I241" s="6"/>
      <c r="J241" s="6"/>
      <c r="K241" s="6"/>
    </row>
    <row r="242" spans="8:11" x14ac:dyDescent="0.25">
      <c r="H242" s="6"/>
      <c r="I242" s="6"/>
      <c r="J242" s="6"/>
      <c r="K242" s="6"/>
    </row>
    <row r="243" spans="8:11" x14ac:dyDescent="0.25">
      <c r="H243" s="6"/>
      <c r="I243" s="6"/>
      <c r="J243" s="6"/>
      <c r="K243" s="6"/>
    </row>
    <row r="244" spans="8:11" x14ac:dyDescent="0.25">
      <c r="H244" s="6"/>
      <c r="I244" s="6"/>
      <c r="J244" s="6"/>
      <c r="K244" s="6"/>
    </row>
    <row r="245" spans="8:11" x14ac:dyDescent="0.25">
      <c r="H245" s="6"/>
      <c r="I245" s="6"/>
      <c r="J245" s="6"/>
      <c r="K245" s="6"/>
    </row>
    <row r="246" spans="8:11" x14ac:dyDescent="0.25">
      <c r="H246" s="6"/>
      <c r="I246" s="6"/>
      <c r="J246" s="6"/>
      <c r="K246" s="6"/>
    </row>
    <row r="247" spans="8:11" x14ac:dyDescent="0.25">
      <c r="H247" s="6"/>
      <c r="I247" s="6"/>
      <c r="J247" s="6"/>
      <c r="K247" s="6"/>
    </row>
    <row r="248" spans="8:11" x14ac:dyDescent="0.25">
      <c r="H248" s="6"/>
      <c r="I248" s="6"/>
      <c r="J248" s="6"/>
      <c r="K248" s="6"/>
    </row>
    <row r="249" spans="8:11" x14ac:dyDescent="0.25">
      <c r="H249" s="6"/>
      <c r="I249" s="6"/>
      <c r="J249" s="6"/>
      <c r="K249" s="6"/>
    </row>
    <row r="250" spans="8:11" x14ac:dyDescent="0.25">
      <c r="H250" s="6"/>
      <c r="I250" s="6"/>
      <c r="J250" s="6"/>
      <c r="K250" s="6"/>
    </row>
    <row r="251" spans="8:11" x14ac:dyDescent="0.25">
      <c r="H251" s="6"/>
      <c r="I251" s="6"/>
      <c r="J251" s="6"/>
      <c r="K251" s="6"/>
    </row>
    <row r="252" spans="8:11" x14ac:dyDescent="0.25">
      <c r="H252" s="6"/>
      <c r="I252" s="6"/>
      <c r="J252" s="6"/>
      <c r="K252" s="6"/>
    </row>
  </sheetData>
  <sheetProtection algorithmName="SHA-512" hashValue="qFKvDStci66aOgju/oDCpgr2Dtp6SPjy6pdA8XqBlM4+FiTI6DTjPSSGYGVlQt4IymUibhVPd2JffRxLKPFSTg==" saltValue="y7ix1EJeY+W3vG1uMy1xCw==" spinCount="100000" sheet="1" objects="1" scenarios="1"/>
  <mergeCells count="9">
    <mergeCell ref="A27:A33"/>
    <mergeCell ref="A36:A42"/>
    <mergeCell ref="B36:F38"/>
    <mergeCell ref="B39:F42"/>
    <mergeCell ref="A2:A3"/>
    <mergeCell ref="B2:G2"/>
    <mergeCell ref="A4:A10"/>
    <mergeCell ref="A11:A18"/>
    <mergeCell ref="A19:A26"/>
  </mergeCells>
  <dataValidations count="1">
    <dataValidation allowBlank="1" showInputMessage="1" showErrorMessage="1" promptTitle="FE_Equip" sqref="B4:B33"/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"/>
  <sheetViews>
    <sheetView workbookViewId="0">
      <selection activeCell="E15" sqref="E15"/>
    </sheetView>
  </sheetViews>
  <sheetFormatPr defaultRowHeight="15" customHeight="1" x14ac:dyDescent="0.25"/>
  <cols>
    <col min="1" max="1" width="28.140625" bestFit="1" customWidth="1"/>
    <col min="2" max="5" width="14.5703125" customWidth="1"/>
    <col min="6" max="6" width="21.7109375" bestFit="1" customWidth="1"/>
    <col min="7" max="7" width="13.42578125" bestFit="1" customWidth="1"/>
  </cols>
  <sheetData>
    <row r="1" spans="1:14" ht="15" customHeight="1" x14ac:dyDescent="0.25">
      <c r="A1" s="155" t="s">
        <v>246</v>
      </c>
      <c r="B1" s="156"/>
      <c r="C1" s="156"/>
      <c r="D1" s="15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5" customHeight="1" x14ac:dyDescent="0.25">
      <c r="A2" s="94"/>
      <c r="B2" s="94" t="s">
        <v>11</v>
      </c>
      <c r="C2" s="94" t="s">
        <v>63</v>
      </c>
      <c r="D2" s="94" t="s">
        <v>99</v>
      </c>
      <c r="E2" s="6"/>
      <c r="F2" s="153" t="s">
        <v>135</v>
      </c>
      <c r="G2" s="154"/>
      <c r="H2" s="154"/>
      <c r="I2" s="154"/>
      <c r="J2" s="154"/>
      <c r="K2" s="157"/>
      <c r="L2" s="6"/>
      <c r="M2" s="153" t="s">
        <v>158</v>
      </c>
      <c r="N2" s="154"/>
    </row>
    <row r="3" spans="1:14" ht="15" customHeight="1" x14ac:dyDescent="0.25">
      <c r="A3" s="93" t="s">
        <v>100</v>
      </c>
      <c r="B3" s="4">
        <v>0.74</v>
      </c>
      <c r="C3" s="4">
        <v>0.35</v>
      </c>
      <c r="D3" s="4">
        <v>5.2999999999999999E-2</v>
      </c>
      <c r="E3" s="6"/>
      <c r="F3" s="120" t="s">
        <v>136</v>
      </c>
      <c r="G3" s="120" t="s">
        <v>137</v>
      </c>
      <c r="H3" s="120" t="s">
        <v>138</v>
      </c>
      <c r="I3" s="120"/>
      <c r="J3" s="120" t="s">
        <v>139</v>
      </c>
      <c r="K3" s="120"/>
      <c r="L3" s="6"/>
      <c r="M3" s="4" t="s">
        <v>164</v>
      </c>
      <c r="N3" s="27">
        <v>1700</v>
      </c>
    </row>
    <row r="4" spans="1:14" ht="15" customHeight="1" x14ac:dyDescent="0.25">
      <c r="A4" s="6"/>
      <c r="B4" s="6"/>
      <c r="C4" s="6"/>
      <c r="D4" s="6"/>
      <c r="E4" s="6"/>
      <c r="F4" s="120"/>
      <c r="G4" s="120"/>
      <c r="H4" s="94" t="s">
        <v>140</v>
      </c>
      <c r="I4" s="94" t="s">
        <v>141</v>
      </c>
      <c r="J4" s="94" t="s">
        <v>140</v>
      </c>
      <c r="K4" s="94" t="s">
        <v>141</v>
      </c>
      <c r="L4" s="6"/>
      <c r="M4" s="11"/>
      <c r="N4" s="11"/>
    </row>
    <row r="5" spans="1:14" ht="15" customHeight="1" x14ac:dyDescent="0.25">
      <c r="A5" s="151" t="s">
        <v>18</v>
      </c>
      <c r="B5" s="102"/>
      <c r="C5" s="103"/>
      <c r="D5" s="103"/>
      <c r="E5" s="104"/>
      <c r="F5" s="141" t="s">
        <v>142</v>
      </c>
      <c r="G5" s="11" t="s">
        <v>143</v>
      </c>
      <c r="H5" s="4" t="s">
        <v>90</v>
      </c>
      <c r="I5" s="4">
        <v>2.6</v>
      </c>
      <c r="J5" s="4" t="s">
        <v>90</v>
      </c>
      <c r="K5" s="4">
        <v>7.4</v>
      </c>
      <c r="L5" s="6"/>
      <c r="M5" s="6"/>
      <c r="N5" s="6"/>
    </row>
    <row r="6" spans="1:14" ht="15" customHeight="1" x14ac:dyDescent="0.25">
      <c r="A6" s="152"/>
      <c r="B6" s="105"/>
      <c r="C6" s="106"/>
      <c r="D6" s="106"/>
      <c r="E6" s="104"/>
      <c r="F6" s="141"/>
      <c r="G6" s="11" t="s">
        <v>144</v>
      </c>
      <c r="H6" s="4" t="s">
        <v>145</v>
      </c>
      <c r="I6" s="4">
        <v>3.8</v>
      </c>
      <c r="J6" s="4" t="s">
        <v>146</v>
      </c>
      <c r="K6" s="4">
        <v>3.6</v>
      </c>
      <c r="L6" s="6"/>
      <c r="M6" s="6"/>
      <c r="N6" s="6"/>
    </row>
    <row r="7" spans="1:14" ht="15" customHeight="1" x14ac:dyDescent="0.25">
      <c r="A7" s="152"/>
      <c r="B7" s="107"/>
      <c r="C7" s="108"/>
      <c r="D7" s="108"/>
      <c r="E7" s="104"/>
      <c r="F7" s="141"/>
      <c r="G7" s="11" t="s">
        <v>147</v>
      </c>
      <c r="H7" s="4" t="s">
        <v>148</v>
      </c>
      <c r="I7" s="4">
        <v>9</v>
      </c>
      <c r="J7" s="4" t="s">
        <v>149</v>
      </c>
      <c r="K7" s="4">
        <v>12</v>
      </c>
      <c r="L7" s="6"/>
      <c r="M7" s="6"/>
      <c r="N7" s="6"/>
    </row>
    <row r="8" spans="1:14" ht="15" customHeight="1" x14ac:dyDescent="0.25">
      <c r="A8" s="152"/>
      <c r="B8" s="142" t="s">
        <v>101</v>
      </c>
      <c r="C8" s="143"/>
      <c r="D8" s="144"/>
      <c r="E8" s="46"/>
      <c r="F8" s="141"/>
      <c r="G8" s="11" t="s">
        <v>150</v>
      </c>
      <c r="H8" s="4" t="s">
        <v>90</v>
      </c>
      <c r="I8" s="4">
        <v>9.1999999999999993</v>
      </c>
      <c r="J8" s="4" t="s">
        <v>90</v>
      </c>
      <c r="K8" s="4">
        <v>14</v>
      </c>
      <c r="L8" s="6"/>
      <c r="M8" s="6"/>
      <c r="N8" s="6"/>
    </row>
    <row r="9" spans="1:14" ht="15" customHeight="1" x14ac:dyDescent="0.25">
      <c r="A9" s="152"/>
      <c r="B9" s="145"/>
      <c r="C9" s="146"/>
      <c r="D9" s="147"/>
      <c r="E9" s="46"/>
      <c r="F9" s="141"/>
      <c r="G9" s="11" t="s">
        <v>151</v>
      </c>
      <c r="H9" s="4" t="s">
        <v>152</v>
      </c>
      <c r="I9" s="4">
        <v>6</v>
      </c>
      <c r="J9" s="4" t="s">
        <v>153</v>
      </c>
      <c r="K9" s="4">
        <v>10</v>
      </c>
      <c r="L9" s="6"/>
      <c r="M9" s="6"/>
      <c r="N9" s="6"/>
    </row>
    <row r="10" spans="1:14" ht="15" customHeight="1" x14ac:dyDescent="0.25">
      <c r="A10" s="152"/>
      <c r="B10" s="145"/>
      <c r="C10" s="146"/>
      <c r="D10" s="147"/>
      <c r="E10" s="46"/>
      <c r="F10" s="141"/>
      <c r="G10" s="11" t="s">
        <v>154</v>
      </c>
      <c r="H10" s="4" t="s">
        <v>155</v>
      </c>
      <c r="I10" s="4">
        <v>80</v>
      </c>
      <c r="J10" s="4" t="s">
        <v>156</v>
      </c>
      <c r="K10" s="4">
        <v>27</v>
      </c>
      <c r="L10" s="6"/>
      <c r="M10" s="6"/>
      <c r="N10" s="6"/>
    </row>
    <row r="11" spans="1:14" ht="15" customHeight="1" x14ac:dyDescent="0.25">
      <c r="A11" s="152"/>
      <c r="B11" s="145"/>
      <c r="C11" s="146"/>
      <c r="D11" s="147"/>
      <c r="E11" s="46"/>
      <c r="F11" s="141"/>
      <c r="G11" s="11" t="s">
        <v>157</v>
      </c>
      <c r="H11" s="4" t="s">
        <v>90</v>
      </c>
      <c r="I11" s="4">
        <v>12</v>
      </c>
      <c r="J11" s="4" t="s">
        <v>90</v>
      </c>
      <c r="K11" s="4">
        <v>11</v>
      </c>
      <c r="L11" s="6"/>
      <c r="M11" s="6"/>
      <c r="N11" s="6"/>
    </row>
    <row r="12" spans="1:14" ht="15" customHeight="1" x14ac:dyDescent="0.25">
      <c r="A12" s="152"/>
      <c r="B12" s="148"/>
      <c r="C12" s="149"/>
      <c r="D12" s="150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ht="15" customHeight="1" x14ac:dyDescent="0.25">
      <c r="A13" s="49"/>
      <c r="B13" s="16"/>
      <c r="C13" s="16"/>
      <c r="D13" s="16"/>
    </row>
    <row r="14" spans="1:14" ht="15" customHeight="1" x14ac:dyDescent="0.25">
      <c r="B14" s="48"/>
    </row>
    <row r="15" spans="1:14" ht="15" customHeight="1" x14ac:dyDescent="0.25">
      <c r="D15" s="47"/>
    </row>
  </sheetData>
  <sheetProtection algorithmName="SHA-512" hashValue="hP/sii07EHINZZvgqQ12x8XtsfWbv9zAUxsNUaHfd/IrhbVfTbaWLeR6XcDZlV2cqzFDzaxmvjisMNCnvjikdw==" saltValue="V1gN2S/Dw83pU8TALGE1Fg==" spinCount="100000" sheet="1" objects="1" scenarios="1"/>
  <mergeCells count="10">
    <mergeCell ref="F5:F11"/>
    <mergeCell ref="B8:D12"/>
    <mergeCell ref="A5:A12"/>
    <mergeCell ref="M2:N2"/>
    <mergeCell ref="A1:D1"/>
    <mergeCell ref="F2:K2"/>
    <mergeCell ref="F3:F4"/>
    <mergeCell ref="G3:G4"/>
    <mergeCell ref="H3:I3"/>
    <mergeCell ref="J3:K3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E18" sqref="E18"/>
    </sheetView>
  </sheetViews>
  <sheetFormatPr defaultRowHeight="15" x14ac:dyDescent="0.25"/>
  <cols>
    <col min="1" max="1" width="10.7109375" customWidth="1"/>
    <col min="2" max="2" width="26.28515625" customWidth="1"/>
    <col min="3" max="4" width="10.7109375" customWidth="1"/>
  </cols>
  <sheetData>
    <row r="1" spans="1:12" x14ac:dyDescent="0.25">
      <c r="A1" s="155" t="s">
        <v>159</v>
      </c>
      <c r="B1" s="156"/>
      <c r="C1" s="156"/>
      <c r="D1" s="15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53" t="s">
        <v>160</v>
      </c>
      <c r="B2" s="154"/>
      <c r="C2" s="154"/>
      <c r="D2" s="157"/>
      <c r="E2" s="6"/>
      <c r="F2" s="6"/>
      <c r="G2" s="6"/>
      <c r="H2" s="6"/>
      <c r="I2" s="6"/>
      <c r="J2" s="6"/>
      <c r="K2" s="6"/>
      <c r="L2" s="6"/>
    </row>
    <row r="3" spans="1:12" x14ac:dyDescent="0.25">
      <c r="A3" s="158" t="s">
        <v>11</v>
      </c>
      <c r="B3" s="163"/>
      <c r="C3" s="163"/>
      <c r="D3" s="163"/>
      <c r="E3" s="6"/>
      <c r="F3" s="6"/>
      <c r="G3" s="6"/>
      <c r="H3" s="6"/>
      <c r="I3" s="6"/>
      <c r="J3" s="6"/>
      <c r="K3" s="6"/>
      <c r="L3" s="6"/>
    </row>
    <row r="4" spans="1:12" x14ac:dyDescent="0.25">
      <c r="A4" s="162"/>
      <c r="B4" s="163"/>
      <c r="C4" s="163"/>
      <c r="D4" s="163"/>
      <c r="E4" s="6"/>
      <c r="F4" s="6"/>
      <c r="G4" s="6"/>
      <c r="H4" s="6"/>
      <c r="I4" s="6"/>
      <c r="J4" s="6"/>
      <c r="K4" s="6"/>
      <c r="L4" s="6"/>
    </row>
    <row r="5" spans="1:12" x14ac:dyDescent="0.25">
      <c r="A5" s="158" t="s">
        <v>161</v>
      </c>
      <c r="B5" s="163"/>
      <c r="C5" s="163"/>
      <c r="D5" s="163"/>
      <c r="E5" s="6"/>
      <c r="F5" s="6"/>
      <c r="G5" s="6"/>
      <c r="H5" s="6"/>
      <c r="I5" s="6"/>
      <c r="J5" s="6"/>
      <c r="K5" s="6"/>
      <c r="L5" s="6"/>
    </row>
    <row r="6" spans="1:12" x14ac:dyDescent="0.25">
      <c r="A6" s="159"/>
      <c r="B6" s="163"/>
      <c r="C6" s="163"/>
      <c r="D6" s="163"/>
      <c r="E6" s="6"/>
      <c r="F6" s="6"/>
      <c r="G6" s="6"/>
      <c r="H6" s="6"/>
      <c r="I6" s="6"/>
      <c r="J6" s="6"/>
      <c r="K6" s="6"/>
      <c r="L6" s="6"/>
    </row>
    <row r="7" spans="1:12" x14ac:dyDescent="0.25">
      <c r="A7" s="158" t="s">
        <v>162</v>
      </c>
      <c r="B7" s="160"/>
      <c r="C7" s="160"/>
      <c r="D7" s="160"/>
      <c r="E7" s="6"/>
      <c r="F7" s="6"/>
      <c r="G7" s="6"/>
      <c r="H7" s="6"/>
      <c r="I7" s="6"/>
      <c r="J7" s="6"/>
      <c r="K7" s="6"/>
      <c r="L7" s="6"/>
    </row>
    <row r="8" spans="1:12" x14ac:dyDescent="0.25">
      <c r="A8" s="159"/>
      <c r="B8" s="160"/>
      <c r="C8" s="160"/>
      <c r="D8" s="160"/>
      <c r="E8" s="6"/>
      <c r="F8" s="6"/>
      <c r="G8" s="6"/>
      <c r="H8" s="6"/>
      <c r="I8" s="6"/>
      <c r="J8" s="6"/>
      <c r="K8" s="6"/>
      <c r="L8" s="6"/>
    </row>
    <row r="9" spans="1:12" x14ac:dyDescent="0.25">
      <c r="A9" s="161" t="s">
        <v>163</v>
      </c>
      <c r="B9" s="161"/>
      <c r="C9" s="161"/>
      <c r="D9" s="161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161"/>
      <c r="B10" s="161"/>
      <c r="C10" s="161"/>
      <c r="D10" s="161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161"/>
      <c r="B11" s="161"/>
      <c r="C11" s="161"/>
      <c r="D11" s="161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161"/>
      <c r="B12" s="161"/>
      <c r="C12" s="161"/>
      <c r="D12" s="161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2" t="s">
        <v>274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2"/>
    </row>
  </sheetData>
  <sheetProtection algorithmName="SHA-512" hashValue="jr4MIDdpdDCpSxiov/LbWUVmFqPMv7wNcIu1oNmSjVqWXO6BLx3aPBVBJ/ZNWBh7rhTHqURQZUULCAPpYHqKeQ==" saltValue="1YmvEB6BVeTS4YwhYXjePQ==" spinCount="100000" sheet="1" objects="1" scenarios="1"/>
  <mergeCells count="9">
    <mergeCell ref="A7:A8"/>
    <mergeCell ref="B7:D8"/>
    <mergeCell ref="A9:D12"/>
    <mergeCell ref="A1:D1"/>
    <mergeCell ref="A2:D2"/>
    <mergeCell ref="A3:A4"/>
    <mergeCell ref="B3:D4"/>
    <mergeCell ref="A5:A6"/>
    <mergeCell ref="B5:D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workbookViewId="0">
      <selection activeCell="F22" sqref="F22"/>
    </sheetView>
  </sheetViews>
  <sheetFormatPr defaultRowHeight="15" x14ac:dyDescent="0.25"/>
  <cols>
    <col min="1" max="4" width="14.85546875" customWidth="1"/>
    <col min="6" max="7" width="12.140625" customWidth="1"/>
    <col min="8" max="8" width="17.5703125" customWidth="1"/>
    <col min="9" max="10" width="12.140625" customWidth="1"/>
  </cols>
  <sheetData>
    <row r="1" spans="1:14" x14ac:dyDescent="0.25">
      <c r="A1" s="2" t="s">
        <v>24</v>
      </c>
      <c r="B1" s="2"/>
      <c r="C1" s="2"/>
      <c r="D1" s="2"/>
      <c r="E1" s="2"/>
      <c r="F1" s="120" t="s">
        <v>25</v>
      </c>
      <c r="G1" s="120"/>
      <c r="H1" s="120"/>
      <c r="I1" s="120"/>
      <c r="J1" s="120"/>
      <c r="K1" s="6"/>
      <c r="L1" s="6"/>
      <c r="M1" s="6"/>
      <c r="N1" s="6"/>
    </row>
    <row r="2" spans="1:14" ht="33.75" x14ac:dyDescent="0.25">
      <c r="A2" s="166" t="s">
        <v>26</v>
      </c>
      <c r="B2" s="166"/>
      <c r="C2" s="166"/>
      <c r="D2" s="166"/>
      <c r="E2" s="6"/>
      <c r="F2" s="94" t="s">
        <v>27</v>
      </c>
      <c r="G2" s="9" t="s">
        <v>28</v>
      </c>
      <c r="H2" s="9" t="s">
        <v>29</v>
      </c>
      <c r="I2" s="94" t="s">
        <v>30</v>
      </c>
      <c r="J2" s="94" t="s">
        <v>31</v>
      </c>
      <c r="K2" s="6"/>
      <c r="L2" s="6"/>
      <c r="M2" s="6"/>
      <c r="N2" s="6"/>
    </row>
    <row r="3" spans="1:14" x14ac:dyDescent="0.25">
      <c r="A3" s="120" t="s">
        <v>32</v>
      </c>
      <c r="B3" s="120"/>
      <c r="C3" s="120"/>
      <c r="D3" s="120"/>
      <c r="E3" s="6"/>
      <c r="F3" s="4" t="s">
        <v>33</v>
      </c>
      <c r="G3" s="4">
        <v>0</v>
      </c>
      <c r="H3" s="4">
        <v>0</v>
      </c>
      <c r="I3" s="4">
        <v>31</v>
      </c>
      <c r="J3" s="10">
        <f t="shared" ref="J3:J14" si="0">(I3-H3)/I3</f>
        <v>1</v>
      </c>
      <c r="K3" s="6"/>
      <c r="L3" s="6"/>
      <c r="M3" s="6"/>
      <c r="N3" s="6"/>
    </row>
    <row r="4" spans="1:14" x14ac:dyDescent="0.25">
      <c r="A4" s="120" t="s">
        <v>34</v>
      </c>
      <c r="B4" s="120" t="s">
        <v>35</v>
      </c>
      <c r="C4" s="120"/>
      <c r="D4" s="120"/>
      <c r="E4" s="6"/>
      <c r="F4" s="4" t="s">
        <v>36</v>
      </c>
      <c r="G4" s="4">
        <v>52</v>
      </c>
      <c r="H4" s="4">
        <v>7</v>
      </c>
      <c r="I4" s="4">
        <v>28</v>
      </c>
      <c r="J4" s="10">
        <f t="shared" si="0"/>
        <v>0.75</v>
      </c>
      <c r="K4" s="6"/>
      <c r="L4" s="6"/>
      <c r="M4" s="6"/>
      <c r="N4" s="6"/>
    </row>
    <row r="5" spans="1:14" x14ac:dyDescent="0.25">
      <c r="A5" s="120"/>
      <c r="B5" s="94" t="s">
        <v>37</v>
      </c>
      <c r="C5" s="94" t="s">
        <v>38</v>
      </c>
      <c r="D5" s="94" t="s">
        <v>39</v>
      </c>
      <c r="E5" s="6"/>
      <c r="F5" s="4" t="s">
        <v>40</v>
      </c>
      <c r="G5" s="4">
        <v>69</v>
      </c>
      <c r="H5" s="4">
        <v>7</v>
      </c>
      <c r="I5" s="4">
        <v>31</v>
      </c>
      <c r="J5" s="10">
        <f t="shared" si="0"/>
        <v>0.77419354838709675</v>
      </c>
      <c r="K5" s="6"/>
      <c r="L5" s="6"/>
      <c r="M5" s="6"/>
      <c r="N5" s="6"/>
    </row>
    <row r="6" spans="1:14" x14ac:dyDescent="0.25">
      <c r="A6" s="11" t="s">
        <v>41</v>
      </c>
      <c r="B6" s="11">
        <v>0.15</v>
      </c>
      <c r="C6" s="11">
        <v>1.5</v>
      </c>
      <c r="D6" s="11">
        <v>4.9000000000000004</v>
      </c>
      <c r="E6" s="6"/>
      <c r="F6" s="4" t="s">
        <v>42</v>
      </c>
      <c r="G6" s="4">
        <v>44</v>
      </c>
      <c r="H6" s="4">
        <v>8</v>
      </c>
      <c r="I6" s="4">
        <v>30</v>
      </c>
      <c r="J6" s="10">
        <f t="shared" si="0"/>
        <v>0.73333333333333328</v>
      </c>
      <c r="K6" s="6"/>
      <c r="L6" s="6"/>
      <c r="M6" s="6"/>
      <c r="N6" s="6"/>
    </row>
    <row r="7" spans="1:14" x14ac:dyDescent="0.25">
      <c r="A7" s="11" t="s">
        <v>43</v>
      </c>
      <c r="B7" s="11">
        <v>0.9</v>
      </c>
      <c r="C7" s="11">
        <v>0.9</v>
      </c>
      <c r="D7" s="11">
        <v>0.7</v>
      </c>
      <c r="E7" s="6"/>
      <c r="F7" s="4" t="s">
        <v>44</v>
      </c>
      <c r="G7" s="4">
        <v>185.8</v>
      </c>
      <c r="H7" s="4">
        <v>16</v>
      </c>
      <c r="I7" s="4">
        <v>31</v>
      </c>
      <c r="J7" s="10">
        <f t="shared" si="0"/>
        <v>0.4838709677419355</v>
      </c>
      <c r="K7" s="6"/>
      <c r="L7" s="6"/>
      <c r="M7" s="6"/>
      <c r="N7" s="6"/>
    </row>
    <row r="8" spans="1:14" x14ac:dyDescent="0.25">
      <c r="A8" s="11" t="s">
        <v>45</v>
      </c>
      <c r="B8" s="11">
        <v>0.45</v>
      </c>
      <c r="C8" s="11">
        <v>0.45</v>
      </c>
      <c r="D8" s="11">
        <v>0.45</v>
      </c>
      <c r="E8" s="6"/>
      <c r="F8" s="4" t="s">
        <v>46</v>
      </c>
      <c r="G8" s="4">
        <v>119.2</v>
      </c>
      <c r="H8" s="4">
        <v>9</v>
      </c>
      <c r="I8" s="4">
        <v>30</v>
      </c>
      <c r="J8" s="10">
        <f t="shared" si="0"/>
        <v>0.7</v>
      </c>
      <c r="K8" s="6"/>
      <c r="L8" s="6"/>
      <c r="M8" s="6"/>
      <c r="N8" s="6"/>
    </row>
    <row r="9" spans="1:14" x14ac:dyDescent="0.25">
      <c r="A9" s="11" t="s">
        <v>47</v>
      </c>
      <c r="B9" s="12">
        <v>281.89999999999998</v>
      </c>
      <c r="C9" s="11" t="s">
        <v>48</v>
      </c>
      <c r="D9" s="11"/>
      <c r="E9" s="6"/>
      <c r="F9" s="4" t="s">
        <v>49</v>
      </c>
      <c r="G9" s="4">
        <v>17.8</v>
      </c>
      <c r="H9" s="4">
        <v>6</v>
      </c>
      <c r="I9" s="4">
        <v>31</v>
      </c>
      <c r="J9" s="10">
        <f t="shared" si="0"/>
        <v>0.80645161290322576</v>
      </c>
      <c r="K9" s="6"/>
      <c r="L9" s="6"/>
      <c r="M9" s="6"/>
      <c r="N9" s="6"/>
    </row>
    <row r="10" spans="1:14" x14ac:dyDescent="0.25">
      <c r="A10" s="164" t="s">
        <v>50</v>
      </c>
      <c r="B10" s="164"/>
      <c r="C10" s="164"/>
      <c r="D10" s="164"/>
      <c r="E10" s="6"/>
      <c r="F10" s="4" t="s">
        <v>51</v>
      </c>
      <c r="G10" s="4">
        <v>70.2</v>
      </c>
      <c r="H10" s="4">
        <v>11</v>
      </c>
      <c r="I10" s="4">
        <v>31</v>
      </c>
      <c r="J10" s="10">
        <f t="shared" si="0"/>
        <v>0.64516129032258063</v>
      </c>
      <c r="K10" s="6"/>
      <c r="L10" s="6"/>
      <c r="M10" s="6"/>
      <c r="N10" s="6"/>
    </row>
    <row r="11" spans="1:14" x14ac:dyDescent="0.25">
      <c r="A11" s="164"/>
      <c r="B11" s="164"/>
      <c r="C11" s="164"/>
      <c r="D11" s="164"/>
      <c r="E11" s="6"/>
      <c r="F11" s="4" t="s">
        <v>52</v>
      </c>
      <c r="G11" s="4">
        <v>25.2</v>
      </c>
      <c r="H11" s="4">
        <v>7</v>
      </c>
      <c r="I11" s="4">
        <v>30</v>
      </c>
      <c r="J11" s="10">
        <f t="shared" si="0"/>
        <v>0.76666666666666672</v>
      </c>
      <c r="K11" s="6"/>
      <c r="L11" s="6"/>
      <c r="M11" s="6"/>
      <c r="N11" s="6"/>
    </row>
    <row r="12" spans="1:14" x14ac:dyDescent="0.25">
      <c r="A12" s="164"/>
      <c r="B12" s="165" t="s">
        <v>53</v>
      </c>
      <c r="C12" s="165"/>
      <c r="D12" s="165"/>
      <c r="E12" s="6"/>
      <c r="F12" s="4" t="s">
        <v>54</v>
      </c>
      <c r="G12" s="4">
        <v>54.4</v>
      </c>
      <c r="H12" s="4">
        <v>6</v>
      </c>
      <c r="I12" s="4">
        <v>31</v>
      </c>
      <c r="J12" s="10">
        <f t="shared" si="0"/>
        <v>0.80645161290322576</v>
      </c>
      <c r="K12" s="6"/>
      <c r="L12" s="6"/>
      <c r="M12" s="6"/>
      <c r="N12" s="6"/>
    </row>
    <row r="13" spans="1:14" x14ac:dyDescent="0.25">
      <c r="A13" s="164"/>
      <c r="B13" s="165"/>
      <c r="C13" s="165"/>
      <c r="D13" s="165"/>
      <c r="E13" s="6"/>
      <c r="F13" s="4" t="s">
        <v>55</v>
      </c>
      <c r="G13" s="13">
        <v>48.6</v>
      </c>
      <c r="H13" s="4">
        <v>9</v>
      </c>
      <c r="I13" s="4">
        <v>30</v>
      </c>
      <c r="J13" s="10">
        <f t="shared" si="0"/>
        <v>0.7</v>
      </c>
      <c r="K13" s="6"/>
      <c r="L13" s="6"/>
      <c r="M13" s="6"/>
      <c r="N13" s="6"/>
    </row>
    <row r="14" spans="1:14" x14ac:dyDescent="0.25">
      <c r="A14" s="164"/>
      <c r="B14" s="165"/>
      <c r="C14" s="165"/>
      <c r="D14" s="165"/>
      <c r="E14" s="6"/>
      <c r="F14" s="4" t="s">
        <v>56</v>
      </c>
      <c r="G14" s="4">
        <v>91.4</v>
      </c>
      <c r="H14" s="4">
        <v>6</v>
      </c>
      <c r="I14" s="4">
        <v>31</v>
      </c>
      <c r="J14" s="10">
        <f t="shared" si="0"/>
        <v>0.80645161290322576</v>
      </c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3"/>
      <c r="G15" s="2"/>
      <c r="H15" s="2"/>
      <c r="I15" s="91"/>
      <c r="J15" s="2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14" t="s">
        <v>57</v>
      </c>
      <c r="G16" s="15">
        <f>(365-SUM(H3:H14))/365</f>
        <v>0.74794520547945209</v>
      </c>
      <c r="H16" s="2"/>
      <c r="I16" s="2"/>
      <c r="J16" s="2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120" t="s">
        <v>58</v>
      </c>
      <c r="B18" s="167" t="s">
        <v>59</v>
      </c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</row>
    <row r="19" spans="1:14" x14ac:dyDescent="0.25">
      <c r="A19" s="120"/>
      <c r="B19" s="120" t="s">
        <v>60</v>
      </c>
      <c r="C19" s="120"/>
      <c r="D19" s="120"/>
      <c r="E19" s="120"/>
      <c r="F19" s="120"/>
      <c r="G19" s="120"/>
      <c r="H19" s="120"/>
      <c r="I19" s="120" t="s">
        <v>61</v>
      </c>
      <c r="J19" s="120"/>
      <c r="K19" s="120"/>
      <c r="L19" s="120" t="s">
        <v>62</v>
      </c>
      <c r="M19" s="120"/>
      <c r="N19" s="120"/>
    </row>
    <row r="20" spans="1:14" x14ac:dyDescent="0.25">
      <c r="A20" s="120"/>
      <c r="B20" s="94" t="s">
        <v>11</v>
      </c>
      <c r="C20" s="94" t="s">
        <v>63</v>
      </c>
      <c r="D20" s="94" t="s">
        <v>64</v>
      </c>
      <c r="E20" s="94" t="s">
        <v>65</v>
      </c>
      <c r="F20" s="94" t="s">
        <v>66</v>
      </c>
      <c r="G20" s="94" t="s">
        <v>14</v>
      </c>
      <c r="H20" s="94" t="s">
        <v>67</v>
      </c>
      <c r="I20" s="94" t="s">
        <v>11</v>
      </c>
      <c r="J20" s="94" t="s">
        <v>63</v>
      </c>
      <c r="K20" s="94" t="s">
        <v>64</v>
      </c>
      <c r="L20" s="94" t="s">
        <v>11</v>
      </c>
      <c r="M20" s="94" t="s">
        <v>63</v>
      </c>
      <c r="N20" s="94" t="s">
        <v>64</v>
      </c>
    </row>
    <row r="21" spans="1:14" x14ac:dyDescent="0.25">
      <c r="A21" s="17" t="s">
        <v>68</v>
      </c>
      <c r="B21" s="99">
        <v>0.17489827604766656</v>
      </c>
      <c r="C21" s="99">
        <v>0.17489827604766656</v>
      </c>
      <c r="D21" s="99">
        <v>0.17489827604766656</v>
      </c>
      <c r="E21" s="99">
        <v>5.4345140567386743</v>
      </c>
      <c r="F21" s="99">
        <v>0.21032135261668511</v>
      </c>
      <c r="G21" s="99">
        <v>1.0383730075038093</v>
      </c>
      <c r="H21" s="99">
        <v>0.24766340643796464</v>
      </c>
      <c r="I21" s="100">
        <v>6.7633804693835883E-2</v>
      </c>
      <c r="J21" s="100">
        <v>5.1332470377789451E-2</v>
      </c>
      <c r="K21" s="100">
        <v>2.7520218195668727E-2</v>
      </c>
      <c r="L21" s="100">
        <v>6.3494136177677976E-2</v>
      </c>
      <c r="M21" s="100">
        <v>3.1747068088838988E-2</v>
      </c>
      <c r="N21" s="100">
        <v>1.7137767759244575E-2</v>
      </c>
    </row>
    <row r="22" spans="1:14" x14ac:dyDescent="0.25">
      <c r="A22" s="17" t="s">
        <v>88</v>
      </c>
      <c r="B22" s="101">
        <v>4.3301894442712282E-3</v>
      </c>
      <c r="C22" s="101">
        <v>4.3301894442712282E-3</v>
      </c>
      <c r="D22" s="101">
        <v>4.3301894442712282E-3</v>
      </c>
      <c r="E22" s="101">
        <v>0.76881387189536698</v>
      </c>
      <c r="F22" s="101">
        <v>1.2085926243704635E-2</v>
      </c>
      <c r="G22" s="101">
        <v>0.8986999736206005</v>
      </c>
      <c r="H22" s="101">
        <v>0.74972188096282644</v>
      </c>
      <c r="I22" s="100">
        <v>1.82000432579928E-2</v>
      </c>
      <c r="J22" s="100">
        <v>1.3800032800016517E-2</v>
      </c>
      <c r="K22" s="100">
        <v>7.4000175884146556E-3</v>
      </c>
      <c r="L22" s="100">
        <v>1.5000035652191863E-2</v>
      </c>
      <c r="M22" s="100">
        <v>7.5000178260959316E-3</v>
      </c>
      <c r="N22" s="100">
        <v>4.1000097449324447E-3</v>
      </c>
    </row>
  </sheetData>
  <sheetProtection algorithmName="SHA-512" hashValue="VB/JRw6yb33/NBXHHxAM5jM1xi1l0+QGZVQc/+nkBtAv2Xt7/eOxBcbGzJPhuQk19K0qPNW5IUJyuhlAUJUjlQ==" saltValue="3jf8bLvHVzelkLMSa8bbEg==" spinCount="100000" sheet="1" objects="1" scenarios="1"/>
  <mergeCells count="13">
    <mergeCell ref="A18:A20"/>
    <mergeCell ref="B18:N18"/>
    <mergeCell ref="B19:H19"/>
    <mergeCell ref="I19:K19"/>
    <mergeCell ref="L19:N19"/>
    <mergeCell ref="A10:A14"/>
    <mergeCell ref="B10:D11"/>
    <mergeCell ref="B12:D14"/>
    <mergeCell ref="F1:J1"/>
    <mergeCell ref="A2:D2"/>
    <mergeCell ref="A3:D3"/>
    <mergeCell ref="A4:A5"/>
    <mergeCell ref="B4:D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"/>
  <sheetViews>
    <sheetView workbookViewId="0">
      <selection activeCell="E10" sqref="E10"/>
    </sheetView>
  </sheetViews>
  <sheetFormatPr defaultRowHeight="15" customHeight="1" x14ac:dyDescent="0.25"/>
  <cols>
    <col min="1" max="1" width="27.7109375" style="2" customWidth="1"/>
    <col min="2" max="2" width="9.5703125" style="2" bestFit="1" customWidth="1"/>
    <col min="3" max="3" width="9.140625" style="2"/>
    <col min="4" max="4" width="13.42578125" style="2" bestFit="1" customWidth="1"/>
    <col min="5" max="5" width="29.140625" style="2" bestFit="1" customWidth="1"/>
    <col min="6" max="6" width="22.5703125" style="2" bestFit="1" customWidth="1"/>
    <col min="7" max="7" width="10.85546875" style="2" customWidth="1"/>
    <col min="8" max="8" width="21.140625" style="2" bestFit="1" customWidth="1"/>
    <col min="9" max="9" width="24" style="2" bestFit="1" customWidth="1"/>
    <col min="10" max="10" width="10.7109375" style="2" customWidth="1"/>
    <col min="11" max="11" width="29.140625" style="2" customWidth="1"/>
    <col min="12" max="12" width="12.7109375" style="2" customWidth="1"/>
    <col min="13" max="16384" width="9.140625" style="2"/>
  </cols>
  <sheetData>
    <row r="1" spans="1:12" ht="15" customHeight="1" x14ac:dyDescent="0.25">
      <c r="A1" s="2" t="s">
        <v>262</v>
      </c>
    </row>
    <row r="2" spans="1:12" ht="15" customHeight="1" x14ac:dyDescent="0.25">
      <c r="A2" s="170" t="s">
        <v>175</v>
      </c>
      <c r="B2" s="170"/>
      <c r="D2" s="172" t="s">
        <v>177</v>
      </c>
      <c r="E2" s="172"/>
      <c r="F2" s="172"/>
      <c r="G2" s="172"/>
      <c r="H2" s="172"/>
      <c r="I2" s="172"/>
      <c r="J2" s="25"/>
      <c r="K2" s="170" t="s">
        <v>167</v>
      </c>
      <c r="L2" s="170"/>
    </row>
    <row r="3" spans="1:12" ht="15" customHeight="1" x14ac:dyDescent="0.25">
      <c r="A3" s="2" t="s">
        <v>102</v>
      </c>
      <c r="B3" s="91">
        <v>2002</v>
      </c>
      <c r="C3" s="91"/>
      <c r="D3" s="96" t="s">
        <v>104</v>
      </c>
      <c r="E3" s="96" t="s">
        <v>0</v>
      </c>
      <c r="F3" s="96" t="s">
        <v>1</v>
      </c>
      <c r="G3" s="96" t="s">
        <v>2</v>
      </c>
      <c r="H3" s="96" t="s">
        <v>105</v>
      </c>
      <c r="I3" s="96" t="s">
        <v>22</v>
      </c>
      <c r="J3" s="25"/>
      <c r="K3" s="96" t="s">
        <v>165</v>
      </c>
      <c r="L3" s="96" t="s">
        <v>166</v>
      </c>
    </row>
    <row r="4" spans="1:12" ht="15" customHeight="1" x14ac:dyDescent="0.25">
      <c r="A4" s="2" t="s">
        <v>103</v>
      </c>
      <c r="B4" s="91">
        <v>35</v>
      </c>
      <c r="C4" s="91"/>
      <c r="D4" s="57" t="s">
        <v>115</v>
      </c>
      <c r="E4" s="95" t="s">
        <v>116</v>
      </c>
      <c r="F4" s="95">
        <v>1</v>
      </c>
      <c r="G4" s="64">
        <v>86</v>
      </c>
      <c r="H4" s="95">
        <v>6</v>
      </c>
      <c r="I4" s="62">
        <v>24565</v>
      </c>
      <c r="J4" s="25"/>
      <c r="K4" s="91">
        <v>2002</v>
      </c>
      <c r="L4" s="56">
        <v>89784.79</v>
      </c>
    </row>
    <row r="5" spans="1:12" ht="15" customHeight="1" x14ac:dyDescent="0.25">
      <c r="A5" s="2" t="s">
        <v>106</v>
      </c>
      <c r="B5" s="91">
        <v>24</v>
      </c>
      <c r="D5" s="28" t="s">
        <v>128</v>
      </c>
      <c r="E5" s="65" t="s">
        <v>127</v>
      </c>
      <c r="F5" s="65">
        <v>3</v>
      </c>
      <c r="G5" s="65">
        <v>90</v>
      </c>
      <c r="H5" s="65">
        <v>8</v>
      </c>
      <c r="I5" s="66">
        <v>55105.599999999999</v>
      </c>
      <c r="J5" s="25"/>
      <c r="K5" s="91">
        <v>2003</v>
      </c>
      <c r="L5" s="56">
        <v>126318.51</v>
      </c>
    </row>
    <row r="6" spans="1:12" ht="15" customHeight="1" x14ac:dyDescent="0.25">
      <c r="A6" s="2" t="s">
        <v>237</v>
      </c>
      <c r="B6" s="91">
        <f>(365-52)</f>
        <v>313</v>
      </c>
      <c r="C6" s="91"/>
      <c r="D6" s="25" t="s">
        <v>3</v>
      </c>
      <c r="E6" s="91" t="s">
        <v>117</v>
      </c>
      <c r="F6" s="91">
        <v>1</v>
      </c>
      <c r="G6" s="67">
        <v>111.06</v>
      </c>
      <c r="H6" s="91">
        <v>4</v>
      </c>
      <c r="I6" s="53">
        <v>1333</v>
      </c>
      <c r="J6" s="25"/>
      <c r="K6" s="91">
        <v>2004</v>
      </c>
      <c r="L6" s="56">
        <v>131042.57</v>
      </c>
    </row>
    <row r="7" spans="1:12" ht="15" customHeight="1" x14ac:dyDescent="0.25">
      <c r="A7" s="2" t="s">
        <v>238</v>
      </c>
      <c r="B7" s="53">
        <f>$B$6*B5</f>
        <v>7512</v>
      </c>
      <c r="C7" s="91"/>
      <c r="D7" s="25" t="s">
        <v>3</v>
      </c>
      <c r="E7" s="91" t="s">
        <v>118</v>
      </c>
      <c r="F7" s="91">
        <v>1</v>
      </c>
      <c r="G7" s="91">
        <v>97.09</v>
      </c>
      <c r="H7" s="91">
        <v>4</v>
      </c>
      <c r="I7" s="53">
        <v>6595</v>
      </c>
      <c r="J7" s="25"/>
      <c r="K7" s="91">
        <v>2005</v>
      </c>
      <c r="L7" s="56">
        <v>104416.42</v>
      </c>
    </row>
    <row r="8" spans="1:12" ht="15" customHeight="1" x14ac:dyDescent="0.25">
      <c r="A8" s="2" t="s">
        <v>109</v>
      </c>
      <c r="B8" s="91" t="s">
        <v>110</v>
      </c>
      <c r="D8" s="25" t="s">
        <v>119</v>
      </c>
      <c r="E8" s="91" t="s">
        <v>120</v>
      </c>
      <c r="F8" s="91">
        <v>1</v>
      </c>
      <c r="G8" s="15">
        <v>104</v>
      </c>
      <c r="H8" s="91">
        <v>2</v>
      </c>
      <c r="I8" s="53">
        <v>6522</v>
      </c>
      <c r="J8" s="25"/>
      <c r="K8" s="91">
        <v>2006</v>
      </c>
      <c r="L8" s="56">
        <v>108325.17</v>
      </c>
    </row>
    <row r="9" spans="1:12" ht="15" customHeight="1" x14ac:dyDescent="0.25">
      <c r="A9" s="2" t="s">
        <v>112</v>
      </c>
      <c r="B9" s="53">
        <v>27900</v>
      </c>
      <c r="D9" s="25" t="s">
        <v>4</v>
      </c>
      <c r="E9" s="91" t="s">
        <v>117</v>
      </c>
      <c r="F9" s="91">
        <v>1</v>
      </c>
      <c r="G9" s="91">
        <v>63</v>
      </c>
      <c r="H9" s="91">
        <v>8</v>
      </c>
      <c r="I9" s="53">
        <v>9188</v>
      </c>
      <c r="J9" s="25"/>
      <c r="K9" s="91">
        <v>2007</v>
      </c>
      <c r="L9" s="56">
        <v>110719.28</v>
      </c>
    </row>
    <row r="10" spans="1:12" ht="15" customHeight="1" x14ac:dyDescent="0.25">
      <c r="A10" s="2" t="s">
        <v>239</v>
      </c>
      <c r="B10" s="21">
        <v>2</v>
      </c>
      <c r="D10" s="25" t="s">
        <v>122</v>
      </c>
      <c r="E10" s="91" t="s">
        <v>90</v>
      </c>
      <c r="F10" s="91">
        <v>1</v>
      </c>
      <c r="G10" s="15">
        <v>85</v>
      </c>
      <c r="H10" s="91">
        <v>4</v>
      </c>
      <c r="I10" s="53">
        <v>2223</v>
      </c>
      <c r="J10" s="25"/>
      <c r="K10" s="91">
        <v>2008</v>
      </c>
      <c r="L10" s="56">
        <v>119474.62</v>
      </c>
    </row>
    <row r="11" spans="1:12" ht="15" customHeight="1" x14ac:dyDescent="0.25">
      <c r="B11" s="56"/>
      <c r="E11" s="91"/>
      <c r="F11" s="91"/>
      <c r="G11" s="91"/>
      <c r="H11" s="21"/>
      <c r="I11" s="21"/>
      <c r="J11" s="25"/>
      <c r="K11" s="91">
        <v>2009</v>
      </c>
      <c r="L11" s="56">
        <v>123309.56</v>
      </c>
    </row>
    <row r="12" spans="1:12" ht="15" customHeight="1" x14ac:dyDescent="0.25">
      <c r="C12" s="25"/>
      <c r="H12" s="25"/>
      <c r="I12" s="25"/>
      <c r="J12" s="25"/>
      <c r="K12" s="91">
        <v>2010</v>
      </c>
      <c r="L12" s="56">
        <v>125910.37</v>
      </c>
    </row>
    <row r="13" spans="1:12" ht="15" customHeight="1" x14ac:dyDescent="0.25">
      <c r="A13" s="170" t="s">
        <v>176</v>
      </c>
      <c r="B13" s="170"/>
      <c r="C13" s="25"/>
      <c r="D13" s="172" t="s">
        <v>129</v>
      </c>
      <c r="E13" s="172"/>
      <c r="F13" s="172"/>
      <c r="G13" s="172"/>
      <c r="H13" s="172"/>
      <c r="I13" s="172"/>
      <c r="K13" s="91">
        <v>2011</v>
      </c>
      <c r="L13" s="56">
        <v>329330.76</v>
      </c>
    </row>
    <row r="14" spans="1:12" ht="15" customHeight="1" x14ac:dyDescent="0.25">
      <c r="A14" s="91" t="s">
        <v>121</v>
      </c>
      <c r="B14" s="91"/>
      <c r="C14" s="25"/>
      <c r="D14" s="96" t="s">
        <v>104</v>
      </c>
      <c r="E14" s="96" t="s">
        <v>0</v>
      </c>
      <c r="F14" s="96" t="s">
        <v>1</v>
      </c>
      <c r="G14" s="96" t="s">
        <v>2</v>
      </c>
      <c r="H14" s="96" t="s">
        <v>105</v>
      </c>
      <c r="I14" s="96" t="s">
        <v>22</v>
      </c>
      <c r="K14" s="91">
        <v>2012</v>
      </c>
      <c r="L14" s="56">
        <v>356101.2</v>
      </c>
    </row>
    <row r="15" spans="1:12" ht="15" customHeight="1" x14ac:dyDescent="0.25">
      <c r="A15" s="2" t="s">
        <v>123</v>
      </c>
      <c r="B15" s="61">
        <f>((55+75)/2)/100</f>
        <v>0.65</v>
      </c>
      <c r="C15" s="25"/>
      <c r="D15" s="63" t="s">
        <v>107</v>
      </c>
      <c r="E15" s="95" t="s">
        <v>108</v>
      </c>
      <c r="F15" s="95">
        <v>1</v>
      </c>
      <c r="G15" s="95">
        <v>98.56</v>
      </c>
      <c r="H15" s="95">
        <v>8</v>
      </c>
      <c r="I15" s="62">
        <v>7677</v>
      </c>
      <c r="K15" s="91">
        <v>2013</v>
      </c>
      <c r="L15" s="56">
        <v>311818.45</v>
      </c>
    </row>
    <row r="16" spans="1:12" ht="15" customHeight="1" x14ac:dyDescent="0.25">
      <c r="A16" s="2" t="s">
        <v>125</v>
      </c>
      <c r="B16" s="91">
        <v>-40.387509000000001</v>
      </c>
      <c r="C16" s="25"/>
      <c r="D16" s="63" t="s">
        <v>107</v>
      </c>
      <c r="E16" s="95" t="s">
        <v>111</v>
      </c>
      <c r="F16" s="95">
        <v>1</v>
      </c>
      <c r="G16" s="95">
        <v>150.04</v>
      </c>
      <c r="H16" s="95">
        <v>8</v>
      </c>
      <c r="I16" s="62">
        <v>9040</v>
      </c>
      <c r="K16" s="91">
        <v>2014</v>
      </c>
      <c r="L16" s="56">
        <v>366828.43</v>
      </c>
    </row>
    <row r="17" spans="1:12" ht="15" customHeight="1" x14ac:dyDescent="0.25">
      <c r="A17" s="2" t="s">
        <v>126</v>
      </c>
      <c r="B17" s="91">
        <v>-20.459161000000002</v>
      </c>
      <c r="D17" s="63" t="s">
        <v>113</v>
      </c>
      <c r="E17" s="95" t="s">
        <v>111</v>
      </c>
      <c r="F17" s="95">
        <v>1</v>
      </c>
      <c r="G17" s="95">
        <v>150.04</v>
      </c>
      <c r="H17" s="95">
        <v>8</v>
      </c>
      <c r="I17" s="62">
        <v>3890</v>
      </c>
      <c r="K17" s="91">
        <v>2015</v>
      </c>
      <c r="L17" s="56">
        <v>283093.53000000003</v>
      </c>
    </row>
    <row r="18" spans="1:12" ht="15" customHeight="1" x14ac:dyDescent="0.25">
      <c r="A18" s="2" t="s">
        <v>256</v>
      </c>
      <c r="B18" s="56">
        <v>1334.75</v>
      </c>
      <c r="D18" s="63" t="s">
        <v>114</v>
      </c>
      <c r="E18" s="95" t="s">
        <v>108</v>
      </c>
      <c r="F18" s="95">
        <v>1</v>
      </c>
      <c r="G18" s="95">
        <v>98.56</v>
      </c>
      <c r="H18" s="95">
        <v>8</v>
      </c>
      <c r="I18" s="62">
        <v>1445</v>
      </c>
      <c r="K18" s="171" t="s">
        <v>224</v>
      </c>
      <c r="L18" s="171"/>
    </row>
    <row r="19" spans="1:12" ht="15" customHeight="1" x14ac:dyDescent="0.25">
      <c r="A19" s="2" t="s">
        <v>257</v>
      </c>
      <c r="B19" s="91" t="s">
        <v>258</v>
      </c>
      <c r="K19" s="92" t="s">
        <v>225</v>
      </c>
      <c r="L19" s="96" t="s">
        <v>166</v>
      </c>
    </row>
    <row r="20" spans="1:12" ht="15" customHeight="1" x14ac:dyDescent="0.25">
      <c r="K20" s="91">
        <v>2016</v>
      </c>
      <c r="L20" s="56">
        <f>(L17*101.1)/100</f>
        <v>286207.55882999999</v>
      </c>
    </row>
    <row r="21" spans="1:12" ht="15" customHeight="1" x14ac:dyDescent="0.25">
      <c r="D21" s="170" t="s">
        <v>87</v>
      </c>
      <c r="E21" s="170"/>
      <c r="F21" s="170"/>
      <c r="G21" s="170"/>
      <c r="H21" s="170"/>
      <c r="I21" s="170"/>
      <c r="K21" s="91">
        <v>2017</v>
      </c>
      <c r="L21" s="56">
        <f t="shared" ref="L21:L41" si="0">(L20*101.1)/100</f>
        <v>289355.84197712998</v>
      </c>
    </row>
    <row r="22" spans="1:12" ht="15" customHeight="1" x14ac:dyDescent="0.25">
      <c r="D22" s="96" t="s">
        <v>170</v>
      </c>
      <c r="E22" s="96" t="s">
        <v>70</v>
      </c>
      <c r="F22" s="96" t="s">
        <v>171</v>
      </c>
      <c r="G22" s="96" t="s">
        <v>172</v>
      </c>
      <c r="H22" s="96" t="s">
        <v>173</v>
      </c>
      <c r="I22" s="96" t="s">
        <v>174</v>
      </c>
      <c r="K22" s="91">
        <v>2018</v>
      </c>
      <c r="L22" s="56">
        <f t="shared" si="0"/>
        <v>292538.75623887841</v>
      </c>
    </row>
    <row r="23" spans="1:12" ht="15" customHeight="1" x14ac:dyDescent="0.25">
      <c r="D23" s="2" t="s">
        <v>79</v>
      </c>
      <c r="E23" s="21" t="s">
        <v>263</v>
      </c>
      <c r="F23" s="21">
        <v>-20.456033000000001</v>
      </c>
      <c r="G23" s="91">
        <v>-40.390509999999999</v>
      </c>
      <c r="H23" s="91">
        <v>235</v>
      </c>
      <c r="I23" s="21" t="s">
        <v>68</v>
      </c>
      <c r="K23" s="91">
        <v>2019</v>
      </c>
      <c r="L23" s="56">
        <f t="shared" si="0"/>
        <v>295756.68255750608</v>
      </c>
    </row>
    <row r="24" spans="1:12" ht="15" customHeight="1" x14ac:dyDescent="0.25">
      <c r="D24" s="2" t="s">
        <v>124</v>
      </c>
      <c r="E24" s="21" t="s">
        <v>263</v>
      </c>
      <c r="F24" s="21">
        <v>-20.458569000000001</v>
      </c>
      <c r="G24" s="21">
        <v>-40.391258999999998</v>
      </c>
      <c r="H24" s="91">
        <v>488</v>
      </c>
      <c r="I24" s="21" t="s">
        <v>68</v>
      </c>
      <c r="K24" s="91">
        <v>2020</v>
      </c>
      <c r="L24" s="56">
        <f t="shared" si="0"/>
        <v>299010.00606563862</v>
      </c>
    </row>
    <row r="25" spans="1:12" ht="15" customHeight="1" x14ac:dyDescent="0.25">
      <c r="D25" s="2" t="s">
        <v>80</v>
      </c>
      <c r="E25" s="21" t="s">
        <v>263</v>
      </c>
      <c r="F25" s="21">
        <v>-20.455780000000001</v>
      </c>
      <c r="G25" s="21">
        <v>-40.389313999999999</v>
      </c>
      <c r="H25" s="21">
        <v>438</v>
      </c>
      <c r="I25" s="21" t="s">
        <v>68</v>
      </c>
      <c r="K25" s="91">
        <v>2021</v>
      </c>
      <c r="L25" s="56">
        <f t="shared" si="0"/>
        <v>302299.11613236065</v>
      </c>
    </row>
    <row r="26" spans="1:12" ht="15" customHeight="1" x14ac:dyDescent="0.25">
      <c r="D26" s="2" t="s">
        <v>81</v>
      </c>
      <c r="E26" s="21" t="s">
        <v>263</v>
      </c>
      <c r="F26" s="21">
        <v>-20.460550000000001</v>
      </c>
      <c r="G26" s="21">
        <v>-40.387509999999999</v>
      </c>
      <c r="H26" s="21">
        <v>731</v>
      </c>
      <c r="I26" s="21" t="s">
        <v>68</v>
      </c>
      <c r="K26" s="91">
        <v>2022</v>
      </c>
      <c r="L26" s="56">
        <f t="shared" si="0"/>
        <v>305624.40640981658</v>
      </c>
    </row>
    <row r="27" spans="1:12" ht="15" customHeight="1" x14ac:dyDescent="0.25">
      <c r="D27" s="2" t="s">
        <v>82</v>
      </c>
      <c r="E27" s="21" t="s">
        <v>263</v>
      </c>
      <c r="F27" s="21">
        <v>-20.462648999999999</v>
      </c>
      <c r="G27" s="21">
        <v>-40.387920999999999</v>
      </c>
      <c r="H27" s="91">
        <v>153</v>
      </c>
      <c r="I27" s="21" t="s">
        <v>68</v>
      </c>
      <c r="K27" s="91">
        <v>2023</v>
      </c>
      <c r="L27" s="56">
        <f t="shared" si="0"/>
        <v>308986.27488032455</v>
      </c>
    </row>
    <row r="28" spans="1:12" ht="15" customHeight="1" x14ac:dyDescent="0.25">
      <c r="D28" s="2" t="s">
        <v>83</v>
      </c>
      <c r="E28" s="21" t="s">
        <v>263</v>
      </c>
      <c r="F28" s="21">
        <v>-20.458228999999999</v>
      </c>
      <c r="G28" s="21">
        <v>-40.387251999999997</v>
      </c>
      <c r="H28" s="91">
        <v>355</v>
      </c>
      <c r="I28" s="21" t="s">
        <v>68</v>
      </c>
      <c r="K28" s="91">
        <v>2024</v>
      </c>
      <c r="L28" s="56">
        <f t="shared" si="0"/>
        <v>312385.12390400807</v>
      </c>
    </row>
    <row r="29" spans="1:12" ht="15" customHeight="1" x14ac:dyDescent="0.25">
      <c r="D29" s="2" t="s">
        <v>264</v>
      </c>
      <c r="E29" s="21" t="s">
        <v>263</v>
      </c>
      <c r="F29" s="21">
        <v>-20.456316999999999</v>
      </c>
      <c r="G29" s="21">
        <v>-40.384241000000003</v>
      </c>
      <c r="H29" s="91">
        <v>603</v>
      </c>
      <c r="I29" s="21" t="s">
        <v>68</v>
      </c>
      <c r="K29" s="91">
        <v>2025</v>
      </c>
      <c r="L29" s="56">
        <f t="shared" si="0"/>
        <v>315821.36026695214</v>
      </c>
    </row>
    <row r="30" spans="1:12" ht="15" customHeight="1" x14ac:dyDescent="0.25">
      <c r="D30" s="2" t="s">
        <v>265</v>
      </c>
      <c r="E30" s="21" t="s">
        <v>263</v>
      </c>
      <c r="F30" s="21">
        <v>-20.458006000000001</v>
      </c>
      <c r="G30" s="21">
        <v>-40.388081</v>
      </c>
      <c r="H30" s="91">
        <v>197</v>
      </c>
      <c r="I30" s="21" t="s">
        <v>68</v>
      </c>
      <c r="K30" s="91">
        <v>2026</v>
      </c>
      <c r="L30" s="56">
        <f t="shared" si="0"/>
        <v>319295.39522988861</v>
      </c>
    </row>
    <row r="31" spans="1:12" ht="15" customHeight="1" x14ac:dyDescent="0.25">
      <c r="D31" s="2" t="s">
        <v>84</v>
      </c>
      <c r="E31" s="21" t="s">
        <v>263</v>
      </c>
      <c r="F31" s="21">
        <v>-20.457691000000001</v>
      </c>
      <c r="G31" s="21">
        <v>-40.386991000000002</v>
      </c>
      <c r="H31" s="21">
        <v>121</v>
      </c>
      <c r="I31" s="21" t="s">
        <v>68</v>
      </c>
      <c r="K31" s="91">
        <v>2027</v>
      </c>
      <c r="L31" s="56">
        <f t="shared" si="0"/>
        <v>322807.64457741735</v>
      </c>
    </row>
    <row r="32" spans="1:12" ht="15" customHeight="1" x14ac:dyDescent="0.25">
      <c r="D32" s="2" t="s">
        <v>85</v>
      </c>
      <c r="E32" s="21" t="s">
        <v>263</v>
      </c>
      <c r="F32" s="21">
        <v>-20.456662999999999</v>
      </c>
      <c r="G32" s="21">
        <v>-40.388933999999999</v>
      </c>
      <c r="H32" s="21">
        <v>239</v>
      </c>
      <c r="I32" s="21" t="s">
        <v>68</v>
      </c>
      <c r="K32" s="91">
        <v>2028</v>
      </c>
      <c r="L32" s="56">
        <f t="shared" si="0"/>
        <v>326358.52866776893</v>
      </c>
    </row>
    <row r="33" spans="4:12" ht="15" customHeight="1" x14ac:dyDescent="0.25">
      <c r="D33" s="2" t="s">
        <v>86</v>
      </c>
      <c r="E33" s="21" t="s">
        <v>263</v>
      </c>
      <c r="F33" s="21">
        <v>-20.459277</v>
      </c>
      <c r="G33" s="21">
        <v>-40.389259000000003</v>
      </c>
      <c r="H33" s="21">
        <v>170</v>
      </c>
      <c r="I33" s="21" t="s">
        <v>68</v>
      </c>
      <c r="K33" s="91">
        <v>2029</v>
      </c>
      <c r="L33" s="56">
        <f t="shared" si="0"/>
        <v>329948.4724831144</v>
      </c>
    </row>
    <row r="34" spans="4:12" ht="15" customHeight="1" x14ac:dyDescent="0.25">
      <c r="K34" s="91">
        <v>2030</v>
      </c>
      <c r="L34" s="56">
        <f t="shared" si="0"/>
        <v>333577.90568042861</v>
      </c>
    </row>
    <row r="35" spans="4:12" ht="15" customHeight="1" x14ac:dyDescent="0.25">
      <c r="D35" s="169" t="s">
        <v>170</v>
      </c>
      <c r="E35" s="90" t="s">
        <v>266</v>
      </c>
      <c r="F35" s="90" t="s">
        <v>267</v>
      </c>
      <c r="G35" s="25"/>
      <c r="H35" s="25"/>
      <c r="K35" s="91">
        <v>2031</v>
      </c>
      <c r="L35" s="56">
        <f t="shared" si="0"/>
        <v>337247.26264291332</v>
      </c>
    </row>
    <row r="36" spans="4:12" ht="15" customHeight="1" x14ac:dyDescent="0.25">
      <c r="D36" s="169"/>
      <c r="E36" s="92" t="s">
        <v>268</v>
      </c>
      <c r="F36" s="92" t="s">
        <v>269</v>
      </c>
      <c r="G36" s="21"/>
      <c r="H36" s="25"/>
      <c r="K36" s="91">
        <v>2032</v>
      </c>
      <c r="L36" s="56">
        <f t="shared" si="0"/>
        <v>340956.98253198533</v>
      </c>
    </row>
    <row r="37" spans="4:12" ht="15" customHeight="1" x14ac:dyDescent="0.25">
      <c r="D37" s="2" t="s">
        <v>79</v>
      </c>
      <c r="E37" s="21">
        <v>100</v>
      </c>
      <c r="F37" s="2">
        <f>SUM($F$15:$F$18)*(E37/100)</f>
        <v>4</v>
      </c>
      <c r="G37" s="91"/>
      <c r="H37" s="91"/>
      <c r="K37" s="91">
        <v>2033</v>
      </c>
      <c r="L37" s="56">
        <f t="shared" si="0"/>
        <v>344707.50933983712</v>
      </c>
    </row>
    <row r="38" spans="4:12" ht="15" customHeight="1" x14ac:dyDescent="0.25">
      <c r="D38" s="2" t="s">
        <v>124</v>
      </c>
      <c r="E38" s="21">
        <v>100</v>
      </c>
      <c r="F38" s="2">
        <f t="shared" ref="F38:F48" si="1">SUM($F$15:$F$18)*(E38/100)</f>
        <v>4</v>
      </c>
      <c r="G38" s="91"/>
      <c r="H38" s="91"/>
      <c r="K38" s="91">
        <v>2034</v>
      </c>
      <c r="L38" s="56">
        <f t="shared" si="0"/>
        <v>348499.29194257536</v>
      </c>
    </row>
    <row r="39" spans="4:12" ht="15" customHeight="1" x14ac:dyDescent="0.25">
      <c r="D39" s="2" t="s">
        <v>80</v>
      </c>
      <c r="E39" s="21">
        <v>100</v>
      </c>
      <c r="F39" s="2">
        <f t="shared" si="1"/>
        <v>4</v>
      </c>
      <c r="G39" s="21"/>
      <c r="H39" s="91"/>
      <c r="K39" s="91">
        <v>2035</v>
      </c>
      <c r="L39" s="56">
        <f t="shared" si="0"/>
        <v>352332.78415394365</v>
      </c>
    </row>
    <row r="40" spans="4:12" ht="15" customHeight="1" x14ac:dyDescent="0.25">
      <c r="D40" s="2" t="s">
        <v>81</v>
      </c>
      <c r="E40" s="21">
        <v>100</v>
      </c>
      <c r="F40" s="2">
        <f t="shared" si="1"/>
        <v>4</v>
      </c>
      <c r="G40" s="21"/>
      <c r="H40" s="91"/>
      <c r="K40" s="91">
        <v>2036</v>
      </c>
      <c r="L40" s="56">
        <f t="shared" si="0"/>
        <v>356208.44477963704</v>
      </c>
    </row>
    <row r="41" spans="4:12" ht="15" customHeight="1" x14ac:dyDescent="0.25">
      <c r="D41" s="2" t="s">
        <v>82</v>
      </c>
      <c r="E41" s="21">
        <v>100</v>
      </c>
      <c r="F41" s="2">
        <f t="shared" si="1"/>
        <v>4</v>
      </c>
      <c r="G41" s="91"/>
      <c r="H41" s="91"/>
      <c r="K41" s="91">
        <v>2037</v>
      </c>
      <c r="L41" s="56">
        <f t="shared" si="0"/>
        <v>360126.737672213</v>
      </c>
    </row>
    <row r="42" spans="4:12" ht="15" customHeight="1" x14ac:dyDescent="0.25">
      <c r="D42" s="2" t="s">
        <v>83</v>
      </c>
      <c r="E42" s="21">
        <v>100</v>
      </c>
      <c r="F42" s="2">
        <f t="shared" si="1"/>
        <v>4</v>
      </c>
      <c r="G42" s="91"/>
      <c r="H42" s="91"/>
      <c r="I42" s="89"/>
    </row>
    <row r="43" spans="4:12" ht="15" customHeight="1" x14ac:dyDescent="0.25">
      <c r="D43" s="2" t="s">
        <v>264</v>
      </c>
      <c r="E43" s="21">
        <v>100</v>
      </c>
      <c r="F43" s="2">
        <f t="shared" si="1"/>
        <v>4</v>
      </c>
      <c r="G43" s="52"/>
      <c r="H43" s="21"/>
      <c r="I43" s="89"/>
    </row>
    <row r="44" spans="4:12" ht="15" customHeight="1" x14ac:dyDescent="0.25">
      <c r="D44" s="2" t="s">
        <v>265</v>
      </c>
      <c r="E44" s="21">
        <v>100</v>
      </c>
      <c r="F44" s="2">
        <f t="shared" si="1"/>
        <v>4</v>
      </c>
      <c r="G44" s="52"/>
      <c r="H44" s="21"/>
      <c r="I44" s="89"/>
    </row>
    <row r="45" spans="4:12" ht="15" customHeight="1" x14ac:dyDescent="0.25">
      <c r="D45" s="2" t="s">
        <v>84</v>
      </c>
      <c r="E45" s="21">
        <v>100</v>
      </c>
      <c r="F45" s="2">
        <f t="shared" si="1"/>
        <v>4</v>
      </c>
      <c r="G45" s="52"/>
      <c r="H45" s="21"/>
      <c r="I45" s="89"/>
    </row>
    <row r="46" spans="4:12" ht="15" customHeight="1" x14ac:dyDescent="0.25">
      <c r="D46" s="2" t="s">
        <v>85</v>
      </c>
      <c r="E46" s="21">
        <v>100</v>
      </c>
      <c r="F46" s="2">
        <f t="shared" si="1"/>
        <v>4</v>
      </c>
      <c r="G46" s="52"/>
      <c r="H46" s="21"/>
      <c r="I46" s="89"/>
    </row>
    <row r="47" spans="4:12" ht="15" customHeight="1" x14ac:dyDescent="0.25">
      <c r="D47" s="2" t="s">
        <v>86</v>
      </c>
      <c r="E47" s="21">
        <v>100</v>
      </c>
      <c r="F47" s="2">
        <f t="shared" si="1"/>
        <v>4</v>
      </c>
      <c r="G47" s="52"/>
      <c r="H47" s="21"/>
    </row>
    <row r="48" spans="4:12" ht="15" customHeight="1" x14ac:dyDescent="0.25">
      <c r="D48" s="2" t="s">
        <v>270</v>
      </c>
      <c r="E48" s="21">
        <v>100</v>
      </c>
      <c r="F48" s="2">
        <f t="shared" si="1"/>
        <v>4</v>
      </c>
      <c r="G48" s="52"/>
      <c r="H48" s="21"/>
    </row>
    <row r="49" spans="4:6" ht="15" customHeight="1" x14ac:dyDescent="0.25">
      <c r="D49" s="6"/>
      <c r="E49" s="60"/>
      <c r="F49" s="60"/>
    </row>
    <row r="50" spans="4:6" ht="15" customHeight="1" x14ac:dyDescent="0.25">
      <c r="D50" s="6"/>
      <c r="E50" s="60"/>
      <c r="F50" s="60"/>
    </row>
    <row r="51" spans="4:6" ht="15" customHeight="1" x14ac:dyDescent="0.25">
      <c r="D51" s="6"/>
      <c r="E51" s="60"/>
      <c r="F51" s="60"/>
    </row>
    <row r="52" spans="4:6" ht="15" customHeight="1" x14ac:dyDescent="0.25">
      <c r="D52" s="6"/>
      <c r="E52" s="60"/>
      <c r="F52" s="60"/>
    </row>
    <row r="53" spans="4:6" ht="15" customHeight="1" x14ac:dyDescent="0.25">
      <c r="D53" s="6"/>
      <c r="E53" s="60"/>
      <c r="F53" s="60"/>
    </row>
    <row r="54" spans="4:6" ht="15" customHeight="1" x14ac:dyDescent="0.25">
      <c r="D54" s="6"/>
      <c r="E54" s="60"/>
      <c r="F54" s="60"/>
    </row>
    <row r="55" spans="4:6" ht="15" customHeight="1" x14ac:dyDescent="0.25">
      <c r="D55" s="6"/>
      <c r="E55" s="60"/>
      <c r="F55" s="60"/>
    </row>
    <row r="56" spans="4:6" ht="15" customHeight="1" x14ac:dyDescent="0.25">
      <c r="D56" s="6"/>
      <c r="E56" s="60"/>
      <c r="F56" s="60"/>
    </row>
    <row r="57" spans="4:6" ht="15" customHeight="1" x14ac:dyDescent="0.25">
      <c r="D57" s="6"/>
      <c r="E57" s="60"/>
      <c r="F57" s="60"/>
    </row>
    <row r="58" spans="4:6" ht="15" customHeight="1" x14ac:dyDescent="0.25">
      <c r="D58" s="6"/>
      <c r="E58" s="60"/>
      <c r="F58" s="60"/>
    </row>
    <row r="59" spans="4:6" ht="15" customHeight="1" x14ac:dyDescent="0.25">
      <c r="D59" s="6"/>
      <c r="E59" s="60"/>
      <c r="F59" s="60"/>
    </row>
    <row r="60" spans="4:6" ht="15" customHeight="1" x14ac:dyDescent="0.25">
      <c r="D60" s="6"/>
      <c r="E60" s="60"/>
      <c r="F60" s="60"/>
    </row>
    <row r="61" spans="4:6" ht="15" customHeight="1" x14ac:dyDescent="0.25">
      <c r="D61" s="6"/>
      <c r="E61" s="60"/>
      <c r="F61" s="60"/>
    </row>
    <row r="62" spans="4:6" ht="15" customHeight="1" x14ac:dyDescent="0.25">
      <c r="D62" s="6"/>
      <c r="E62" s="60"/>
      <c r="F62" s="60"/>
    </row>
    <row r="63" spans="4:6" ht="15" customHeight="1" x14ac:dyDescent="0.25">
      <c r="D63" s="6"/>
      <c r="E63" s="60"/>
      <c r="F63" s="60"/>
    </row>
    <row r="64" spans="4:6" ht="15" customHeight="1" x14ac:dyDescent="0.25">
      <c r="D64" s="6"/>
      <c r="E64" s="60"/>
      <c r="F64" s="60"/>
    </row>
    <row r="65" spans="1:2" ht="15" customHeight="1" x14ac:dyDescent="0.25">
      <c r="A65" s="20"/>
      <c r="B65" s="20"/>
    </row>
  </sheetData>
  <sheetProtection algorithmName="SHA-512" hashValue="Wd6Mt7BfppmJo7kwHG5l4YQzuDfrArMyWvWemUYuFeWw9vFew9aOUafiPcy8hjDF0ofhVcvY9SvjH3CNVxyiig==" saltValue="+pyZelAuZPFRbSvL1xfjNw==" spinCount="100000" sheet="1" objects="1" scenarios="1"/>
  <mergeCells count="8">
    <mergeCell ref="D35:D36"/>
    <mergeCell ref="A2:B2"/>
    <mergeCell ref="A13:B13"/>
    <mergeCell ref="K18:L18"/>
    <mergeCell ref="D21:I21"/>
    <mergeCell ref="D2:I2"/>
    <mergeCell ref="D13:I13"/>
    <mergeCell ref="K2:L2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selection activeCell="F18" sqref="F18"/>
    </sheetView>
  </sheetViews>
  <sheetFormatPr defaultRowHeight="15" customHeight="1" x14ac:dyDescent="0.25"/>
  <cols>
    <col min="1" max="1" width="24.7109375" style="2" bestFit="1" customWidth="1"/>
    <col min="2" max="2" width="15.42578125" style="2" bestFit="1" customWidth="1"/>
    <col min="3" max="3" width="24.7109375" style="2" bestFit="1" customWidth="1"/>
    <col min="4" max="4" width="9.5703125" style="2" customWidth="1"/>
    <col min="5" max="5" width="12.140625" style="2" customWidth="1"/>
    <col min="6" max="6" width="22" style="2" bestFit="1" customWidth="1"/>
    <col min="7" max="7" width="11.28515625" style="2" bestFit="1" customWidth="1"/>
    <col min="8" max="9" width="11.28515625" style="2" customWidth="1"/>
    <col min="10" max="16384" width="9.140625" style="2"/>
  </cols>
  <sheetData>
    <row r="1" spans="1:22" ht="15" customHeight="1" x14ac:dyDescent="0.25">
      <c r="A1" s="2" t="s">
        <v>262</v>
      </c>
    </row>
    <row r="2" spans="1:22" ht="23.25" customHeight="1" x14ac:dyDescent="0.25">
      <c r="A2" s="176" t="s">
        <v>5</v>
      </c>
      <c r="B2" s="176" t="s">
        <v>0</v>
      </c>
      <c r="C2" s="176" t="s">
        <v>6</v>
      </c>
      <c r="D2" s="184" t="s">
        <v>171</v>
      </c>
      <c r="E2" s="184" t="s">
        <v>172</v>
      </c>
      <c r="F2" s="176" t="s">
        <v>7</v>
      </c>
      <c r="G2" s="176" t="s">
        <v>240</v>
      </c>
      <c r="H2" s="176" t="s">
        <v>241</v>
      </c>
      <c r="I2" s="176" t="s">
        <v>23</v>
      </c>
      <c r="J2" s="176" t="s">
        <v>8</v>
      </c>
      <c r="K2" s="183" t="s">
        <v>9</v>
      </c>
      <c r="L2" s="183"/>
      <c r="M2" s="183"/>
      <c r="N2" s="183"/>
      <c r="O2" s="183"/>
      <c r="P2" s="173" t="s">
        <v>10</v>
      </c>
      <c r="Q2" s="174"/>
      <c r="R2" s="174"/>
      <c r="S2" s="174"/>
      <c r="T2" s="174"/>
      <c r="U2" s="174"/>
      <c r="V2" s="175"/>
    </row>
    <row r="3" spans="1:22" ht="15.75" customHeight="1" x14ac:dyDescent="0.25">
      <c r="A3" s="178"/>
      <c r="B3" s="178"/>
      <c r="C3" s="178"/>
      <c r="D3" s="184"/>
      <c r="E3" s="184"/>
      <c r="F3" s="178"/>
      <c r="G3" s="178"/>
      <c r="H3" s="177"/>
      <c r="I3" s="178"/>
      <c r="J3" s="178"/>
      <c r="K3" s="43" t="s">
        <v>11</v>
      </c>
      <c r="L3" s="5" t="s">
        <v>13</v>
      </c>
      <c r="M3" s="5" t="s">
        <v>12</v>
      </c>
      <c r="N3" s="5" t="s">
        <v>14</v>
      </c>
      <c r="O3" s="5" t="s">
        <v>271</v>
      </c>
      <c r="P3" s="77" t="s">
        <v>11</v>
      </c>
      <c r="Q3" s="5" t="s">
        <v>77</v>
      </c>
      <c r="R3" s="5" t="s">
        <v>78</v>
      </c>
      <c r="S3" s="5" t="s">
        <v>13</v>
      </c>
      <c r="T3" s="77" t="s">
        <v>12</v>
      </c>
      <c r="U3" s="77" t="s">
        <v>14</v>
      </c>
      <c r="V3" s="77" t="s">
        <v>271</v>
      </c>
    </row>
    <row r="4" spans="1:22" ht="15" customHeight="1" x14ac:dyDescent="0.25">
      <c r="A4" s="57" t="s">
        <v>115</v>
      </c>
      <c r="B4" s="58" t="s">
        <v>116</v>
      </c>
      <c r="C4" s="21" t="s">
        <v>181</v>
      </c>
      <c r="D4" s="21">
        <v>-20.456816</v>
      </c>
      <c r="E4" s="21">
        <v>-40.389549000000002</v>
      </c>
      <c r="F4" s="76">
        <f>Dados!$F4</f>
        <v>1</v>
      </c>
      <c r="G4" s="86">
        <f>Dados!$G4*1.34102</f>
        <v>115.32772000000001</v>
      </c>
      <c r="H4" s="78">
        <f>Dados!$I4</f>
        <v>24565</v>
      </c>
      <c r="I4" s="78">
        <f>Dados!$H4*Dados!$B$6</f>
        <v>1878</v>
      </c>
      <c r="J4" s="79">
        <f>Dados!$H4</f>
        <v>6</v>
      </c>
      <c r="K4" s="8">
        <f>INDEX(Fator_Emissao,MATCH($C4,Pot_Equip,0),2)</f>
        <v>4.3689955953397884E-2</v>
      </c>
      <c r="L4" s="8">
        <f t="shared" ref="L4:L10" si="0">INDEX(Fator_Emissao,MATCH($C4,Pot_Equip,0),3)</f>
        <v>3.9173850602458582E-4</v>
      </c>
      <c r="M4" s="8">
        <f t="shared" ref="M4:M10" si="1">INDEX(Fator_Emissao,MATCH($C4,Pot_Equip,0),4)</f>
        <v>0.46744735992116221</v>
      </c>
      <c r="N4" s="8">
        <f t="shared" ref="N4:N10" si="2">INDEX(Fator_Emissao,MATCH($C4,Pot_Equip,0),5)</f>
        <v>0.24966648844319658</v>
      </c>
      <c r="O4" s="8">
        <f t="shared" ref="O4:O10" si="3">INDEX(Fator_Emissao,MATCH($C4,Pot_Equip,0),6)</f>
        <v>8.1017998911048009E-2</v>
      </c>
      <c r="P4" s="74">
        <f>$F4*$J4*$K4/24</f>
        <v>1.0922488988349471E-2</v>
      </c>
      <c r="Q4" s="74">
        <f>P4</f>
        <v>1.0922488988349471E-2</v>
      </c>
      <c r="R4" s="74">
        <f>P4</f>
        <v>1.0922488988349471E-2</v>
      </c>
      <c r="S4" s="7">
        <f>$F4*$J4*L4/24</f>
        <v>9.7934626506146442E-5</v>
      </c>
      <c r="T4" s="74">
        <f>$F4*$J4*M4/24</f>
        <v>0.11686183998029055</v>
      </c>
      <c r="U4" s="74">
        <f>$F4*$J4*N4/24</f>
        <v>6.2416622110799146E-2</v>
      </c>
      <c r="V4" s="74">
        <f>$F4*$J4*O4/24</f>
        <v>2.0254499727762002E-2</v>
      </c>
    </row>
    <row r="5" spans="1:22" ht="15" customHeight="1" x14ac:dyDescent="0.25">
      <c r="A5" s="28" t="s">
        <v>128</v>
      </c>
      <c r="B5" s="59" t="s">
        <v>127</v>
      </c>
      <c r="C5" s="21" t="s">
        <v>207</v>
      </c>
      <c r="D5" s="21">
        <v>-20.456816</v>
      </c>
      <c r="E5" s="21">
        <v>-40.389549000000002</v>
      </c>
      <c r="F5" s="76">
        <f>Dados!$F5</f>
        <v>3</v>
      </c>
      <c r="G5" s="86">
        <f>Dados!$G5*1.34102</f>
        <v>120.69180000000001</v>
      </c>
      <c r="H5" s="78">
        <f>Dados!$I5</f>
        <v>55105.599999999999</v>
      </c>
      <c r="I5" s="78">
        <f>Dados!$H5*Dados!$B$6</f>
        <v>2504</v>
      </c>
      <c r="J5" s="79">
        <f>Dados!$H5</f>
        <v>8</v>
      </c>
      <c r="K5" s="8">
        <f t="shared" ref="K5:K10" si="4">INDEX(Fator_Emissao,MATCH($C5,Pot_Equip,0),2)</f>
        <v>4.4401235069067839E-2</v>
      </c>
      <c r="L5" s="8">
        <f t="shared" si="0"/>
        <v>0.78775936009992464</v>
      </c>
      <c r="M5" s="8">
        <f t="shared" si="1"/>
        <v>6.1850438977116952E-4</v>
      </c>
      <c r="N5" s="8">
        <f t="shared" si="2"/>
        <v>0.35443648699060287</v>
      </c>
      <c r="O5" s="8">
        <f t="shared" si="3"/>
        <v>0.10233313533498303</v>
      </c>
      <c r="P5" s="74">
        <f>$F5*$J5*$K5/24</f>
        <v>4.4401235069067839E-2</v>
      </c>
      <c r="Q5" s="74">
        <f t="shared" ref="Q5:Q10" si="5">P5</f>
        <v>4.4401235069067839E-2</v>
      </c>
      <c r="R5" s="74">
        <f t="shared" ref="R5:R10" si="6">P5</f>
        <v>4.4401235069067839E-2</v>
      </c>
      <c r="S5" s="74">
        <f t="shared" ref="S5:S10" si="7">$F5*$J5*L5/24</f>
        <v>0.78775936009992475</v>
      </c>
      <c r="T5" s="7">
        <f t="shared" ref="T5:T10" si="8">$F5*$J5*M5/24</f>
        <v>6.1850438977116952E-4</v>
      </c>
      <c r="U5" s="74">
        <f t="shared" ref="U5:U10" si="9">$F5*$J5*N5/24</f>
        <v>0.35443648699060287</v>
      </c>
      <c r="V5" s="74">
        <f t="shared" ref="V5:V10" si="10">$F5*$J5*O5/24</f>
        <v>0.10233313533498305</v>
      </c>
    </row>
    <row r="6" spans="1:22" ht="15" customHeight="1" x14ac:dyDescent="0.25">
      <c r="A6" s="25" t="s">
        <v>3</v>
      </c>
      <c r="B6" s="2" t="s">
        <v>117</v>
      </c>
      <c r="C6" s="21" t="s">
        <v>190</v>
      </c>
      <c r="D6" s="21">
        <v>-20.456816</v>
      </c>
      <c r="E6" s="21">
        <v>-40.389549000000002</v>
      </c>
      <c r="F6" s="76">
        <f>Dados!$F6</f>
        <v>1</v>
      </c>
      <c r="G6" s="86">
        <f>Dados!$G6*1.34102</f>
        <v>148.93368120000002</v>
      </c>
      <c r="H6" s="78">
        <f>Dados!$I6</f>
        <v>1333</v>
      </c>
      <c r="I6" s="78">
        <f>Dados!$H6*Dados!$B$6</f>
        <v>1252</v>
      </c>
      <c r="J6" s="79">
        <f>Dados!$H6</f>
        <v>4</v>
      </c>
      <c r="K6" s="8">
        <f t="shared" si="4"/>
        <v>3.4873730864910753E-2</v>
      </c>
      <c r="L6" s="8">
        <f t="shared" si="0"/>
        <v>0.62819014565488085</v>
      </c>
      <c r="M6" s="8">
        <f t="shared" si="1"/>
        <v>5.4259968788077681E-4</v>
      </c>
      <c r="N6" s="8">
        <f t="shared" si="2"/>
        <v>0.29143683660988179</v>
      </c>
      <c r="O6" s="8">
        <f t="shared" si="3"/>
        <v>7.9806989940830519E-2</v>
      </c>
      <c r="P6" s="74">
        <f t="shared" ref="P6:P10" si="11">$F6*$J6*$K6/24</f>
        <v>5.8122884774851257E-3</v>
      </c>
      <c r="Q6" s="74">
        <f t="shared" si="5"/>
        <v>5.8122884774851257E-3</v>
      </c>
      <c r="R6" s="74">
        <f t="shared" si="6"/>
        <v>5.8122884774851257E-3</v>
      </c>
      <c r="S6" s="74">
        <f t="shared" si="7"/>
        <v>0.10469835760914681</v>
      </c>
      <c r="T6" s="7">
        <f t="shared" si="8"/>
        <v>9.0433281313462806E-5</v>
      </c>
      <c r="U6" s="74">
        <f t="shared" si="9"/>
        <v>4.8572806101646965E-2</v>
      </c>
      <c r="V6" s="74">
        <f t="shared" si="10"/>
        <v>1.330116499013842E-2</v>
      </c>
    </row>
    <row r="7" spans="1:22" ht="15" customHeight="1" x14ac:dyDescent="0.25">
      <c r="A7" s="25" t="s">
        <v>3</v>
      </c>
      <c r="B7" s="2" t="s">
        <v>118</v>
      </c>
      <c r="C7" s="21" t="s">
        <v>190</v>
      </c>
      <c r="D7" s="21">
        <v>-20.456816</v>
      </c>
      <c r="E7" s="21">
        <v>-40.389549000000002</v>
      </c>
      <c r="F7" s="76">
        <f>Dados!$F7</f>
        <v>1</v>
      </c>
      <c r="G7" s="86">
        <f>Dados!$G7*1.34102</f>
        <v>130.19963180000002</v>
      </c>
      <c r="H7" s="78">
        <f>Dados!$I7</f>
        <v>6595</v>
      </c>
      <c r="I7" s="78">
        <f>Dados!$H7*Dados!$B$6</f>
        <v>1252</v>
      </c>
      <c r="J7" s="79">
        <f>Dados!$H7</f>
        <v>4</v>
      </c>
      <c r="K7" s="8">
        <f t="shared" si="4"/>
        <v>3.4873730864910753E-2</v>
      </c>
      <c r="L7" s="8">
        <f t="shared" si="0"/>
        <v>0.62819014565488085</v>
      </c>
      <c r="M7" s="8">
        <f t="shared" si="1"/>
        <v>5.4259968788077681E-4</v>
      </c>
      <c r="N7" s="8">
        <f t="shared" si="2"/>
        <v>0.29143683660988179</v>
      </c>
      <c r="O7" s="8">
        <f t="shared" si="3"/>
        <v>7.9806989940830519E-2</v>
      </c>
      <c r="P7" s="74">
        <f t="shared" si="11"/>
        <v>5.8122884774851257E-3</v>
      </c>
      <c r="Q7" s="74">
        <f t="shared" si="5"/>
        <v>5.8122884774851257E-3</v>
      </c>
      <c r="R7" s="74">
        <f t="shared" si="6"/>
        <v>5.8122884774851257E-3</v>
      </c>
      <c r="S7" s="74">
        <f t="shared" si="7"/>
        <v>0.10469835760914681</v>
      </c>
      <c r="T7" s="7">
        <f t="shared" si="8"/>
        <v>9.0433281313462806E-5</v>
      </c>
      <c r="U7" s="74">
        <f t="shared" si="9"/>
        <v>4.8572806101646965E-2</v>
      </c>
      <c r="V7" s="74">
        <f t="shared" si="10"/>
        <v>1.330116499013842E-2</v>
      </c>
    </row>
    <row r="8" spans="1:22" ht="15" customHeight="1" x14ac:dyDescent="0.25">
      <c r="A8" s="25" t="s">
        <v>119</v>
      </c>
      <c r="B8" s="2" t="s">
        <v>120</v>
      </c>
      <c r="C8" s="21" t="s">
        <v>200</v>
      </c>
      <c r="D8" s="21">
        <v>-20.456816</v>
      </c>
      <c r="E8" s="21">
        <v>-40.389549000000002</v>
      </c>
      <c r="F8" s="76">
        <f>Dados!$F8</f>
        <v>1</v>
      </c>
      <c r="G8" s="86">
        <f>Dados!$G8*1.34102</f>
        <v>139.46608000000001</v>
      </c>
      <c r="H8" s="78">
        <f>Dados!$I8</f>
        <v>6522</v>
      </c>
      <c r="I8" s="78">
        <f>Dados!$H8*Dados!$B$6</f>
        <v>626</v>
      </c>
      <c r="J8" s="79">
        <f>Dados!$H8</f>
        <v>2</v>
      </c>
      <c r="K8" s="8">
        <f t="shared" si="4"/>
        <v>5.0292487854662421E-2</v>
      </c>
      <c r="L8" s="8">
        <f t="shared" si="0"/>
        <v>0.9401228962540833</v>
      </c>
      <c r="M8" s="8">
        <f t="shared" si="1"/>
        <v>7.3441011521314784E-4</v>
      </c>
      <c r="N8" s="8">
        <f t="shared" si="2"/>
        <v>0.41409780619819375</v>
      </c>
      <c r="O8" s="8">
        <f t="shared" si="3"/>
        <v>0.11803119016351812</v>
      </c>
      <c r="P8" s="74">
        <f>$F8*$J8*$K8/24</f>
        <v>4.1910406545552017E-3</v>
      </c>
      <c r="Q8" s="74">
        <f t="shared" si="5"/>
        <v>4.1910406545552017E-3</v>
      </c>
      <c r="R8" s="74">
        <f t="shared" si="6"/>
        <v>4.1910406545552017E-3</v>
      </c>
      <c r="S8" s="74">
        <f t="shared" si="7"/>
        <v>7.834357468784027E-2</v>
      </c>
      <c r="T8" s="7">
        <f t="shared" si="8"/>
        <v>6.1200842934428987E-5</v>
      </c>
      <c r="U8" s="74">
        <f t="shared" si="9"/>
        <v>3.4508150516516144E-2</v>
      </c>
      <c r="V8" s="74">
        <f t="shared" si="10"/>
        <v>9.8359325136265097E-3</v>
      </c>
    </row>
    <row r="9" spans="1:22" ht="15" customHeight="1" x14ac:dyDescent="0.25">
      <c r="A9" s="25" t="s">
        <v>4</v>
      </c>
      <c r="B9" s="2" t="s">
        <v>117</v>
      </c>
      <c r="C9" s="21" t="s">
        <v>199</v>
      </c>
      <c r="D9" s="21">
        <v>-20.456816</v>
      </c>
      <c r="E9" s="21">
        <v>-40.389549000000002</v>
      </c>
      <c r="F9" s="76">
        <f>Dados!$F9</f>
        <v>1</v>
      </c>
      <c r="G9" s="86">
        <f>Dados!$G9*1.34102</f>
        <v>84.484260000000006</v>
      </c>
      <c r="H9" s="78">
        <f>Dados!$I9</f>
        <v>9188</v>
      </c>
      <c r="I9" s="78">
        <f>Dados!$H9*Dados!$B$6</f>
        <v>2504</v>
      </c>
      <c r="J9" s="79">
        <f>Dados!$H9</f>
        <v>8</v>
      </c>
      <c r="K9" s="8">
        <f t="shared" si="4"/>
        <v>3.9384469740561555E-2</v>
      </c>
      <c r="L9" s="8">
        <f t="shared" si="0"/>
        <v>0.4729552153703217</v>
      </c>
      <c r="M9" s="8">
        <f t="shared" si="1"/>
        <v>3.4529841364397461E-4</v>
      </c>
      <c r="N9" s="8">
        <f t="shared" si="2"/>
        <v>0.22817502993515104</v>
      </c>
      <c r="O9" s="8">
        <f t="shared" si="3"/>
        <v>8.0159681604441452E-2</v>
      </c>
      <c r="P9" s="74">
        <f t="shared" si="11"/>
        <v>1.3128156580187185E-2</v>
      </c>
      <c r="Q9" s="74">
        <f t="shared" si="5"/>
        <v>1.3128156580187185E-2</v>
      </c>
      <c r="R9" s="74">
        <f t="shared" si="6"/>
        <v>1.3128156580187185E-2</v>
      </c>
      <c r="S9" s="74">
        <f t="shared" si="7"/>
        <v>0.15765173845677391</v>
      </c>
      <c r="T9" s="7">
        <f t="shared" si="8"/>
        <v>1.150994712146582E-4</v>
      </c>
      <c r="U9" s="74">
        <f t="shared" si="9"/>
        <v>7.6058343311717014E-2</v>
      </c>
      <c r="V9" s="74">
        <f t="shared" si="10"/>
        <v>2.6719893868147149E-2</v>
      </c>
    </row>
    <row r="10" spans="1:22" ht="15" customHeight="1" x14ac:dyDescent="0.25">
      <c r="A10" s="25" t="s">
        <v>122</v>
      </c>
      <c r="B10" s="20" t="s">
        <v>90</v>
      </c>
      <c r="C10" s="21" t="s">
        <v>199</v>
      </c>
      <c r="D10" s="21">
        <v>-20.456816</v>
      </c>
      <c r="E10" s="21">
        <v>-40.389549000000002</v>
      </c>
      <c r="F10" s="76">
        <f>Dados!$F10</f>
        <v>1</v>
      </c>
      <c r="G10" s="109">
        <f>Dados!$G10*1.34102</f>
        <v>113.98670000000001</v>
      </c>
      <c r="H10" s="110">
        <f>Dados!$I10</f>
        <v>2223</v>
      </c>
      <c r="I10" s="110">
        <f>Dados!$H10*Dados!$B$6</f>
        <v>1252</v>
      </c>
      <c r="J10" s="79">
        <f>Dados!$H10</f>
        <v>4</v>
      </c>
      <c r="K10" s="8">
        <f t="shared" si="4"/>
        <v>3.9384469740561555E-2</v>
      </c>
      <c r="L10" s="8">
        <f t="shared" si="0"/>
        <v>0.4729552153703217</v>
      </c>
      <c r="M10" s="8">
        <f t="shared" si="1"/>
        <v>3.4529841364397461E-4</v>
      </c>
      <c r="N10" s="8">
        <f t="shared" si="2"/>
        <v>0.22817502993515104</v>
      </c>
      <c r="O10" s="8">
        <f t="shared" si="3"/>
        <v>8.0159681604441452E-2</v>
      </c>
      <c r="P10" s="74">
        <f t="shared" si="11"/>
        <v>6.5640782900935925E-3</v>
      </c>
      <c r="Q10" s="74">
        <f t="shared" si="5"/>
        <v>6.5640782900935925E-3</v>
      </c>
      <c r="R10" s="74">
        <f t="shared" si="6"/>
        <v>6.5640782900935925E-3</v>
      </c>
      <c r="S10" s="74">
        <f t="shared" si="7"/>
        <v>7.8825869228386955E-2</v>
      </c>
      <c r="T10" s="7">
        <f t="shared" si="8"/>
        <v>5.7549735607329099E-5</v>
      </c>
      <c r="U10" s="74">
        <f t="shared" si="9"/>
        <v>3.8029171655858507E-2</v>
      </c>
      <c r="V10" s="74">
        <f t="shared" si="10"/>
        <v>1.3359946934073575E-2</v>
      </c>
    </row>
    <row r="11" spans="1:22" ht="15" customHeight="1" x14ac:dyDescent="0.25">
      <c r="A11" s="120" t="s">
        <v>212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11">
        <f t="shared" ref="P11:V11" si="12">SUM(P4:P10)</f>
        <v>9.0831576537223541E-2</v>
      </c>
      <c r="Q11" s="111">
        <f t="shared" si="12"/>
        <v>9.0831576537223541E-2</v>
      </c>
      <c r="R11" s="111">
        <f t="shared" si="12"/>
        <v>9.0831576537223541E-2</v>
      </c>
      <c r="S11" s="111">
        <f t="shared" si="12"/>
        <v>1.3120751923177256</v>
      </c>
      <c r="T11" s="111">
        <f t="shared" si="12"/>
        <v>0.11789506098244505</v>
      </c>
      <c r="U11" s="111">
        <f t="shared" si="12"/>
        <v>0.66259438678878757</v>
      </c>
      <c r="V11" s="111">
        <f t="shared" si="12"/>
        <v>0.19910573835886913</v>
      </c>
    </row>
    <row r="12" spans="1:22" ht="15" customHeight="1" x14ac:dyDescent="0.25">
      <c r="D12" s="20"/>
      <c r="E12" s="20"/>
    </row>
    <row r="13" spans="1:22" ht="15" customHeight="1" x14ac:dyDescent="0.25">
      <c r="A13" s="179" t="s">
        <v>18</v>
      </c>
      <c r="B13" s="182"/>
      <c r="C13" s="182"/>
      <c r="D13" s="182"/>
      <c r="E13" s="20"/>
    </row>
    <row r="14" spans="1:22" ht="15" customHeight="1" x14ac:dyDescent="0.25">
      <c r="A14" s="180"/>
      <c r="B14" s="182"/>
      <c r="C14" s="182"/>
      <c r="D14" s="182"/>
    </row>
    <row r="15" spans="1:22" ht="15" customHeight="1" x14ac:dyDescent="0.25">
      <c r="A15" s="180"/>
      <c r="B15" s="182"/>
      <c r="C15" s="182"/>
      <c r="D15" s="182"/>
    </row>
    <row r="16" spans="1:22" ht="15" customHeight="1" x14ac:dyDescent="0.25">
      <c r="A16" s="180"/>
      <c r="B16" s="161" t="s">
        <v>236</v>
      </c>
      <c r="C16" s="161"/>
      <c r="D16" s="161"/>
      <c r="F16" s="20"/>
      <c r="G16" s="20"/>
      <c r="H16" s="20"/>
      <c r="I16" s="20"/>
      <c r="J16" s="68"/>
      <c r="L16" s="12"/>
    </row>
    <row r="17" spans="1:12" ht="15" customHeight="1" x14ac:dyDescent="0.25">
      <c r="A17" s="180"/>
      <c r="B17" s="161"/>
      <c r="C17" s="161"/>
      <c r="D17" s="161"/>
      <c r="F17" s="20"/>
      <c r="G17" s="20"/>
      <c r="H17" s="20"/>
      <c r="I17" s="20"/>
      <c r="L17" s="12"/>
    </row>
    <row r="18" spans="1:12" ht="15" customHeight="1" x14ac:dyDescent="0.25">
      <c r="A18" s="180"/>
      <c r="B18" s="161"/>
      <c r="C18" s="161"/>
      <c r="D18" s="161"/>
      <c r="L18" s="12"/>
    </row>
    <row r="19" spans="1:12" ht="15" customHeight="1" x14ac:dyDescent="0.25">
      <c r="A19" s="181"/>
      <c r="B19" s="161"/>
      <c r="C19" s="161"/>
      <c r="D19" s="161"/>
      <c r="L19" s="12"/>
    </row>
    <row r="20" spans="1:12" ht="15" customHeight="1" x14ac:dyDescent="0.25">
      <c r="L20" s="12"/>
    </row>
    <row r="21" spans="1:12" ht="15" customHeight="1" x14ac:dyDescent="0.25">
      <c r="L21" s="12"/>
    </row>
    <row r="22" spans="1:12" ht="15" customHeight="1" x14ac:dyDescent="0.25">
      <c r="L22" s="12"/>
    </row>
    <row r="23" spans="1:12" ht="15" customHeight="1" x14ac:dyDescent="0.25">
      <c r="L23" s="12"/>
    </row>
    <row r="24" spans="1:12" ht="15" customHeight="1" x14ac:dyDescent="0.25">
      <c r="L24" s="12"/>
    </row>
    <row r="25" spans="1:12" ht="15" customHeight="1" x14ac:dyDescent="0.25">
      <c r="D25" s="20"/>
      <c r="E25" s="20"/>
      <c r="L25" s="12"/>
    </row>
    <row r="26" spans="1:12" ht="15" customHeight="1" x14ac:dyDescent="0.25">
      <c r="L26" s="12"/>
    </row>
    <row r="27" spans="1:12" ht="15" customHeight="1" x14ac:dyDescent="0.25">
      <c r="L27" s="12"/>
    </row>
    <row r="28" spans="1:12" ht="15" customHeight="1" x14ac:dyDescent="0.25">
      <c r="L28" s="12"/>
    </row>
    <row r="29" spans="1:12" ht="15" customHeight="1" x14ac:dyDescent="0.25">
      <c r="L29" s="12"/>
    </row>
    <row r="30" spans="1:12" ht="15" customHeight="1" x14ac:dyDescent="0.25">
      <c r="L30" s="12"/>
    </row>
  </sheetData>
  <sheetProtection algorithmName="SHA-512" hashValue="o1xaqHSaheYRVrfx0t92YjysKWDbpJ6JqX79RFwIxuS0mXpvLexNcc31R6p5Lr2c91fvBb+w5HYtWqcf8PlMhQ==" saltValue="K8LgO3e5R9GKVeNOQm7ARg==" spinCount="100000" sheet="1" objects="1" scenarios="1"/>
  <mergeCells count="16">
    <mergeCell ref="A13:A19"/>
    <mergeCell ref="B13:D15"/>
    <mergeCell ref="B16:D19"/>
    <mergeCell ref="A11:O11"/>
    <mergeCell ref="J2:J3"/>
    <mergeCell ref="K2:O2"/>
    <mergeCell ref="D2:D3"/>
    <mergeCell ref="E2:E3"/>
    <mergeCell ref="P2:V2"/>
    <mergeCell ref="H2:H3"/>
    <mergeCell ref="I2:I3"/>
    <mergeCell ref="A2:A3"/>
    <mergeCell ref="B2:B3"/>
    <mergeCell ref="C2:C3"/>
    <mergeCell ref="F2:F3"/>
    <mergeCell ref="G2:G3"/>
  </mergeCells>
  <dataValidations disablePrompts="1" count="1">
    <dataValidation type="list" allowBlank="1" showInputMessage="1" showErrorMessage="1" sqref="C4:C10">
      <formula1>Pot_Equip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7"/>
  <sheetViews>
    <sheetView workbookViewId="0">
      <selection activeCell="F20" sqref="F20"/>
    </sheetView>
  </sheetViews>
  <sheetFormatPr defaultRowHeight="15" customHeight="1" x14ac:dyDescent="0.2"/>
  <cols>
    <col min="1" max="1" width="25.28515625" style="1" bestFit="1" customWidth="1"/>
    <col min="2" max="2" width="13.85546875" style="1" bestFit="1" customWidth="1"/>
    <col min="3" max="3" width="15.42578125" style="1" customWidth="1"/>
    <col min="4" max="4" width="15.140625" style="1" customWidth="1"/>
    <col min="5" max="5" width="12.85546875" style="1" customWidth="1"/>
    <col min="6" max="6" width="16.5703125" style="1" customWidth="1"/>
    <col min="7" max="26" width="10.7109375" style="1" customWidth="1"/>
    <col min="27" max="16384" width="9.140625" style="1"/>
  </cols>
  <sheetData>
    <row r="1" spans="1:26" ht="15" customHeight="1" x14ac:dyDescent="0.2">
      <c r="A1" s="2" t="s">
        <v>213</v>
      </c>
      <c r="B1" s="69">
        <f>(((6.54+23)/2)+((4.8+14.1)/2))/2</f>
        <v>12.11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">
      <c r="A2" s="2" t="s">
        <v>214</v>
      </c>
      <c r="B2" s="70">
        <v>6.4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3"/>
      <c r="B3" s="8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2" t="s">
        <v>262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 x14ac:dyDescent="0.2">
      <c r="A5" s="197" t="s">
        <v>69</v>
      </c>
      <c r="B5" s="199" t="s">
        <v>70</v>
      </c>
      <c r="C5" s="184" t="s">
        <v>171</v>
      </c>
      <c r="D5" s="184" t="s">
        <v>172</v>
      </c>
      <c r="E5" s="197" t="s">
        <v>71</v>
      </c>
      <c r="F5" s="199" t="s">
        <v>89</v>
      </c>
      <c r="G5" s="196" t="s">
        <v>72</v>
      </c>
      <c r="H5" s="197" t="s">
        <v>73</v>
      </c>
      <c r="I5" s="199" t="s">
        <v>74</v>
      </c>
      <c r="J5" s="198" t="s">
        <v>75</v>
      </c>
      <c r="K5" s="198"/>
      <c r="L5" s="198"/>
      <c r="M5" s="197" t="s">
        <v>76</v>
      </c>
      <c r="N5" s="197"/>
      <c r="O5" s="197"/>
      <c r="P5" s="197"/>
      <c r="Q5" s="197"/>
      <c r="R5" s="197"/>
      <c r="S5" s="197"/>
      <c r="T5" s="195" t="s">
        <v>10</v>
      </c>
      <c r="U5" s="195"/>
      <c r="V5" s="195"/>
      <c r="W5" s="195"/>
      <c r="X5" s="195"/>
      <c r="Y5" s="195"/>
      <c r="Z5" s="195"/>
    </row>
    <row r="6" spans="1:26" ht="16.5" customHeight="1" x14ac:dyDescent="0.2">
      <c r="A6" s="197"/>
      <c r="B6" s="200"/>
      <c r="C6" s="184"/>
      <c r="D6" s="184"/>
      <c r="E6" s="197"/>
      <c r="F6" s="200"/>
      <c r="G6" s="196"/>
      <c r="H6" s="197"/>
      <c r="I6" s="200"/>
      <c r="J6" s="45" t="s">
        <v>11</v>
      </c>
      <c r="K6" s="42" t="s">
        <v>77</v>
      </c>
      <c r="L6" s="44" t="s">
        <v>78</v>
      </c>
      <c r="M6" s="42" t="s">
        <v>11</v>
      </c>
      <c r="N6" s="42" t="s">
        <v>77</v>
      </c>
      <c r="O6" s="42" t="s">
        <v>78</v>
      </c>
      <c r="P6" s="42" t="s">
        <v>13</v>
      </c>
      <c r="Q6" s="42" t="s">
        <v>12</v>
      </c>
      <c r="R6" s="42" t="s">
        <v>14</v>
      </c>
      <c r="S6" s="97" t="s">
        <v>271</v>
      </c>
      <c r="T6" s="42" t="s">
        <v>11</v>
      </c>
      <c r="U6" s="42" t="s">
        <v>77</v>
      </c>
      <c r="V6" s="42" t="s">
        <v>78</v>
      </c>
      <c r="W6" s="42" t="s">
        <v>13</v>
      </c>
      <c r="X6" s="42" t="s">
        <v>12</v>
      </c>
      <c r="Y6" s="42" t="s">
        <v>14</v>
      </c>
      <c r="Z6" s="42" t="s">
        <v>271</v>
      </c>
    </row>
    <row r="7" spans="1:26" ht="15" customHeight="1" x14ac:dyDescent="0.2">
      <c r="A7" s="71" t="s">
        <v>68</v>
      </c>
      <c r="B7" s="21" t="s">
        <v>169</v>
      </c>
      <c r="C7" s="52">
        <v>-20.458072999999999</v>
      </c>
      <c r="D7" s="21">
        <v>-40.387554999999999</v>
      </c>
      <c r="E7" s="72">
        <f>SUM(Dados!$H$23:$H$33)</f>
        <v>3730</v>
      </c>
      <c r="F7" s="21">
        <f>SUM(Dados!F37:F48)/24</f>
        <v>2</v>
      </c>
      <c r="G7" s="69">
        <f>(2*($E$7*$F$7))/1000</f>
        <v>14.92</v>
      </c>
      <c r="H7" s="21" t="s">
        <v>168</v>
      </c>
      <c r="I7" s="21">
        <v>55</v>
      </c>
      <c r="J7" s="10">
        <f>'FE-Vias'!$D$6*(($B$2/12)^'FE-Vias'!$D$7*(($B$1/3)^'FE-Vias'!$D$8*('FE-Vias'!$B$9/1000)*'FE-Vias'!$G$16))</f>
        <v>1.246724080113552</v>
      </c>
      <c r="K7" s="10">
        <f>'FE-Vias'!$C$6*(($B$2/12)^'FE-Vias'!$C$7*(($B$1/3)^'FE-Vias'!$C$8*('FE-Vias'!$B$9/1000)*'FE-Vias'!$G$16))</f>
        <v>0.33656214930322093</v>
      </c>
      <c r="L7" s="10">
        <f>'FE-Vias'!$B$6*(($B$2/12)^'FE-Vias'!$B$7*(($B$1/3)^'FE-Vias'!$B$8*('FE-Vias'!$B$9/1000)*'FE-Vias'!$G$16))</f>
        <v>3.3656214930322087E-2</v>
      </c>
      <c r="M7" s="50">
        <f>'FE-Vias'!B$21/1000</f>
        <v>1.7489827604766657E-4</v>
      </c>
      <c r="N7" s="50">
        <f>'FE-Vias'!C$21/1000</f>
        <v>1.7489827604766657E-4</v>
      </c>
      <c r="O7" s="50">
        <f>'FE-Vias'!D$21/1000</f>
        <v>1.7489827604766657E-4</v>
      </c>
      <c r="P7" s="50">
        <f>'FE-Vias'!E$21/1000</f>
        <v>5.4345140567386742E-3</v>
      </c>
      <c r="Q7" s="50">
        <f>'FE-Vias'!F$21/1000</f>
        <v>2.1032135261668511E-4</v>
      </c>
      <c r="R7" s="50">
        <f>'FE-Vias'!G$21/1000</f>
        <v>1.0383730075038094E-3</v>
      </c>
      <c r="S7" s="50">
        <f>'FE-Vias'!H$21/1000</f>
        <v>2.4766340643796463E-4</v>
      </c>
      <c r="T7" s="80">
        <f>($J7*$G7*(1-$I7/100))+($M7*$G7)</f>
        <v>8.3731149561610181</v>
      </c>
      <c r="U7" s="7">
        <f>($K7*$G7*(1-$I7/100))+($N7*$G7)</f>
        <v>2.2622877527004563</v>
      </c>
      <c r="V7" s="7">
        <f>($L7*$G7*(1-$I7/100))+($O7*$G7)</f>
        <v>0.22857730932081366</v>
      </c>
      <c r="W7" s="7">
        <f>P7*$G7</f>
        <v>8.1082949726541023E-2</v>
      </c>
      <c r="X7" s="82">
        <f>Q7*$G7</f>
        <v>3.1379945810409418E-3</v>
      </c>
      <c r="Y7" s="7">
        <f>R7*$G7</f>
        <v>1.5492525271956836E-2</v>
      </c>
      <c r="Z7" s="7">
        <f>S7*$G7</f>
        <v>3.6951380240544322E-3</v>
      </c>
    </row>
    <row r="8" spans="1:26" ht="15" customHeight="1" x14ac:dyDescent="0.2">
      <c r="A8" s="169" t="s">
        <v>216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51">
        <f t="shared" ref="T8:Z8" si="0">SUM(T7:T7)</f>
        <v>8.3731149561610181</v>
      </c>
      <c r="U8" s="51">
        <f t="shared" si="0"/>
        <v>2.2622877527004563</v>
      </c>
      <c r="V8" s="51">
        <f t="shared" si="0"/>
        <v>0.22857730932081366</v>
      </c>
      <c r="W8" s="51">
        <f t="shared" si="0"/>
        <v>8.1082949726541023E-2</v>
      </c>
      <c r="X8" s="81">
        <f t="shared" si="0"/>
        <v>3.1379945810409418E-3</v>
      </c>
      <c r="Y8" s="81">
        <f t="shared" si="0"/>
        <v>1.5492525271956836E-2</v>
      </c>
      <c r="Z8" s="81">
        <f t="shared" si="0"/>
        <v>3.6951380240544322E-3</v>
      </c>
    </row>
    <row r="9" spans="1:26" ht="15" customHeight="1" x14ac:dyDescent="0.2">
      <c r="H9" s="3"/>
      <c r="I9" s="20"/>
      <c r="J9" s="22"/>
      <c r="K9" s="22"/>
      <c r="L9" s="22"/>
    </row>
    <row r="10" spans="1:26" ht="15" customHeight="1" x14ac:dyDescent="0.2">
      <c r="A10" s="185" t="s">
        <v>18</v>
      </c>
      <c r="B10" s="186"/>
      <c r="C10" s="187"/>
      <c r="D10" s="187"/>
      <c r="E10" s="188"/>
      <c r="H10" s="3"/>
      <c r="I10" s="20"/>
      <c r="J10" s="22"/>
      <c r="K10" s="22"/>
      <c r="L10" s="22"/>
    </row>
    <row r="11" spans="1:26" ht="15" customHeight="1" x14ac:dyDescent="0.2">
      <c r="A11" s="124"/>
      <c r="B11" s="189"/>
      <c r="C11" s="190"/>
      <c r="D11" s="190"/>
      <c r="E11" s="191"/>
      <c r="H11" s="2"/>
      <c r="I11" s="2"/>
      <c r="J11" s="2"/>
      <c r="K11" s="30"/>
      <c r="L11" s="25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6" ht="15" customHeight="1" x14ac:dyDescent="0.2">
      <c r="A12" s="124"/>
      <c r="B12" s="192"/>
      <c r="C12" s="193"/>
      <c r="D12" s="193"/>
      <c r="E12" s="194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6" ht="15" customHeight="1" x14ac:dyDescent="0.2">
      <c r="A13" s="124"/>
      <c r="B13" s="142" t="s">
        <v>217</v>
      </c>
      <c r="C13" s="143"/>
      <c r="D13" s="143"/>
      <c r="E13" s="144"/>
      <c r="L13" s="19"/>
      <c r="M13" s="26"/>
      <c r="N13" s="12"/>
      <c r="O13" s="28"/>
      <c r="P13" s="29"/>
      <c r="Q13" s="29"/>
      <c r="R13" s="29"/>
      <c r="S13" s="29"/>
      <c r="T13" s="29"/>
      <c r="U13" s="29"/>
      <c r="V13" s="19"/>
      <c r="W13" s="19"/>
    </row>
    <row r="14" spans="1:26" ht="15" customHeight="1" x14ac:dyDescent="0.2">
      <c r="A14" s="124"/>
      <c r="B14" s="145"/>
      <c r="C14" s="146"/>
      <c r="D14" s="146"/>
      <c r="E14" s="147"/>
      <c r="L14" s="19"/>
      <c r="M14" s="26"/>
      <c r="N14" s="12"/>
      <c r="O14" s="12"/>
      <c r="P14" s="12"/>
      <c r="Q14" s="12"/>
      <c r="R14" s="12"/>
      <c r="S14" s="12"/>
      <c r="T14" s="12"/>
      <c r="U14" s="12"/>
      <c r="V14" s="19"/>
      <c r="W14" s="19"/>
    </row>
    <row r="15" spans="1:26" ht="15" customHeight="1" x14ac:dyDescent="0.2">
      <c r="A15" s="124"/>
      <c r="B15" s="145"/>
      <c r="C15" s="146"/>
      <c r="D15" s="146"/>
      <c r="E15" s="147"/>
      <c r="L15" s="19"/>
      <c r="M15" s="26"/>
      <c r="N15" s="12"/>
      <c r="O15" s="27"/>
      <c r="P15" s="27"/>
      <c r="Q15" s="27"/>
      <c r="R15" s="27"/>
      <c r="S15" s="27"/>
      <c r="T15" s="27"/>
      <c r="U15" s="27"/>
      <c r="V15" s="19"/>
      <c r="W15" s="19"/>
    </row>
    <row r="16" spans="1:26" ht="15" customHeight="1" x14ac:dyDescent="0.2">
      <c r="A16" s="124"/>
      <c r="B16" s="145"/>
      <c r="C16" s="146"/>
      <c r="D16" s="146"/>
      <c r="E16" s="147"/>
      <c r="L16" s="19"/>
      <c r="M16" s="26"/>
      <c r="N16" s="17"/>
      <c r="O16" s="18"/>
      <c r="P16" s="18"/>
      <c r="Q16" s="18"/>
      <c r="R16" s="18"/>
      <c r="S16" s="18"/>
      <c r="T16" s="24"/>
      <c r="U16" s="24"/>
      <c r="V16" s="19"/>
      <c r="W16" s="19"/>
    </row>
    <row r="17" spans="1:23" ht="15" customHeight="1" x14ac:dyDescent="0.2">
      <c r="A17" s="125"/>
      <c r="B17" s="148"/>
      <c r="C17" s="149"/>
      <c r="D17" s="149"/>
      <c r="E17" s="15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5" customHeight="1" x14ac:dyDescent="0.2"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5" customHeight="1" x14ac:dyDescent="0.2">
      <c r="A19" s="185" t="s">
        <v>218</v>
      </c>
      <c r="B19" s="182"/>
      <c r="C19" s="182"/>
      <c r="D19" s="182"/>
    </row>
    <row r="20" spans="1:23" ht="15" customHeight="1" x14ac:dyDescent="0.2">
      <c r="A20" s="124"/>
      <c r="B20" s="182"/>
      <c r="C20" s="182"/>
      <c r="D20" s="182"/>
    </row>
    <row r="21" spans="1:23" ht="15" customHeight="1" x14ac:dyDescent="0.2">
      <c r="A21" s="124"/>
      <c r="B21" s="182"/>
      <c r="C21" s="182"/>
      <c r="D21" s="182"/>
    </row>
    <row r="22" spans="1:23" ht="15" customHeight="1" x14ac:dyDescent="0.2">
      <c r="A22" s="124"/>
      <c r="B22" s="161" t="s">
        <v>219</v>
      </c>
      <c r="C22" s="161"/>
      <c r="D22" s="161"/>
    </row>
    <row r="23" spans="1:23" ht="15" customHeight="1" x14ac:dyDescent="0.2">
      <c r="A23" s="124"/>
      <c r="B23" s="161"/>
      <c r="C23" s="161"/>
      <c r="D23" s="161"/>
    </row>
    <row r="24" spans="1:23" ht="15" customHeight="1" x14ac:dyDescent="0.2">
      <c r="A24" s="124"/>
      <c r="B24" s="161"/>
      <c r="C24" s="161"/>
      <c r="D24" s="161"/>
    </row>
    <row r="25" spans="1:23" ht="15" customHeight="1" x14ac:dyDescent="0.2">
      <c r="A25" s="124"/>
      <c r="B25" s="161"/>
      <c r="C25" s="161"/>
      <c r="D25" s="161"/>
    </row>
    <row r="26" spans="1:23" ht="15" customHeight="1" x14ac:dyDescent="0.2">
      <c r="A26" s="125"/>
      <c r="B26" s="161"/>
      <c r="C26" s="161"/>
      <c r="D26" s="161"/>
    </row>
    <row r="30" spans="1:23" ht="15" customHeight="1" x14ac:dyDescent="0.2">
      <c r="B30" s="23"/>
      <c r="C30" s="19"/>
      <c r="E30" s="19"/>
      <c r="F30" s="21"/>
    </row>
    <row r="31" spans="1:23" ht="15" customHeight="1" x14ac:dyDescent="0.2">
      <c r="B31" s="23"/>
      <c r="C31" s="19"/>
      <c r="E31" s="19"/>
      <c r="F31" s="21"/>
    </row>
    <row r="32" spans="1:23" ht="15" customHeight="1" x14ac:dyDescent="0.2">
      <c r="B32" s="23"/>
      <c r="C32" s="19"/>
      <c r="E32" s="19"/>
      <c r="F32" s="21"/>
    </row>
    <row r="33" spans="2:6" ht="15" customHeight="1" x14ac:dyDescent="0.2">
      <c r="B33" s="23"/>
      <c r="C33" s="19"/>
      <c r="E33" s="19"/>
      <c r="F33" s="21"/>
    </row>
    <row r="34" spans="2:6" ht="15" customHeight="1" x14ac:dyDescent="0.2">
      <c r="B34" s="23"/>
      <c r="C34" s="19"/>
      <c r="E34" s="19"/>
      <c r="F34" s="21"/>
    </row>
    <row r="35" spans="2:6" ht="15" customHeight="1" x14ac:dyDescent="0.2">
      <c r="B35" s="23"/>
      <c r="C35" s="19"/>
      <c r="E35" s="19"/>
      <c r="F35" s="21"/>
    </row>
    <row r="37" spans="2:6" ht="15" customHeight="1" x14ac:dyDescent="0.2">
      <c r="F37" s="19"/>
    </row>
  </sheetData>
  <sheetProtection algorithmName="SHA-512" hashValue="QPbRdWRaWAOqi7TyKsIXAkq1JG4IuA+poOyAMpHp9kSuFCz4t0vgEaG+V3w/GY+TQycxl3CWMNb9KPOrxv4Hmg==" saltValue="Ga36Xm3GDIXNLvG6QHwSzA==" spinCount="100000" sheet="1" objects="1" scenarios="1"/>
  <mergeCells count="19">
    <mergeCell ref="T5:Z5"/>
    <mergeCell ref="G5:G6"/>
    <mergeCell ref="H5:H6"/>
    <mergeCell ref="J5:L5"/>
    <mergeCell ref="A8:S8"/>
    <mergeCell ref="F5:F6"/>
    <mergeCell ref="A5:A6"/>
    <mergeCell ref="B5:B6"/>
    <mergeCell ref="E5:E6"/>
    <mergeCell ref="M5:S5"/>
    <mergeCell ref="I5:I6"/>
    <mergeCell ref="D5:D6"/>
    <mergeCell ref="C5:C6"/>
    <mergeCell ref="A10:A17"/>
    <mergeCell ref="B10:E12"/>
    <mergeCell ref="B13:E17"/>
    <mergeCell ref="A19:A26"/>
    <mergeCell ref="B19:D21"/>
    <mergeCell ref="B22:D26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workbookViewId="0">
      <selection activeCell="I25" sqref="I25"/>
    </sheetView>
  </sheetViews>
  <sheetFormatPr defaultRowHeight="15" customHeight="1" x14ac:dyDescent="0.2"/>
  <cols>
    <col min="1" max="1" width="23.7109375" style="1" customWidth="1"/>
    <col min="2" max="2" width="11.7109375" style="1" customWidth="1"/>
    <col min="3" max="3" width="12.5703125" style="1" customWidth="1"/>
    <col min="4" max="4" width="14.7109375" style="1" customWidth="1"/>
    <col min="5" max="5" width="17.85546875" style="1" customWidth="1"/>
    <col min="6" max="6" width="23.28515625" style="1" customWidth="1"/>
    <col min="7" max="7" width="20.140625" style="1" bestFit="1" customWidth="1"/>
    <col min="8" max="9" width="9.140625" style="1"/>
    <col min="10" max="10" width="10.42578125" style="1" bestFit="1" customWidth="1"/>
    <col min="11" max="12" width="9.140625" style="1"/>
    <col min="13" max="13" width="10.42578125" style="1" bestFit="1" customWidth="1"/>
    <col min="14" max="16384" width="9.140625" style="1"/>
  </cols>
  <sheetData>
    <row r="1" spans="1:14" ht="15" customHeight="1" x14ac:dyDescent="0.2">
      <c r="A1" s="2" t="s">
        <v>220</v>
      </c>
      <c r="B1" s="91">
        <f>Dados!$B$6</f>
        <v>313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5" customHeight="1" x14ac:dyDescent="0.2">
      <c r="A2" s="3" t="s">
        <v>215</v>
      </c>
      <c r="B2" s="87">
        <f>Dados!$B$5</f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5" customHeight="1" x14ac:dyDescent="0.2">
      <c r="A3" s="3"/>
      <c r="B3" s="11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5" customHeight="1" x14ac:dyDescent="0.2">
      <c r="A4" s="2" t="s">
        <v>262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15" customHeight="1" x14ac:dyDescent="0.2">
      <c r="A5" s="204" t="s">
        <v>91</v>
      </c>
      <c r="B5" s="184" t="s">
        <v>171</v>
      </c>
      <c r="C5" s="184" t="s">
        <v>172</v>
      </c>
      <c r="D5" s="206" t="s">
        <v>7</v>
      </c>
      <c r="E5" s="199" t="s">
        <v>221</v>
      </c>
      <c r="F5" s="199" t="s">
        <v>134</v>
      </c>
      <c r="G5" s="199" t="s">
        <v>93</v>
      </c>
      <c r="H5" s="201" t="s">
        <v>94</v>
      </c>
      <c r="I5" s="202"/>
      <c r="J5" s="203"/>
      <c r="K5" s="201" t="s">
        <v>10</v>
      </c>
      <c r="L5" s="202"/>
      <c r="M5" s="203"/>
    </row>
    <row r="6" spans="1:14" ht="15" customHeight="1" x14ac:dyDescent="0.2">
      <c r="A6" s="205"/>
      <c r="B6" s="184"/>
      <c r="C6" s="184"/>
      <c r="D6" s="200"/>
      <c r="E6" s="200"/>
      <c r="F6" s="200"/>
      <c r="G6" s="200"/>
      <c r="H6" s="97" t="s">
        <v>95</v>
      </c>
      <c r="I6" s="97" t="s">
        <v>96</v>
      </c>
      <c r="J6" s="97" t="s">
        <v>97</v>
      </c>
      <c r="K6" s="97" t="s">
        <v>95</v>
      </c>
      <c r="L6" s="97" t="s">
        <v>96</v>
      </c>
      <c r="M6" s="97" t="s">
        <v>97</v>
      </c>
    </row>
    <row r="7" spans="1:14" ht="15" customHeight="1" x14ac:dyDescent="0.2">
      <c r="A7" s="2" t="s">
        <v>130</v>
      </c>
      <c r="B7" s="52">
        <v>-20.459216999999999</v>
      </c>
      <c r="C7" s="21">
        <v>-40.389803999999998</v>
      </c>
      <c r="D7" s="21">
        <f>SUM(Dados!$F$4,Dados!$F$9)</f>
        <v>2</v>
      </c>
      <c r="E7" s="74">
        <f>(AVERAGE(Dados!$H$4,Dados!$H$9)/B2)*D7</f>
        <v>0.58333333333333337</v>
      </c>
      <c r="F7" s="53">
        <f>'FE-Transferências'!$I$9</f>
        <v>6</v>
      </c>
      <c r="G7" s="91">
        <v>10</v>
      </c>
      <c r="H7" s="21">
        <f>2.6*($F$7)^1.2/$G$7^1.3</f>
        <v>1.1188061588578717</v>
      </c>
      <c r="I7" s="21">
        <f>(0.45*($F$7^1.5)/($G$7^1.4))*0.75</f>
        <v>0.19746978473684307</v>
      </c>
      <c r="J7" s="21">
        <f>$H$7*0.105</f>
        <v>0.11747464668007652</v>
      </c>
      <c r="K7" s="7">
        <f>$H$7*$E$7</f>
        <v>0.65263692600042522</v>
      </c>
      <c r="L7" s="7">
        <f>$I$7*$E$7</f>
        <v>0.11519070776315847</v>
      </c>
      <c r="M7" s="7">
        <f>$J$7*$E$7</f>
        <v>6.852687723004465E-2</v>
      </c>
      <c r="N7" s="19"/>
    </row>
    <row r="8" spans="1:14" ht="15" customHeight="1" x14ac:dyDescent="0.2">
      <c r="A8" s="120" t="s">
        <v>216</v>
      </c>
      <c r="B8" s="120"/>
      <c r="C8" s="120"/>
      <c r="D8" s="120"/>
      <c r="E8" s="120"/>
      <c r="F8" s="120"/>
      <c r="G8" s="120"/>
      <c r="H8" s="120"/>
      <c r="I8" s="120"/>
      <c r="J8" s="120"/>
      <c r="K8" s="111">
        <f>K7</f>
        <v>0.65263692600042522</v>
      </c>
      <c r="L8" s="111">
        <f t="shared" ref="L8:M8" si="0">L7</f>
        <v>0.11519070776315847</v>
      </c>
      <c r="M8" s="111">
        <f t="shared" si="0"/>
        <v>6.852687723004465E-2</v>
      </c>
    </row>
    <row r="9" spans="1:14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4" ht="15" customHeight="1" x14ac:dyDescent="0.2">
      <c r="A10" s="207" t="s">
        <v>234</v>
      </c>
      <c r="B10" s="158" t="s">
        <v>11</v>
      </c>
      <c r="C10" s="163"/>
      <c r="D10" s="163"/>
      <c r="E10" s="163"/>
      <c r="F10" s="2"/>
      <c r="G10" s="2"/>
      <c r="H10" s="2"/>
      <c r="I10" s="2"/>
      <c r="J10" s="2"/>
      <c r="K10" s="2"/>
      <c r="L10" s="2"/>
      <c r="M10" s="2"/>
    </row>
    <row r="11" spans="1:14" ht="15" customHeight="1" x14ac:dyDescent="0.2">
      <c r="A11" s="207"/>
      <c r="B11" s="162"/>
      <c r="C11" s="163"/>
      <c r="D11" s="163"/>
      <c r="E11" s="163"/>
      <c r="F11" s="2"/>
      <c r="G11" s="2"/>
      <c r="H11" s="2"/>
      <c r="I11" s="2"/>
      <c r="J11" s="2"/>
      <c r="K11" s="2"/>
      <c r="L11" s="2"/>
      <c r="M11" s="2"/>
    </row>
    <row r="12" spans="1:14" ht="15" customHeight="1" x14ac:dyDescent="0.2">
      <c r="A12" s="207"/>
      <c r="B12" s="158" t="s">
        <v>161</v>
      </c>
      <c r="C12" s="163"/>
      <c r="D12" s="163"/>
      <c r="E12" s="163"/>
      <c r="F12" s="2"/>
      <c r="G12" s="2"/>
      <c r="H12" s="2"/>
      <c r="I12" s="2"/>
      <c r="J12" s="2"/>
      <c r="K12" s="2"/>
      <c r="L12" s="2"/>
      <c r="M12" s="2"/>
    </row>
    <row r="13" spans="1:14" ht="15" customHeight="1" x14ac:dyDescent="0.2">
      <c r="A13" s="207"/>
      <c r="B13" s="159"/>
      <c r="C13" s="163"/>
      <c r="D13" s="163"/>
      <c r="E13" s="163"/>
      <c r="F13" s="2"/>
      <c r="G13" s="2"/>
      <c r="H13" s="2"/>
      <c r="I13" s="2"/>
      <c r="J13" s="2"/>
      <c r="K13" s="2"/>
      <c r="L13" s="2"/>
      <c r="M13" s="2"/>
    </row>
    <row r="14" spans="1:14" ht="15" customHeight="1" x14ac:dyDescent="0.2">
      <c r="A14" s="207"/>
      <c r="B14" s="158" t="s">
        <v>162</v>
      </c>
      <c r="C14" s="160"/>
      <c r="D14" s="160"/>
      <c r="E14" s="160"/>
      <c r="F14" s="2"/>
      <c r="G14" s="2"/>
      <c r="H14" s="2"/>
      <c r="I14" s="2"/>
      <c r="J14" s="2"/>
      <c r="K14" s="2"/>
      <c r="L14" s="2"/>
      <c r="M14" s="2"/>
    </row>
    <row r="15" spans="1:14" ht="15" customHeight="1" x14ac:dyDescent="0.2">
      <c r="A15" s="207"/>
      <c r="B15" s="159"/>
      <c r="C15" s="160"/>
      <c r="D15" s="160"/>
      <c r="E15" s="160"/>
      <c r="F15" s="2"/>
      <c r="G15" s="2"/>
      <c r="H15" s="2"/>
      <c r="I15" s="2"/>
      <c r="J15" s="2"/>
      <c r="K15" s="2"/>
      <c r="L15" s="2"/>
      <c r="M15" s="2"/>
    </row>
    <row r="16" spans="1:14" ht="15" customHeight="1" x14ac:dyDescent="0.2">
      <c r="A16" s="207"/>
      <c r="B16" s="161" t="s">
        <v>235</v>
      </c>
      <c r="C16" s="161"/>
      <c r="D16" s="161"/>
      <c r="E16" s="161"/>
      <c r="F16" s="2"/>
      <c r="G16" s="2"/>
      <c r="H16" s="2"/>
      <c r="I16" s="2"/>
      <c r="J16" s="2"/>
      <c r="K16" s="2"/>
      <c r="L16" s="2"/>
      <c r="M16" s="2"/>
    </row>
    <row r="17" spans="1:13" ht="15" customHeight="1" x14ac:dyDescent="0.2">
      <c r="A17" s="207"/>
      <c r="B17" s="161"/>
      <c r="C17" s="161"/>
      <c r="D17" s="161"/>
      <c r="E17" s="161"/>
      <c r="F17" s="2"/>
      <c r="G17" s="2"/>
      <c r="H17" s="2"/>
      <c r="I17" s="2"/>
      <c r="J17" s="2"/>
      <c r="K17" s="2"/>
      <c r="L17" s="2"/>
      <c r="M17" s="2"/>
    </row>
    <row r="18" spans="1:13" ht="15" customHeight="1" x14ac:dyDescent="0.2">
      <c r="A18" s="207"/>
      <c r="B18" s="161"/>
      <c r="C18" s="161"/>
      <c r="D18" s="161"/>
      <c r="E18" s="161"/>
      <c r="F18" s="2"/>
      <c r="G18" s="2"/>
      <c r="H18" s="2"/>
      <c r="I18" s="2"/>
      <c r="J18" s="2"/>
      <c r="K18" s="2"/>
      <c r="L18" s="2"/>
      <c r="M18" s="2"/>
    </row>
    <row r="19" spans="1:13" ht="15" customHeight="1" x14ac:dyDescent="0.2">
      <c r="A19" s="207"/>
      <c r="B19" s="161"/>
      <c r="C19" s="161"/>
      <c r="D19" s="161"/>
      <c r="E19" s="161"/>
      <c r="F19" s="2"/>
      <c r="G19" s="2"/>
      <c r="H19" s="113"/>
      <c r="I19" s="2"/>
      <c r="J19" s="2"/>
      <c r="K19" s="2"/>
      <c r="L19" s="2"/>
      <c r="M19" s="2"/>
    </row>
    <row r="20" spans="1:13" ht="1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5" spans="1:13" ht="15" customHeight="1" x14ac:dyDescent="0.2">
      <c r="G25" s="117" t="s">
        <v>275</v>
      </c>
    </row>
  </sheetData>
  <sheetProtection algorithmName="SHA-512" hashValue="Co1qu98yM4jWSGqTVo1Xq6qzE86JQW60tuXtmuxrla7S3B2Ao3yNLK7EVJ6gk6Fz6+Hp/l3aEg853KP2ItkP5Q==" saltValue="fsm1LSodVO4RUjJgIQmMUg==" spinCount="100000" sheet="1" objects="1" scenarios="1"/>
  <mergeCells count="18">
    <mergeCell ref="B14:B15"/>
    <mergeCell ref="C14:E15"/>
    <mergeCell ref="B16:E19"/>
    <mergeCell ref="A10:A19"/>
    <mergeCell ref="B10:B11"/>
    <mergeCell ref="C10:E11"/>
    <mergeCell ref="B12:B13"/>
    <mergeCell ref="C12:E13"/>
    <mergeCell ref="A8:J8"/>
    <mergeCell ref="K5:M5"/>
    <mergeCell ref="H5:J5"/>
    <mergeCell ref="F5:F6"/>
    <mergeCell ref="A5:A6"/>
    <mergeCell ref="E5:E6"/>
    <mergeCell ref="G5:G6"/>
    <mergeCell ref="D5:D6"/>
    <mergeCell ref="B5:B6"/>
    <mergeCell ref="C5:C6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FE-Solid Waste</vt:lpstr>
      <vt:lpstr>FE-Maq e Equip</vt:lpstr>
      <vt:lpstr>FE-Transferências</vt:lpstr>
      <vt:lpstr>FE-Escavação</vt:lpstr>
      <vt:lpstr>FE-Vias</vt:lpstr>
      <vt:lpstr>Dados</vt:lpstr>
      <vt:lpstr>Emissão Maq e Equip</vt:lpstr>
      <vt:lpstr>Emissão Vias</vt:lpstr>
      <vt:lpstr>Emissão Escavação</vt:lpstr>
      <vt:lpstr>Emissão Transferências</vt:lpstr>
      <vt:lpstr>Emissão Aterro</vt:lpstr>
      <vt:lpstr>Emissão Flare</vt:lpstr>
      <vt:lpstr>Resumo</vt:lpstr>
      <vt:lpstr>Fator_Emissao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Brusco Filete</dc:creator>
  <cp:lastModifiedBy>Gabriel Aarão Gonçalves</cp:lastModifiedBy>
  <cp:lastPrinted>2019-01-10T15:52:25Z</cp:lastPrinted>
  <dcterms:created xsi:type="dcterms:W3CDTF">2019-01-09T11:36:47Z</dcterms:created>
  <dcterms:modified xsi:type="dcterms:W3CDTF">2019-06-07T11:36:28Z</dcterms:modified>
</cp:coreProperties>
</file>