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N:\Clientes\PRJ1301096-Estudo QAr RGV\02-Inventário\Memorial de Cálculo\2 Memorial_IEMA_R1\Chocolates Garoto\"/>
    </mc:Choice>
  </mc:AlternateContent>
  <bookViews>
    <workbookView xWindow="0" yWindow="0" windowWidth="24000" windowHeight="9135" activeTab="6"/>
  </bookViews>
  <sheets>
    <sheet name="FE-Combustão" sheetId="2" r:id="rId1"/>
    <sheet name="FE-Maq e Equip" sheetId="6" r:id="rId2"/>
    <sheet name="Dados" sheetId="4" r:id="rId3"/>
    <sheet name="Monitoramento" sheetId="3" r:id="rId4"/>
    <sheet name="Emissão Chaminés" sheetId="1" r:id="rId5"/>
    <sheet name="Emissão Maq e Equip" sheetId="5" r:id="rId6"/>
    <sheet name="Resumo" sheetId="7" r:id="rId7"/>
  </sheets>
  <definedNames>
    <definedName name="FE_Equip">'FE-Maq e Equip'!$B$3:$G$7</definedName>
    <definedName name="Pot_Equip">'FE-Maq e Equip'!$B$3:$B$7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7" i="4" l="1"/>
  <c r="C4" i="7" l="1"/>
  <c r="D4" i="7"/>
  <c r="E4" i="7"/>
  <c r="F4" i="7"/>
  <c r="G4" i="7"/>
  <c r="H4" i="7"/>
  <c r="B4" i="7"/>
  <c r="A4" i="5" l="1"/>
  <c r="Q4" i="5" l="1"/>
  <c r="R4" i="5"/>
  <c r="S4" i="5"/>
  <c r="P4" i="5"/>
  <c r="M4" i="5"/>
  <c r="L4" i="5"/>
  <c r="K4" i="5"/>
  <c r="J4" i="5"/>
  <c r="I4" i="5"/>
  <c r="H4" i="5"/>
  <c r="W15" i="1" l="1"/>
  <c r="W14" i="1"/>
  <c r="P15" i="1"/>
  <c r="P14" i="1"/>
  <c r="W8" i="1"/>
  <c r="W7" i="1"/>
  <c r="P8" i="1"/>
  <c r="P9" i="1"/>
  <c r="P10" i="1"/>
  <c r="P11" i="1"/>
  <c r="P12" i="1"/>
  <c r="P13" i="1"/>
  <c r="P7" i="1"/>
  <c r="V15" i="1"/>
  <c r="V14" i="1"/>
  <c r="O15" i="1"/>
  <c r="O14" i="1"/>
  <c r="V8" i="1"/>
  <c r="O8" i="1"/>
  <c r="O9" i="1"/>
  <c r="O10" i="1"/>
  <c r="O11" i="1"/>
  <c r="O12" i="1"/>
  <c r="O13" i="1"/>
  <c r="V7" i="1"/>
  <c r="O7" i="1"/>
  <c r="U8" i="1"/>
  <c r="N8" i="1"/>
  <c r="N9" i="1"/>
  <c r="N10" i="1"/>
  <c r="N11" i="1"/>
  <c r="N12" i="1"/>
  <c r="N13" i="1"/>
  <c r="U7" i="1"/>
  <c r="N7" i="1"/>
  <c r="T15" i="1"/>
  <c r="M15" i="1"/>
  <c r="T14" i="1"/>
  <c r="M14" i="1"/>
  <c r="M11" i="1"/>
  <c r="M12" i="1"/>
  <c r="M13" i="1"/>
  <c r="M10" i="1"/>
  <c r="M9" i="1"/>
  <c r="S15" i="1"/>
  <c r="S14" i="1"/>
  <c r="L15" i="1"/>
  <c r="L14" i="1"/>
  <c r="R15" i="1"/>
  <c r="K15" i="1"/>
  <c r="R14" i="1"/>
  <c r="K14" i="1"/>
  <c r="Q15" i="1"/>
  <c r="J15" i="1"/>
  <c r="Q14" i="1"/>
  <c r="J14" i="1"/>
  <c r="Q8" i="1"/>
  <c r="J8" i="1"/>
  <c r="J9" i="1"/>
  <c r="J10" i="1"/>
  <c r="J11" i="1"/>
  <c r="J12" i="1"/>
  <c r="J13" i="1"/>
  <c r="Q7" i="1"/>
  <c r="J7" i="1"/>
  <c r="C15" i="1" l="1"/>
  <c r="C14" i="1"/>
  <c r="D108" i="2"/>
  <c r="G4" i="5" l="1"/>
  <c r="M5" i="5" l="1"/>
  <c r="N4" i="5" l="1"/>
  <c r="R5" i="5"/>
  <c r="O4" i="5" l="1"/>
  <c r="Q5" i="5"/>
  <c r="S5" i="5"/>
  <c r="P5" i="5"/>
  <c r="N5" i="5"/>
  <c r="O5" i="5" l="1"/>
  <c r="D102" i="2" l="1"/>
  <c r="D103" i="2"/>
  <c r="D104" i="2"/>
  <c r="D105" i="2"/>
  <c r="D106" i="2"/>
  <c r="D107" i="2"/>
  <c r="D101" i="2"/>
  <c r="G77" i="2" l="1"/>
  <c r="E77" i="2"/>
  <c r="C77" i="2"/>
  <c r="G76" i="2"/>
  <c r="E76" i="2"/>
  <c r="C76" i="2"/>
  <c r="G75" i="2"/>
  <c r="E75" i="2"/>
  <c r="C75" i="2"/>
  <c r="G74" i="2"/>
  <c r="E74" i="2"/>
  <c r="C74" i="2"/>
  <c r="G73" i="2"/>
  <c r="E73" i="2"/>
  <c r="C73" i="2"/>
  <c r="G71" i="2"/>
  <c r="E71" i="2"/>
  <c r="C71" i="2"/>
  <c r="G70" i="2"/>
  <c r="E70" i="2"/>
  <c r="C70" i="2"/>
  <c r="G69" i="2"/>
  <c r="E69" i="2"/>
  <c r="C69" i="2"/>
  <c r="G68" i="2"/>
  <c r="E68" i="2"/>
  <c r="C68" i="2"/>
  <c r="G66" i="2"/>
  <c r="E66" i="2"/>
  <c r="C66" i="2"/>
  <c r="G65" i="2"/>
  <c r="E65" i="2"/>
  <c r="C65" i="2"/>
  <c r="G64" i="2"/>
  <c r="E64" i="2"/>
  <c r="C64" i="2"/>
  <c r="G63" i="2"/>
  <c r="E63" i="2"/>
  <c r="C63" i="2"/>
  <c r="G62" i="2"/>
  <c r="E62" i="2"/>
  <c r="C62" i="2"/>
  <c r="G61" i="2"/>
  <c r="E61" i="2"/>
  <c r="C61" i="2"/>
  <c r="D51" i="2"/>
  <c r="D50" i="2"/>
  <c r="M43" i="2"/>
  <c r="J43" i="2"/>
  <c r="G43" i="2"/>
  <c r="M42" i="2"/>
  <c r="J42" i="2"/>
  <c r="G42" i="2"/>
  <c r="M41" i="2"/>
  <c r="J41" i="2"/>
  <c r="G41" i="2"/>
  <c r="M40" i="2"/>
  <c r="J40" i="2"/>
  <c r="G40" i="2"/>
  <c r="J39" i="2"/>
  <c r="G39" i="2"/>
  <c r="M37" i="2"/>
  <c r="J37" i="2"/>
  <c r="G37" i="2"/>
  <c r="M36" i="2"/>
  <c r="J36" i="2"/>
  <c r="G36" i="2"/>
  <c r="M35" i="2"/>
  <c r="J35" i="2"/>
  <c r="G35" i="2"/>
  <c r="M34" i="2"/>
  <c r="J34" i="2"/>
  <c r="G34" i="2"/>
  <c r="M33" i="2"/>
  <c r="J33" i="2"/>
  <c r="G33" i="2"/>
  <c r="M32" i="2"/>
  <c r="J32" i="2"/>
  <c r="G32" i="2"/>
  <c r="J31" i="2"/>
  <c r="G31" i="2"/>
  <c r="J30" i="2"/>
  <c r="G30" i="2"/>
  <c r="J29" i="2"/>
  <c r="G29" i="2"/>
  <c r="J28" i="2"/>
  <c r="G28" i="2"/>
  <c r="F14" i="1" l="1"/>
  <c r="F15" i="1"/>
  <c r="F12" i="1"/>
  <c r="U15" i="1" l="1"/>
  <c r="U14" i="1"/>
  <c r="F13" i="1"/>
  <c r="D28" i="4" l="1"/>
  <c r="C8" i="1"/>
  <c r="C7" i="1"/>
  <c r="S17" i="4" l="1"/>
  <c r="R17" i="4"/>
  <c r="C6" i="2" l="1"/>
  <c r="K14" i="2" l="1"/>
  <c r="K13" i="2"/>
  <c r="K12" i="2"/>
  <c r="K11" i="2"/>
  <c r="K10" i="2"/>
  <c r="K9" i="2"/>
  <c r="K8" i="2"/>
  <c r="K7" i="2"/>
  <c r="K6" i="2"/>
  <c r="K5" i="2"/>
  <c r="K4" i="2"/>
  <c r="F18" i="2"/>
  <c r="F16" i="2"/>
  <c r="F15" i="2"/>
  <c r="F13" i="2"/>
  <c r="F12" i="2"/>
  <c r="F11" i="2"/>
  <c r="F9" i="2"/>
  <c r="F8" i="2"/>
  <c r="F7" i="2"/>
  <c r="F6" i="2"/>
  <c r="C18" i="2"/>
  <c r="C16" i="2"/>
  <c r="C15" i="2"/>
  <c r="C13" i="2"/>
  <c r="C12" i="2"/>
  <c r="C11" i="2"/>
  <c r="C9" i="2"/>
  <c r="C7" i="2"/>
  <c r="C8" i="2"/>
  <c r="O18" i="4" l="1"/>
  <c r="M17" i="4"/>
  <c r="L17" i="4"/>
  <c r="K17" i="4"/>
  <c r="J17" i="4"/>
  <c r="I17" i="4"/>
  <c r="H17" i="4"/>
  <c r="G17" i="4"/>
  <c r="F17" i="4"/>
  <c r="E17" i="4"/>
  <c r="C17" i="4"/>
  <c r="N16" i="4"/>
  <c r="N17" i="4" s="1"/>
  <c r="O15" i="4"/>
  <c r="C22" i="4" l="1"/>
  <c r="C27" i="4"/>
  <c r="C25" i="4"/>
  <c r="C26" i="4"/>
  <c r="C24" i="4"/>
  <c r="C23" i="4"/>
  <c r="P16" i="4"/>
  <c r="R8" i="1"/>
  <c r="S8" i="1"/>
  <c r="S7" i="1"/>
  <c r="R7" i="1"/>
  <c r="O16" i="4"/>
  <c r="O17" i="4"/>
  <c r="T16" i="3"/>
  <c r="C25" i="3" s="1"/>
  <c r="H8" i="1" s="1"/>
  <c r="G8" i="1" s="1"/>
  <c r="M16" i="3"/>
  <c r="F16" i="3"/>
  <c r="T15" i="3"/>
  <c r="M15" i="3"/>
  <c r="F15" i="3"/>
  <c r="C24" i="3" s="1"/>
  <c r="T8" i="1" s="1"/>
  <c r="T7" i="3"/>
  <c r="M7" i="3"/>
  <c r="F7" i="3"/>
  <c r="B25" i="3" s="1"/>
  <c r="H7" i="1" s="1"/>
  <c r="G7" i="1" s="1"/>
  <c r="T6" i="3"/>
  <c r="M6" i="3"/>
  <c r="F6" i="3"/>
  <c r="B24" i="3" s="1"/>
  <c r="T7" i="1" s="1"/>
  <c r="E26" i="4" l="1"/>
  <c r="C12" i="1" s="1"/>
  <c r="E24" i="4"/>
  <c r="C10" i="1" s="1"/>
  <c r="E27" i="4"/>
  <c r="C13" i="1" s="1"/>
  <c r="E23" i="4"/>
  <c r="E25" i="4"/>
  <c r="C11" i="1" s="1"/>
  <c r="P17" i="4"/>
  <c r="C28" i="4"/>
  <c r="C9" i="1" l="1"/>
  <c r="E28" i="4"/>
  <c r="V13" i="1"/>
  <c r="W13" i="1"/>
  <c r="U13" i="1"/>
  <c r="T13" i="1"/>
  <c r="Q13" i="1"/>
  <c r="V10" i="1"/>
  <c r="W10" i="1"/>
  <c r="U10" i="1"/>
  <c r="T10" i="1"/>
  <c r="Q10" i="1"/>
  <c r="Q11" i="1"/>
  <c r="V11" i="1"/>
  <c r="U11" i="1"/>
  <c r="W11" i="1"/>
  <c r="T11" i="1"/>
  <c r="W12" i="1"/>
  <c r="U12" i="1"/>
  <c r="T12" i="1"/>
  <c r="Q12" i="1"/>
  <c r="V12" i="1"/>
  <c r="R10" i="1" l="1"/>
  <c r="S10" i="1"/>
  <c r="R13" i="1"/>
  <c r="S13" i="1"/>
  <c r="S12" i="1"/>
  <c r="R12" i="1"/>
  <c r="S11" i="1"/>
  <c r="R11" i="1"/>
  <c r="W9" i="1"/>
  <c r="W16" i="1" s="1"/>
  <c r="H3" i="7" s="1"/>
  <c r="H5" i="7" s="1"/>
  <c r="U9" i="1"/>
  <c r="U16" i="1" s="1"/>
  <c r="F3" i="7" s="1"/>
  <c r="F5" i="7" s="1"/>
  <c r="Q9" i="1"/>
  <c r="T9" i="1"/>
  <c r="T16" i="1" s="1"/>
  <c r="E3" i="7" s="1"/>
  <c r="E5" i="7" s="1"/>
  <c r="V9" i="1"/>
  <c r="V16" i="1" s="1"/>
  <c r="G3" i="7" s="1"/>
  <c r="G5" i="7" s="1"/>
  <c r="S9" i="1" l="1"/>
  <c r="S16" i="1" s="1"/>
  <c r="D3" i="7" s="1"/>
  <c r="D5" i="7" s="1"/>
  <c r="R9" i="1"/>
  <c r="R16" i="1" s="1"/>
  <c r="C3" i="7" s="1"/>
  <c r="C5" i="7" s="1"/>
  <c r="Q16" i="1"/>
  <c r="B3" i="7" s="1"/>
  <c r="B5" i="7" s="1"/>
</calcChain>
</file>

<file path=xl/comments1.xml><?xml version="1.0" encoding="utf-8"?>
<comments xmlns="http://schemas.openxmlformats.org/spreadsheetml/2006/main">
  <authors>
    <author>Andrielly Moutinho Knupp</author>
  </authors>
  <commentList>
    <comment ref="R16" authorId="0" shapeId="0">
      <text>
        <r>
          <rPr>
            <sz val="9"/>
            <color indexed="81"/>
            <rFont val="Segoe UI"/>
            <family val="2"/>
          </rPr>
          <t xml:space="preserve">A vazão da Caldeira 10698 é cerca de 44% da vazão da Caldeira 10699. Portanto, para estimativa da vazão, foi adotada esta proporção em relação ao consumo efetivo total
</t>
        </r>
      </text>
    </comment>
    <comment ref="H27" authorId="0" shapeId="0">
      <text>
        <r>
          <rPr>
            <sz val="9"/>
            <color indexed="81"/>
            <rFont val="Segoe UI"/>
            <family val="2"/>
          </rPr>
          <t>Informação recebida por e-mail</t>
        </r>
        <r>
          <rPr>
            <sz val="9"/>
            <color indexed="81"/>
            <rFont val="Segoe UI"/>
            <family val="2"/>
          </rPr>
          <t xml:space="preserve">
</t>
        </r>
      </text>
    </comment>
    <comment ref="I30" authorId="0" shapeId="0">
      <text>
        <r>
          <rPr>
            <sz val="9"/>
            <color indexed="81"/>
            <rFont val="Segoe UI"/>
            <family val="2"/>
          </rPr>
          <t>65 hp 
Ficha Técnica H40 - 70FT (http://www.hyster.com/brasil/pt-br/products/H40-70FT/)</t>
        </r>
      </text>
    </comment>
  </commentList>
</comments>
</file>

<file path=xl/comments2.xml><?xml version="1.0" encoding="utf-8"?>
<comments xmlns="http://schemas.openxmlformats.org/spreadsheetml/2006/main">
  <authors>
    <author>Gabriel Rodrigo Celestino</author>
  </authors>
  <commentList>
    <comment ref="T6" authorId="0" shapeId="0">
      <text>
        <r>
          <rPr>
            <b/>
            <sz val="9"/>
            <color indexed="81"/>
            <rFont val="Segoe UI"/>
            <family val="2"/>
          </rPr>
          <t>Gabriel Rodrigo Celestino:</t>
        </r>
        <r>
          <rPr>
            <sz val="9"/>
            <color indexed="81"/>
            <rFont val="Segoe UI"/>
            <family val="2"/>
          </rPr>
          <t xml:space="preserve">
O valor encontrado no relatório é de 72,48</t>
        </r>
      </text>
    </comment>
  </commentList>
</comments>
</file>

<file path=xl/comments3.xml><?xml version="1.0" encoding="utf-8"?>
<comments xmlns="http://schemas.openxmlformats.org/spreadsheetml/2006/main">
  <authors>
    <author>Andrielly Moutinho Knupp</author>
  </authors>
  <commentList>
    <comment ref="A2" authorId="0" shapeId="0">
      <text>
        <r>
          <rPr>
            <sz val="9"/>
            <color indexed="81"/>
            <rFont val="Segoe UI"/>
            <family val="2"/>
          </rPr>
          <t>Considerado com óleo diesel S1800, pois no site da ANP é informado que este é utilizado para geração de energia elétrica (http://www.anp.gov.br/petroleo-derivados/155-combustiveis/1857-oleo-diesel).</t>
        </r>
      </text>
    </comment>
    <comment ref="B2" authorId="0" shapeId="0">
      <text>
        <r>
          <rPr>
            <sz val="9"/>
            <color indexed="81"/>
            <rFont val="Segoe UI"/>
            <family val="2"/>
          </rPr>
          <t>Fonte: FISPQ Óleo Diesel S1800 (http://www.br.com.br/wcm/connect/e375dade-43ed-4003-93b0-8b9cc4180000/fispq-comb-oleodiesel-auto-oleodiesel-a-s1800.pdf?MOD=AJPERES&amp;CVID=mbfOksS&amp;CVID=mbfOksS)</t>
        </r>
      </text>
    </comment>
    <comment ref="R6" authorId="0" shapeId="0">
      <text>
        <r>
          <rPr>
            <sz val="9"/>
            <color indexed="81"/>
            <rFont val="Segoe UI"/>
            <family val="2"/>
          </rPr>
          <t>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S6" authorId="0" shapeId="0">
      <text>
        <r>
          <rPr>
            <sz val="9"/>
            <color indexed="81"/>
            <rFont val="Segoe UI"/>
            <family val="2"/>
          </rPr>
          <t>All PM (total, condensible, and filterable) is assumed to be less than 1.0 micrometer in diameter. Therefore, the PM emission factors presented here may be used to estimate PM10, PM2.5 or PM1 emissions. Total PM is the sum of the filterable PM and condensible PM (Table 1.4-2 do AP-42).
Portanto, PM = PM10 = PM2.5</t>
        </r>
      </text>
    </comment>
    <comment ref="T7" authorId="0" shapeId="0">
      <text>
        <r>
          <rPr>
            <sz val="9"/>
            <color indexed="81"/>
            <rFont val="Segoe UI"/>
            <family val="2"/>
          </rPr>
          <t>Média dados de monitoramento</t>
        </r>
      </text>
    </comment>
    <comment ref="T8" authorId="0" shapeId="0">
      <text>
        <r>
          <rPr>
            <sz val="9"/>
            <color indexed="81"/>
            <rFont val="Segoe UI"/>
            <family val="2"/>
          </rPr>
          <t xml:space="preserve">Média dados de monitoramento
</t>
        </r>
      </text>
    </comment>
    <comment ref="F12" authorId="0" shapeId="0">
      <text>
        <r>
          <rPr>
            <sz val="9"/>
            <color indexed="81"/>
            <rFont val="Segoe UI"/>
            <family val="2"/>
          </rPr>
          <t xml:space="preserve">Estimado o diâmetro equivalente para a chaminé retangular (800x1200 mm)
</t>
        </r>
      </text>
    </comment>
    <comment ref="F13" authorId="0" shapeId="0">
      <text>
        <r>
          <rPr>
            <sz val="9"/>
            <color indexed="81"/>
            <rFont val="Segoe UI"/>
            <family val="2"/>
          </rPr>
          <t xml:space="preserve">Estimado o diâmetro equivalente para a chaminé quadrada (650x650 mm)
</t>
        </r>
      </text>
    </comment>
    <comment ref="C14" authorId="0" shapeId="0">
      <text>
        <r>
          <rPr>
            <sz val="9"/>
            <color indexed="81"/>
            <rFont val="Segoe UI"/>
            <family val="2"/>
          </rPr>
          <t xml:space="preserve">Consumo de diesel informado por e-mail pelo Wellington Silva: 250 L/ano
</t>
        </r>
      </text>
    </comment>
    <comment ref="F14" authorId="0" shapeId="0">
      <text>
        <r>
          <rPr>
            <sz val="9"/>
            <color indexed="81"/>
            <rFont val="Segoe UI"/>
            <family val="2"/>
          </rPr>
          <t xml:space="preserve">Estimado o diâmetro equivalente para a chaminé retangular (114x145 mm)
</t>
        </r>
      </text>
    </comment>
    <comment ref="C15" authorId="0" shapeId="0">
      <text>
        <r>
          <rPr>
            <sz val="9"/>
            <color indexed="81"/>
            <rFont val="Segoe UI"/>
            <family val="2"/>
          </rPr>
          <t xml:space="preserve">Consumo de diesel informado por e-mail pelo Wellington Silva: 250 L/ano
</t>
        </r>
      </text>
    </comment>
    <comment ref="F15" authorId="0" shapeId="0">
      <text>
        <r>
          <rPr>
            <sz val="9"/>
            <color indexed="81"/>
            <rFont val="Segoe UI"/>
            <family val="2"/>
          </rPr>
          <t xml:space="preserve">Estimado o diâmetro equivalente para a chaminé retangular (114x145 mm)
</t>
        </r>
      </text>
    </comment>
  </commentList>
</comments>
</file>

<file path=xl/comments4.xml><?xml version="1.0" encoding="utf-8"?>
<comments xmlns="http://schemas.openxmlformats.org/spreadsheetml/2006/main">
  <authors>
    <author>Andrielly Moutinho Knupp</author>
  </authors>
  <commentList>
    <comment ref="J3" authorId="0" shapeId="0">
      <text>
        <r>
          <rPr>
            <sz val="9"/>
            <color indexed="81"/>
            <rFont val="Segoe UI"/>
            <family val="2"/>
          </rPr>
          <t>Devido à inexistência de fator para SO2, foi considerado fator de SOx para SO2.</t>
        </r>
      </text>
    </comment>
    <comment ref="L3"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 ref="N3" authorId="0" shapeId="0">
      <text>
        <r>
          <rPr>
            <sz val="9"/>
            <color indexed="81"/>
            <rFont val="Segoe UI"/>
            <family val="2"/>
          </rPr>
          <t>Devido à inexistência de fator para PM10, foi considerado PM10 = PM.</t>
        </r>
      </text>
    </comment>
    <comment ref="O3" authorId="0" shapeId="0">
      <text>
        <r>
          <rPr>
            <sz val="9"/>
            <color indexed="81"/>
            <rFont val="Segoe UI"/>
            <family val="2"/>
          </rPr>
          <t>Devido à inexistência de fator para PM2.5, foi considerado PM2.5 = PM.</t>
        </r>
      </text>
    </comment>
    <comment ref="Q3" authorId="0" shapeId="0">
      <text>
        <r>
          <rPr>
            <sz val="9"/>
            <color indexed="81"/>
            <rFont val="Segoe UI"/>
            <family val="2"/>
          </rPr>
          <t>Devido à inexistência de fator para SO2, foi considerado fator de SOx para SO2.</t>
        </r>
      </text>
    </comment>
    <comment ref="S3" authorId="0" shapeId="0">
      <text>
        <r>
          <rPr>
            <sz val="9"/>
            <color indexed="81"/>
            <rFont val="Segoe UI"/>
            <family val="2"/>
          </rPr>
          <t>Devido à inexistência de fator para COV, foi considerado o fator de emissão de ROG. Pois, a maioria dos componentes de ROG são COV (https://www.arb.ca.gov/ei/speciate/voc_rog_dfn_1_09.pdf).</t>
        </r>
      </text>
    </comment>
  </commentList>
</comments>
</file>

<file path=xl/sharedStrings.xml><?xml version="1.0" encoding="utf-8"?>
<sst xmlns="http://schemas.openxmlformats.org/spreadsheetml/2006/main" count="685" uniqueCount="285">
  <si>
    <t>Fonte Emissora</t>
  </si>
  <si>
    <t>Taxa de Emissão [kg/h]</t>
  </si>
  <si>
    <t>PM</t>
  </si>
  <si>
    <t>Parâmetro</t>
  </si>
  <si>
    <t>Unidade</t>
  </si>
  <si>
    <t>Amostragem</t>
  </si>
  <si>
    <t>Média</t>
  </si>
  <si>
    <t>mg/Nm³</t>
  </si>
  <si>
    <t>ºC</t>
  </si>
  <si>
    <t>Temperatura</t>
  </si>
  <si>
    <t>Emisison Factor Rating</t>
  </si>
  <si>
    <t>B</t>
  </si>
  <si>
    <t>E</t>
  </si>
  <si>
    <r>
      <t>PM</t>
    </r>
    <r>
      <rPr>
        <b/>
        <vertAlign val="subscript"/>
        <sz val="8"/>
        <color theme="0"/>
        <rFont val="Arial"/>
        <family val="2"/>
      </rPr>
      <t>10</t>
    </r>
  </si>
  <si>
    <r>
      <t>PM</t>
    </r>
    <r>
      <rPr>
        <b/>
        <vertAlign val="subscript"/>
        <sz val="8"/>
        <color theme="0"/>
        <rFont val="Arial"/>
        <family val="2"/>
      </rPr>
      <t>2,5</t>
    </r>
  </si>
  <si>
    <t>Monitoramento de Emissões Atmosféricas - Abril/2015</t>
  </si>
  <si>
    <t>Monitoramento de Emissões Atmosféricas - Jul/2015</t>
  </si>
  <si>
    <t>Monitoramento de Emissões Atmosféricas - Dez/2015</t>
  </si>
  <si>
    <t>Chaminé da Caldeira 10698</t>
  </si>
  <si>
    <t>NOx</t>
  </si>
  <si>
    <t>Nas condições normais (0°C e 1 atm), base seca, corrigida a 3% de oxigênio.</t>
  </si>
  <si>
    <t>Diâmetro da Chaminé (m)</t>
  </si>
  <si>
    <t>Combustível: Gás Natural</t>
  </si>
  <si>
    <t>Chaminé da Caldeira 10699</t>
  </si>
  <si>
    <r>
      <t>NO</t>
    </r>
    <r>
      <rPr>
        <b/>
        <vertAlign val="subscript"/>
        <sz val="8"/>
        <color theme="1"/>
        <rFont val="Arial"/>
        <family val="2"/>
      </rPr>
      <t>X</t>
    </r>
    <r>
      <rPr>
        <b/>
        <sz val="8"/>
        <color theme="1"/>
        <rFont val="Arial"/>
        <family val="2"/>
      </rPr>
      <t xml:space="preserve"> </t>
    </r>
  </si>
  <si>
    <t xml:space="preserve">Temperatura </t>
  </si>
  <si>
    <t xml:space="preserve">CHAMINÉS </t>
  </si>
  <si>
    <t xml:space="preserve">Coordenadas Geográficas </t>
  </si>
  <si>
    <t>Diâmetro</t>
  </si>
  <si>
    <t>Altura</t>
  </si>
  <si>
    <t xml:space="preserve">Vazão </t>
  </si>
  <si>
    <t>Temperatura de Saída</t>
  </si>
  <si>
    <t>Chaminé Caldeira 10698</t>
  </si>
  <si>
    <t>20° 20' 19" S</t>
  </si>
  <si>
    <t>40° 18' 37" W</t>
  </si>
  <si>
    <t>500 mm</t>
  </si>
  <si>
    <t>9,5 m</t>
  </si>
  <si>
    <t>1083 Nm³/h</t>
  </si>
  <si>
    <t>124 °C</t>
  </si>
  <si>
    <t>Chaminé Caldeira 10699</t>
  </si>
  <si>
    <t>2509 Nm³/h</t>
  </si>
  <si>
    <t>111 °C</t>
  </si>
  <si>
    <t>Chaminé Wafer 01</t>
  </si>
  <si>
    <t>40° 18' 34" W</t>
  </si>
  <si>
    <t>20 m</t>
  </si>
  <si>
    <t>5.500 m³/h</t>
  </si>
  <si>
    <t>33 °C</t>
  </si>
  <si>
    <t>Chaminé Wafer 02</t>
  </si>
  <si>
    <t>20,3 m</t>
  </si>
  <si>
    <t>118 °C</t>
  </si>
  <si>
    <t>Chaminé Wafer 04</t>
  </si>
  <si>
    <t>22 m</t>
  </si>
  <si>
    <t>9.000 m³/h</t>
  </si>
  <si>
    <t>191 °C</t>
  </si>
  <si>
    <t>Chaminé do Tacho Cozinhador</t>
  </si>
  <si>
    <t>800 mm x 1200 mm</t>
  </si>
  <si>
    <t>17.000 m³/h</t>
  </si>
  <si>
    <t>42 °C</t>
  </si>
  <si>
    <t>Chaminé Restaurante</t>
  </si>
  <si>
    <t>20° 20' 17" S</t>
  </si>
  <si>
    <t>40° 18' 38" W</t>
  </si>
  <si>
    <t>650 mm x 650 mm</t>
  </si>
  <si>
    <t>16 m</t>
  </si>
  <si>
    <t>12 m³/h</t>
  </si>
  <si>
    <t>34 °C</t>
  </si>
  <si>
    <t>CONSUMO DE COMBUSTÍVEIS</t>
  </si>
  <si>
    <t>Consumo efetivo</t>
  </si>
  <si>
    <t>Energético</t>
  </si>
  <si>
    <t>Unidade de</t>
  </si>
  <si>
    <t>no mês</t>
  </si>
  <si>
    <t>no ano</t>
  </si>
  <si>
    <t xml:space="preserve">medida </t>
  </si>
  <si>
    <t>Janeiro</t>
  </si>
  <si>
    <t>Fevereiro</t>
  </si>
  <si>
    <t>Março</t>
  </si>
  <si>
    <t>Abril</t>
  </si>
  <si>
    <t xml:space="preserve">Maio </t>
  </si>
  <si>
    <t xml:space="preserve">Junho </t>
  </si>
  <si>
    <t>Julho</t>
  </si>
  <si>
    <t xml:space="preserve">Agosto </t>
  </si>
  <si>
    <t>Setembro</t>
  </si>
  <si>
    <t xml:space="preserve">Outubro </t>
  </si>
  <si>
    <t>Novembro</t>
  </si>
  <si>
    <t>Dezembro</t>
  </si>
  <si>
    <t>Gas Natural Total</t>
  </si>
  <si>
    <t>m3</t>
  </si>
  <si>
    <t>Gas Natural Caldeiras</t>
  </si>
  <si>
    <t>Gas Natural Restaurante/Wafer/Tacho Cozinhador</t>
  </si>
  <si>
    <r>
      <t xml:space="preserve">GLP Total </t>
    </r>
    <r>
      <rPr>
        <b/>
        <i/>
        <sz val="10"/>
        <rFont val="Arial"/>
        <family val="2"/>
      </rPr>
      <t>(Empilhadeiras)</t>
    </r>
  </si>
  <si>
    <t>kg</t>
  </si>
  <si>
    <t>Combustível</t>
  </si>
  <si>
    <t>Local de Uso</t>
  </si>
  <si>
    <t>Gás Natural</t>
  </si>
  <si>
    <t>Caldeiras/Fornos/Restaurantes/Tachos</t>
  </si>
  <si>
    <t xml:space="preserve">GLP </t>
  </si>
  <si>
    <t xml:space="preserve">Empilhadeiras </t>
  </si>
  <si>
    <t>Oléo Diesel</t>
  </si>
  <si>
    <t>Caldeiras/Geradores/Motores</t>
  </si>
  <si>
    <t>Local</t>
  </si>
  <si>
    <t>Consumo</t>
  </si>
  <si>
    <t>Caldeira</t>
  </si>
  <si>
    <t>Bola 1</t>
  </si>
  <si>
    <t>Bola 2</t>
  </si>
  <si>
    <t>Bola 4</t>
  </si>
  <si>
    <t>Crocante</t>
  </si>
  <si>
    <t>Restaurante</t>
  </si>
  <si>
    <t>Total</t>
  </si>
  <si>
    <t>CO</t>
  </si>
  <si>
    <r>
      <t>NO</t>
    </r>
    <r>
      <rPr>
        <b/>
        <vertAlign val="subscript"/>
        <sz val="8"/>
        <color theme="0"/>
        <rFont val="Arial"/>
        <family val="2"/>
      </rPr>
      <t>X</t>
    </r>
  </si>
  <si>
    <r>
      <t>SO</t>
    </r>
    <r>
      <rPr>
        <b/>
        <vertAlign val="subscript"/>
        <sz val="8"/>
        <color theme="0"/>
        <rFont val="Arial"/>
        <family val="2"/>
      </rPr>
      <t>2</t>
    </r>
  </si>
  <si>
    <t>Table 1.4-1. EMISSION FACTORS FOR NITROGEN OXIDES (NOx) AND CARBON MONOXIDE (CO)
FROM NATURAL GAS COMBUSTION</t>
  </si>
  <si>
    <t>Combustor Type
(MMBtu/hr Heat Input)</t>
  </si>
  <si>
    <r>
      <t>Emission Factor (lb/10</t>
    </r>
    <r>
      <rPr>
        <vertAlign val="superscript"/>
        <sz val="8"/>
        <color theme="1"/>
        <rFont val="Arial"/>
        <family val="2"/>
      </rPr>
      <t>6</t>
    </r>
    <r>
      <rPr>
        <sz val="8"/>
        <color theme="1"/>
        <rFont val="Arial"/>
        <family val="2"/>
      </rPr>
      <t xml:space="preserve"> scf)</t>
    </r>
  </si>
  <si>
    <t>Uncontrolled (Pre-NSPS)</t>
  </si>
  <si>
    <t>Uncontrolled (Post-NSPS)</t>
  </si>
  <si>
    <t>Controlled - Low NOx burners</t>
  </si>
  <si>
    <t>Controlled - Flue gas recirculation</t>
  </si>
  <si>
    <t>Large Wall-Fired Boilers (&gt;100)</t>
  </si>
  <si>
    <t>Small Boilers (&lt;100)</t>
  </si>
  <si>
    <t>Uncontrolled</t>
  </si>
  <si>
    <t>Controlled - Low NOx burners/Flue gas recirculation</t>
  </si>
  <si>
    <t>Tangential - Fired Boilers (All Sizes)</t>
  </si>
  <si>
    <t>Residential Furnaces (&lt;0.3)</t>
  </si>
  <si>
    <t>A</t>
  </si>
  <si>
    <t>D</t>
  </si>
  <si>
    <t>C</t>
  </si>
  <si>
    <t>Pollutant</t>
  </si>
  <si>
    <t>Lead</t>
  </si>
  <si>
    <r>
      <t>CO</t>
    </r>
    <r>
      <rPr>
        <vertAlign val="subscript"/>
        <sz val="8"/>
        <color theme="1"/>
        <rFont val="Arial"/>
        <family val="2"/>
      </rPr>
      <t>2</t>
    </r>
  </si>
  <si>
    <r>
      <t>N</t>
    </r>
    <r>
      <rPr>
        <vertAlign val="subscript"/>
        <sz val="8"/>
        <color theme="1"/>
        <rFont val="Arial"/>
        <family val="2"/>
      </rPr>
      <t>2</t>
    </r>
    <r>
      <rPr>
        <sz val="8"/>
        <color theme="1"/>
        <rFont val="Arial"/>
        <family val="2"/>
      </rPr>
      <t>O (Uncontrolled)</t>
    </r>
  </si>
  <si>
    <r>
      <t>N</t>
    </r>
    <r>
      <rPr>
        <vertAlign val="subscript"/>
        <sz val="8"/>
        <color theme="1"/>
        <rFont val="Arial"/>
        <family val="2"/>
      </rPr>
      <t>2</t>
    </r>
    <r>
      <rPr>
        <sz val="8"/>
        <color theme="1"/>
        <rFont val="Arial"/>
        <family val="2"/>
      </rPr>
      <t>O (Controlled-low-NOx burner)</t>
    </r>
  </si>
  <si>
    <t>PM (Total)</t>
  </si>
  <si>
    <t>PM (Condensable)</t>
  </si>
  <si>
    <t>PM (Filterable)</t>
  </si>
  <si>
    <t>TOC</t>
  </si>
  <si>
    <t>Methane</t>
  </si>
  <si>
    <t>VOC</t>
  </si>
  <si>
    <t>TABLE 1.4-2. EMISSION FACTORS FOR CRITERIA POLLUTANTS AND GREENHOUSE GASES FROM NATURAL GAS COMBUSTION</t>
  </si>
  <si>
    <r>
      <t>To convert from lb/10</t>
    </r>
    <r>
      <rPr>
        <vertAlign val="superscript"/>
        <sz val="8"/>
        <color theme="1"/>
        <rFont val="Arial"/>
        <family val="2"/>
      </rPr>
      <t>6</t>
    </r>
    <r>
      <rPr>
        <sz val="8"/>
        <color theme="1"/>
        <rFont val="Arial"/>
        <family val="2"/>
      </rPr>
      <t xml:space="preserve"> scf to kg/10</t>
    </r>
    <r>
      <rPr>
        <vertAlign val="superscript"/>
        <sz val="8"/>
        <color theme="1"/>
        <rFont val="Arial"/>
        <family val="2"/>
      </rPr>
      <t>6</t>
    </r>
    <r>
      <rPr>
        <sz val="8"/>
        <color theme="1"/>
        <rFont val="Arial"/>
        <family val="2"/>
      </rPr>
      <t xml:space="preserve"> m³, multiply by 16. Emission factors are based on an average natural gas higher heating value of 1,020 Btu/scf. To convert from 1lb/10</t>
    </r>
    <r>
      <rPr>
        <vertAlign val="superscript"/>
        <sz val="8"/>
        <color theme="1"/>
        <rFont val="Arial"/>
        <family val="2"/>
      </rPr>
      <t>6</t>
    </r>
    <r>
      <rPr>
        <sz val="8"/>
        <color theme="1"/>
        <rFont val="Arial"/>
        <family val="2"/>
      </rPr>
      <t xml:space="preserve"> scf to lb/MMBtu, divide by 1.020. </t>
    </r>
  </si>
  <si>
    <r>
      <t>Emission Factor (kg/10</t>
    </r>
    <r>
      <rPr>
        <vertAlign val="superscript"/>
        <sz val="8"/>
        <color theme="1"/>
        <rFont val="Arial"/>
        <family val="2"/>
      </rPr>
      <t>6</t>
    </r>
    <r>
      <rPr>
        <sz val="8"/>
        <color theme="1"/>
        <rFont val="Arial"/>
        <family val="2"/>
      </rPr>
      <t xml:space="preserve"> m³)</t>
    </r>
  </si>
  <si>
    <t xml:space="preserve">Funcionamento: </t>
  </si>
  <si>
    <t>24h</t>
  </si>
  <si>
    <t>Fonte: Processo de Licenciamento Nº 48981079</t>
  </si>
  <si>
    <t xml:space="preserve"> Caldeira 10698</t>
  </si>
  <si>
    <t>Caldeira 10699</t>
  </si>
  <si>
    <t>Consumo [m³/ano]</t>
  </si>
  <si>
    <t>-</t>
  </si>
  <si>
    <r>
      <t>SO</t>
    </r>
    <r>
      <rPr>
        <b/>
        <vertAlign val="subscript"/>
        <sz val="8"/>
        <color theme="1"/>
        <rFont val="Arial"/>
        <family val="2"/>
      </rPr>
      <t>2</t>
    </r>
  </si>
  <si>
    <t>TOTAL</t>
  </si>
  <si>
    <t xml:space="preserve">All PM (total, condensible, and filterable) is assumed to be less than 1.0 micrometer in diameter.
Therefore, the PM emission factors presented here may be used to estimate PM10, PM2.5 or PM1
emissions. Total PM is the sum of the filterable PM and condensible PM. </t>
  </si>
  <si>
    <t>Consumo Combustível [m³/h]</t>
  </si>
  <si>
    <t>Fonte: Informações enviadas pelo empreendimento através do Ofício IEMA N° 004/2017</t>
  </si>
  <si>
    <t>Chaminé Gerador - Fábrica 1</t>
  </si>
  <si>
    <t>Chaminé Gerador - Prédio Anexo</t>
  </si>
  <si>
    <t>Table 1.3-1. CRITERIA POLLUTANT EMISSION FACTORS FOR FUEL OIL COMBUSTION</t>
  </si>
  <si>
    <t>Firing Configuration</t>
  </si>
  <si>
    <r>
      <t>SO</t>
    </r>
    <r>
      <rPr>
        <vertAlign val="subscript"/>
        <sz val="8"/>
        <color theme="1"/>
        <rFont val="Arial"/>
        <family val="2"/>
      </rPr>
      <t>2</t>
    </r>
  </si>
  <si>
    <r>
      <t>SO</t>
    </r>
    <r>
      <rPr>
        <vertAlign val="subscript"/>
        <sz val="8"/>
        <color theme="1"/>
        <rFont val="Arial"/>
        <family val="2"/>
      </rPr>
      <t>3</t>
    </r>
  </si>
  <si>
    <r>
      <t>NO</t>
    </r>
    <r>
      <rPr>
        <vertAlign val="subscript"/>
        <sz val="8"/>
        <color theme="1"/>
        <rFont val="Arial"/>
        <family val="2"/>
      </rPr>
      <t>X</t>
    </r>
  </si>
  <si>
    <t>Filterable PM</t>
  </si>
  <si>
    <t>Emission Factor (lb/10³ gal)</t>
  </si>
  <si>
    <t>EMISSION FACTOR RATING</t>
  </si>
  <si>
    <t>Emission Factor (kg/10³ L)</t>
  </si>
  <si>
    <t>Boilers &gt; 100 Million Btu/hr</t>
  </si>
  <si>
    <t>Nº 6 oil fired, normal firing</t>
  </si>
  <si>
    <t>157S</t>
  </si>
  <si>
    <t>5,7S</t>
  </si>
  <si>
    <t>9,19(S)+3,22</t>
  </si>
  <si>
    <t>Nº 6 oil fired, normal firing, low NOx burner</t>
  </si>
  <si>
    <t>Nº 6 oil fired, tangential firing</t>
  </si>
  <si>
    <t>Nº 6 oil fired, tangential firing, low NOx burner</t>
  </si>
  <si>
    <t>Nº 5 oil fired, normal firing</t>
  </si>
  <si>
    <t>Nº 5 oil fired, tangential firing</t>
  </si>
  <si>
    <t>Nº 4 oil fired, normal firing</t>
  </si>
  <si>
    <t>150S</t>
  </si>
  <si>
    <t>Nº 4 oil fired, tangential firing</t>
  </si>
  <si>
    <t>Nº 2 oil fired</t>
  </si>
  <si>
    <t>142S</t>
  </si>
  <si>
    <t>Nº 2 oil fired, LBN/FGR</t>
  </si>
  <si>
    <t>Boilers &lt; 100 Million Btu/hr</t>
  </si>
  <si>
    <t>Nº 6 oil fired</t>
  </si>
  <si>
    <t>2S</t>
  </si>
  <si>
    <t>Nº 5 oil fired</t>
  </si>
  <si>
    <t>Nº 4 oil fired</t>
  </si>
  <si>
    <t>Distillate oil fired</t>
  </si>
  <si>
    <t>Residential furnace</t>
  </si>
  <si>
    <t xml:space="preserve">To convert from lb/10³ gal to kg/10³ L, multiply by 0,120. 
S indicates that the weight % of sulfur in the oil should be multiplied by the value given. For example, if the fuel is 1% sulfur, then S = 1. </t>
  </si>
  <si>
    <t>Table 1.3-2. CONDENSABLE PARTICULATE MATTER EMISSION FACTORS FOR OIL COMBUSTION</t>
  </si>
  <si>
    <t>Controls</t>
  </si>
  <si>
    <t>CPM - TOT</t>
  </si>
  <si>
    <t>CPM - IOR</t>
  </si>
  <si>
    <t>CPM - ORG</t>
  </si>
  <si>
    <t>All controls, or uncontrolled</t>
  </si>
  <si>
    <t>65% of CPM-TOT emission factor</t>
  </si>
  <si>
    <t>35% of CPM-TOT emission factor</t>
  </si>
  <si>
    <t>85% of CPM-TOT emission factor</t>
  </si>
  <si>
    <t>15% of CPM-TOT emission factor</t>
  </si>
  <si>
    <t xml:space="preserve">All condensable PM is assumed to be less than 1.0 micron in diameter.
No data are available for numbers 3, 4, and 5 oil. For number 3 oil, use the factors provided for number 2 oil. For numbers 4 and 5 oil, use the factors provided for number 6 oil.
CPM-TOT = total condensable particulate matter.
CPM-IOR = inorganic condensable particulate matter.
CPM-ORG = organic condensable particulate matter. </t>
  </si>
  <si>
    <t>Table 1.3-3. EMISSION FACTORS FOR TOTAL ORGANIC COMPOUNDS (TOC), METHANE, AND NONMETHANE TOC (NMTOC) FROM UNCONTROLLED FUEL OIL COMBUSTION</t>
  </si>
  <si>
    <t>EMISSION FACTOR RATING: A</t>
  </si>
  <si>
    <r>
      <t xml:space="preserve">TOC Emission Factor (lb/10³ gal) </t>
    </r>
    <r>
      <rPr>
        <vertAlign val="superscript"/>
        <sz val="8"/>
        <color theme="1"/>
        <rFont val="Arial"/>
        <family val="2"/>
      </rPr>
      <t>b</t>
    </r>
  </si>
  <si>
    <t>TOC Emission Factor (kg/10³ L)</t>
  </si>
  <si>
    <t>Methane Emission Factor (lb/10³ gal)</t>
  </si>
  <si>
    <t>Methane Emission Factor (kg/10³ L)</t>
  </si>
  <si>
    <t>NMTOC Emission Factor (lb/10³ gal)</t>
  </si>
  <si>
    <t>NMTOC Emission Factor (kg/10³ L)</t>
  </si>
  <si>
    <t>Utility Boilers</t>
  </si>
  <si>
    <t>Industrial Boilers</t>
  </si>
  <si>
    <t>Commercial/institutional/residential combustors</t>
  </si>
  <si>
    <r>
      <rPr>
        <vertAlign val="superscript"/>
        <sz val="8"/>
        <color theme="1"/>
        <rFont val="Arial"/>
        <family val="2"/>
      </rPr>
      <t xml:space="preserve">b </t>
    </r>
    <r>
      <rPr>
        <sz val="8"/>
        <color theme="1"/>
        <rFont val="Arial"/>
        <family val="2"/>
      </rPr>
      <t>References 29-32. Volatile organic compound emissions can increase by several orders of magnitude if the boiler is improperly operated or is not well maintained.</t>
    </r>
  </si>
  <si>
    <t>Table 1.3-5. CUMULATIVE PARTICLE SIZE DISTRIBUTION AND SIZE-SPECIFIC EMISSION FACTORS FOR INDUSTRIAL BOILERS FIRING RESIDUAL OIL</t>
  </si>
  <si>
    <t>Particle Size</t>
  </si>
  <si>
    <t>Cumulative Mass % Stated Size</t>
  </si>
  <si>
    <t>Cumulative Emission Factor (lb/10³ gal)</t>
  </si>
  <si>
    <t>Multiple Cyclone Controlled</t>
  </si>
  <si>
    <t>Emission Factor</t>
  </si>
  <si>
    <t>7,59A</t>
  </si>
  <si>
    <t>1,67A</t>
  </si>
  <si>
    <t>7,17A</t>
  </si>
  <si>
    <t>1,58A</t>
  </si>
  <si>
    <t>6,42A</t>
  </si>
  <si>
    <t>1,17A</t>
  </si>
  <si>
    <t>2.5</t>
  </si>
  <si>
    <t>4,67A</t>
  </si>
  <si>
    <t>0,33A</t>
  </si>
  <si>
    <t>1.25</t>
  </si>
  <si>
    <t>3,25A</t>
  </si>
  <si>
    <t>1.0</t>
  </si>
  <si>
    <t>3,0A</t>
  </si>
  <si>
    <t>0.625</t>
  </si>
  <si>
    <t>2,5A</t>
  </si>
  <si>
    <t>NA</t>
  </si>
  <si>
    <t>8,34A</t>
  </si>
  <si>
    <t xml:space="preserve">To convert from lb/10³ gal to kg/m³, multiply by 0.120.
Particulate emission factors for residual oil combustion without emission controls are, on average, a function of fuel oil grade and sulfur content where S is the weight % of sulfur in the oil. For example, if the fuel is 1.00% sulfur, then S = 1.
No. 6 oil: A = 1,12(S) + 0,37
No. 5 oil: A = 1,2
No. 4 oil: A = 0,84 </t>
  </si>
  <si>
    <t>Table 1.3-6. CUMULATIVE PARTICLE SIZE DISTRIBUTION AND SIZE-SPECIFIC EMISSION FACTORS FOR UNCONTROLLED INDUSTRIAL BOILERS FIRING DISTILLATE OIL</t>
  </si>
  <si>
    <t>EMISSION FACTOR RATING: E</t>
  </si>
  <si>
    <r>
      <t>Particle Size (</t>
    </r>
    <r>
      <rPr>
        <sz val="8"/>
        <color theme="1"/>
        <rFont val="Calibri"/>
        <family val="2"/>
      </rPr>
      <t>µ</t>
    </r>
    <r>
      <rPr>
        <sz val="8"/>
        <color theme="1"/>
        <rFont val="Arial"/>
        <family val="2"/>
      </rPr>
      <t>m)</t>
    </r>
  </si>
  <si>
    <t>Cumulative Emission Factor (kg/10³ L)</t>
  </si>
  <si>
    <t>To convert from lb/10³ gal to kg/m³, multiply by 0.120</t>
  </si>
  <si>
    <t xml:space="preserve">Teor Enxofre Diesel (%): </t>
  </si>
  <si>
    <t>Equipment</t>
  </si>
  <si>
    <t>MaxHP</t>
  </si>
  <si>
    <t>PM [kg/h]</t>
  </si>
  <si>
    <r>
      <t>NO</t>
    </r>
    <r>
      <rPr>
        <vertAlign val="subscript"/>
        <sz val="8"/>
        <rFont val="Arial"/>
        <family val="2"/>
      </rPr>
      <t>X</t>
    </r>
    <r>
      <rPr>
        <sz val="8"/>
        <rFont val="Arial"/>
        <family val="2"/>
      </rPr>
      <t xml:space="preserve"> [kg/h]</t>
    </r>
  </si>
  <si>
    <r>
      <t>SO</t>
    </r>
    <r>
      <rPr>
        <vertAlign val="subscript"/>
        <sz val="8"/>
        <rFont val="Arial"/>
        <family val="2"/>
      </rPr>
      <t>X</t>
    </r>
    <r>
      <rPr>
        <sz val="8"/>
        <rFont val="Arial"/>
        <family val="2"/>
      </rPr>
      <t xml:space="preserve"> [kg/h]</t>
    </r>
  </si>
  <si>
    <t>CO [kg/h]</t>
  </si>
  <si>
    <t>ROG [kg/h]</t>
  </si>
  <si>
    <t>Forklifts
(Empilhadeira)</t>
  </si>
  <si>
    <t>Forklifts - 50</t>
  </si>
  <si>
    <t>Forklifts - 120</t>
  </si>
  <si>
    <t>Forklifts - 175</t>
  </si>
  <si>
    <t>Forklifts - 250</t>
  </si>
  <si>
    <t>Forklifts - 500</t>
  </si>
  <si>
    <t>Potência [hp]</t>
  </si>
  <si>
    <t>Equipamento [hp]</t>
  </si>
  <si>
    <t>Quantidade</t>
  </si>
  <si>
    <t>Horas/dia</t>
  </si>
  <si>
    <r>
      <t>PM</t>
    </r>
    <r>
      <rPr>
        <b/>
        <vertAlign val="subscript"/>
        <sz val="8"/>
        <color theme="0"/>
        <rFont val="Arial"/>
        <family val="2"/>
      </rPr>
      <t>2.5</t>
    </r>
  </si>
  <si>
    <t>Empilhadeira</t>
  </si>
  <si>
    <t xml:space="preserve">Quantidade </t>
  </si>
  <si>
    <t>Capacidade (t)</t>
  </si>
  <si>
    <t>Modelo</t>
  </si>
  <si>
    <t xml:space="preserve">HYSTER - H60FT - A9774040080 - 2007 </t>
  </si>
  <si>
    <t>Horímetro</t>
  </si>
  <si>
    <t>Tipo de Combustível</t>
  </si>
  <si>
    <t>Óleo Diesel</t>
  </si>
  <si>
    <t>Equação Geral:</t>
  </si>
  <si>
    <t>Onde:
E - emissão (lb/dia)
n - número de equipamentos de cada categoria
H - número de horas diárias de operação do equipamento
EF - fator de emissão (lb/h)</t>
  </si>
  <si>
    <t>Onde:
E - emissão
EF - fator de emissão
ER - eficiência de redução de emissão</t>
  </si>
  <si>
    <r>
      <t>Fator de Emissão [kg/10</t>
    </r>
    <r>
      <rPr>
        <b/>
        <vertAlign val="superscript"/>
        <sz val="8"/>
        <color theme="0"/>
        <rFont val="Arial"/>
        <family val="2"/>
      </rPr>
      <t>6</t>
    </r>
    <r>
      <rPr>
        <b/>
        <sz val="8"/>
        <color theme="0"/>
        <rFont val="Arial"/>
        <family val="2"/>
      </rPr>
      <t xml:space="preserve"> m³, kg/10³ L]</t>
    </r>
  </si>
  <si>
    <t>Fator de Emissão [kg/h]</t>
  </si>
  <si>
    <t>Chaminé</t>
  </si>
  <si>
    <t>Equipamentos</t>
  </si>
  <si>
    <t xml:space="preserve"> </t>
  </si>
  <si>
    <t>Fonte: AP-42 (USEPA, 1998) - https://www3.epa.gov/ttn/chief/ap42/ch01/final/c01s04.pdf</t>
  </si>
  <si>
    <t>Fonte: AP-42 (USEPA, 2010) - https://www3.epa.gov/ttn/chief/ap42/ch01/final/c01s03.pdf</t>
  </si>
  <si>
    <t>Fonte: AQMD (2016) - http://www.aqmd.gov/home/regulations/ceqa/air-quality-analysis-handbook/off-road-mobile-source-emission-factors</t>
  </si>
  <si>
    <t>Latitude [º]</t>
  </si>
  <si>
    <t>Longitude [º]</t>
  </si>
  <si>
    <t>Diâmetro [m]</t>
  </si>
  <si>
    <t>Vazão [m³/h]</t>
  </si>
  <si>
    <t>Temperatura [ºC]</t>
  </si>
  <si>
    <t>Altura [m]</t>
  </si>
  <si>
    <t>Consideração:</t>
  </si>
  <si>
    <t>Como não foi informado o ano de fabricação dos equipamentos, foi considerado, de forma conservadora, os fatores de emissão referentes ao ano de 2007.</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</si>
</sst>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0.000000"/>
    <numFmt numFmtId="165" formatCode="0.0000"/>
    <numFmt numFmtId="166" formatCode="#,##0.000"/>
    <numFmt numFmtId="167" formatCode="_-* #,##0_-;\-* #,##0_-;_-* &quot;-&quot;??_-;_-@_-"/>
    <numFmt numFmtId="168" formatCode="0.0"/>
    <numFmt numFmtId="169" formatCode="0.000"/>
    <numFmt numFmtId="170" formatCode="0.00000000"/>
    <numFmt numFmtId="171" formatCode="[&gt;=0.005]\ #,##0.00;[&lt;0.005]&quot;&lt;0,01&quot;"/>
  </numFmts>
  <fonts count="24" x14ac:knownFonts="1">
    <font>
      <sz val="11"/>
      <color theme="1"/>
      <name val="Calibri"/>
      <family val="2"/>
      <scheme val="minor"/>
    </font>
    <font>
      <sz val="8"/>
      <color theme="1"/>
      <name val="Arial"/>
      <family val="2"/>
    </font>
    <font>
      <sz val="11"/>
      <color theme="1"/>
      <name val="Calibri"/>
      <family val="2"/>
      <scheme val="minor"/>
    </font>
    <font>
      <b/>
      <sz val="8"/>
      <color theme="1"/>
      <name val="Arial"/>
      <family val="2"/>
    </font>
    <font>
      <vertAlign val="subscript"/>
      <sz val="8"/>
      <color theme="1"/>
      <name val="Arial"/>
      <family val="2"/>
    </font>
    <font>
      <sz val="9"/>
      <color indexed="81"/>
      <name val="Segoe UI"/>
      <family val="2"/>
    </font>
    <font>
      <b/>
      <sz val="8"/>
      <color theme="0"/>
      <name val="Arial"/>
      <family val="2"/>
    </font>
    <font>
      <b/>
      <vertAlign val="subscript"/>
      <sz val="8"/>
      <color theme="0"/>
      <name val="Arial"/>
      <family val="2"/>
    </font>
    <font>
      <b/>
      <sz val="8"/>
      <color rgb="FF000000"/>
      <name val="Arial"/>
      <family val="2"/>
    </font>
    <font>
      <b/>
      <sz val="9"/>
      <color indexed="81"/>
      <name val="Segoe UI"/>
      <family val="2"/>
    </font>
    <font>
      <b/>
      <vertAlign val="subscript"/>
      <sz val="8"/>
      <color theme="1"/>
      <name val="Arial"/>
      <family val="2"/>
    </font>
    <font>
      <sz val="10"/>
      <name val="Arial"/>
      <family val="2"/>
    </font>
    <font>
      <b/>
      <i/>
      <sz val="10"/>
      <name val="Arial"/>
      <family val="2"/>
    </font>
    <font>
      <b/>
      <sz val="12"/>
      <color theme="1"/>
      <name val="Calibri"/>
      <family val="2"/>
      <scheme val="minor"/>
    </font>
    <font>
      <vertAlign val="superscript"/>
      <sz val="8"/>
      <color theme="1"/>
      <name val="Arial"/>
      <family val="2"/>
    </font>
    <font>
      <sz val="8"/>
      <name val="Arial"/>
      <family val="2"/>
    </font>
    <font>
      <sz val="8"/>
      <color rgb="FFFF0000"/>
      <name val="Arial"/>
      <family val="2"/>
    </font>
    <font>
      <sz val="8"/>
      <color theme="1"/>
      <name val="Calibri"/>
      <family val="2"/>
    </font>
    <font>
      <vertAlign val="subscript"/>
      <sz val="8"/>
      <name val="Arial"/>
      <family val="2"/>
    </font>
    <font>
      <b/>
      <sz val="9"/>
      <color theme="1"/>
      <name val="Arial"/>
      <family val="2"/>
    </font>
    <font>
      <sz val="9"/>
      <color theme="1"/>
      <name val="Arial"/>
      <family val="2"/>
    </font>
    <font>
      <b/>
      <i/>
      <sz val="8"/>
      <color theme="1"/>
      <name val="Arial"/>
      <family val="2"/>
    </font>
    <font>
      <b/>
      <vertAlign val="superscript"/>
      <sz val="8"/>
      <color theme="0"/>
      <name val="Arial"/>
      <family val="2"/>
    </font>
    <font>
      <sz val="12"/>
      <name val="Arial"/>
      <family val="2"/>
    </font>
  </fonts>
  <fills count="9">
    <fill>
      <patternFill patternType="none"/>
    </fill>
    <fill>
      <patternFill patternType="gray125"/>
    </fill>
    <fill>
      <patternFill patternType="solid">
        <fgColor rgb="FF4F81BD"/>
        <bgColor indexed="64"/>
      </patternFill>
    </fill>
    <fill>
      <patternFill patternType="solid">
        <fgColor rgb="FFDCE6F1"/>
        <bgColor indexed="64"/>
      </patternFill>
    </fill>
    <fill>
      <patternFill patternType="solid">
        <fgColor rgb="FFFFFF99"/>
        <bgColor indexed="64"/>
      </patternFill>
    </fill>
    <fill>
      <patternFill patternType="solid">
        <fgColor indexed="43"/>
        <bgColor indexed="64"/>
      </patternFill>
    </fill>
    <fill>
      <patternFill patternType="solid">
        <fgColor rgb="FFC0C0C0"/>
        <bgColor indexed="64"/>
      </patternFill>
    </fill>
    <fill>
      <patternFill patternType="solid">
        <fgColor indexed="13"/>
        <bgColor indexed="64"/>
      </patternFill>
    </fill>
    <fill>
      <patternFill patternType="solid">
        <fgColor theme="0"/>
        <bgColor indexed="64"/>
      </patternFill>
    </fill>
  </fills>
  <borders count="29">
    <border>
      <left/>
      <right/>
      <top/>
      <bottom/>
      <diagonal/>
    </border>
    <border>
      <left style="thin">
        <color rgb="FFD9D9D9"/>
      </left>
      <right style="thin">
        <color rgb="FFD9D9D9"/>
      </right>
      <top style="thin">
        <color rgb="FFD9D9D9"/>
      </top>
      <bottom style="thin">
        <color rgb="FFD9D9D9"/>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rgb="FFD9D9D9"/>
      </left>
      <right/>
      <top/>
      <bottom/>
      <diagonal/>
    </border>
    <border>
      <left/>
      <right style="thin">
        <color rgb="FFD9D9D9"/>
      </right>
      <top style="thin">
        <color rgb="FFD9D9D9"/>
      </top>
      <bottom style="thin">
        <color rgb="FFD9D9D9"/>
      </bottom>
      <diagonal/>
    </border>
    <border>
      <left style="thin">
        <color rgb="FFD9D9D9"/>
      </left>
      <right style="thin">
        <color rgb="FFD9D9D9"/>
      </right>
      <top style="thin">
        <color rgb="FFD9D9D9"/>
      </top>
      <bottom/>
      <diagonal/>
    </border>
    <border>
      <left style="thin">
        <color rgb="FFD9D9D9"/>
      </left>
      <right style="thin">
        <color rgb="FFD9D9D9"/>
      </right>
      <top/>
      <bottom style="thin">
        <color rgb="FFD9D9D9"/>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style="thin">
        <color rgb="FFD9D9D9"/>
      </left>
      <right/>
      <top/>
      <bottom style="thin">
        <color rgb="FFD9D9D9"/>
      </bottom>
      <diagonal/>
    </border>
    <border>
      <left/>
      <right/>
      <top/>
      <bottom style="thin">
        <color rgb="FFD9D9D9"/>
      </bottom>
      <diagonal/>
    </border>
    <border>
      <left style="thin">
        <color rgb="FFD9D9D9"/>
      </left>
      <right style="thin">
        <color rgb="FFD9D9D9"/>
      </right>
      <top/>
      <bottom/>
      <diagonal/>
    </border>
    <border>
      <left style="thin">
        <color rgb="FFD9D9D9"/>
      </left>
      <right/>
      <top style="thin">
        <color rgb="FFD9D9D9"/>
      </top>
      <bottom/>
      <diagonal/>
    </border>
    <border>
      <left/>
      <right style="thin">
        <color rgb="FFD9D9D9"/>
      </right>
      <top style="thin">
        <color rgb="FFD9D9D9"/>
      </top>
      <bottom/>
      <diagonal/>
    </border>
    <border>
      <left/>
      <right style="thin">
        <color rgb="FFD9D9D9"/>
      </right>
      <top/>
      <bottom/>
      <diagonal/>
    </border>
    <border>
      <left/>
      <right style="thin">
        <color rgb="FFD9D9D9"/>
      </right>
      <top/>
      <bottom style="thin">
        <color rgb="FFD9D9D9"/>
      </bottom>
      <diagonal/>
    </border>
    <border>
      <left/>
      <right/>
      <top style="thin">
        <color rgb="FFD9D9D9"/>
      </top>
      <bottom/>
      <diagonal/>
    </border>
    <border>
      <left/>
      <right style="thin">
        <color rgb="FFD9D9D9"/>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rgb="FFDEDAC4"/>
      </left>
      <right style="thin">
        <color rgb="FFDEDAC4"/>
      </right>
      <top style="thin">
        <color rgb="FFDEDAC4"/>
      </top>
      <bottom style="thin">
        <color rgb="FFDEDAC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200">
    <xf numFmtId="0" fontId="0" fillId="0" borderId="0" xfId="0"/>
    <xf numFmtId="0" fontId="1" fillId="0" borderId="0" xfId="0" applyFont="1"/>
    <xf numFmtId="0" fontId="1" fillId="0" borderId="0" xfId="0" applyFont="1" applyAlignment="1">
      <alignment vertical="center"/>
    </xf>
    <xf numFmtId="0" fontId="1" fillId="0" borderId="0" xfId="0" applyFont="1" applyFill="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1" xfId="0" applyFont="1" applyBorder="1" applyAlignment="1">
      <alignment vertical="center"/>
    </xf>
    <xf numFmtId="3" fontId="1" fillId="0" borderId="1" xfId="0" applyNumberFormat="1" applyFont="1" applyBorder="1" applyAlignment="1">
      <alignment horizontal="center" vertical="center"/>
    </xf>
    <xf numFmtId="1" fontId="1"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0" fontId="8" fillId="0" borderId="0" xfId="0" applyFont="1"/>
    <xf numFmtId="2" fontId="1" fillId="0" borderId="0" xfId="0" applyNumberFormat="1" applyFont="1"/>
    <xf numFmtId="0" fontId="1" fillId="0" borderId="6" xfId="0" applyFont="1" applyBorder="1" applyAlignment="1">
      <alignment horizontal="left" vertical="center"/>
    </xf>
    <xf numFmtId="4" fontId="1" fillId="0" borderId="6" xfId="1" applyNumberFormat="1" applyFont="1" applyBorder="1" applyAlignment="1">
      <alignment horizontal="center" vertical="center"/>
    </xf>
    <xf numFmtId="0" fontId="11" fillId="5" borderId="6" xfId="0" applyFont="1" applyFill="1" applyBorder="1" applyAlignment="1">
      <alignment horizontal="center" vertical="center"/>
    </xf>
    <xf numFmtId="0" fontId="11" fillId="5" borderId="6" xfId="0" applyFont="1" applyFill="1" applyBorder="1" applyAlignment="1">
      <alignment vertical="center"/>
    </xf>
    <xf numFmtId="37" fontId="0" fillId="6" borderId="6" xfId="0" applyNumberFormat="1" applyFill="1" applyBorder="1" applyAlignment="1" applyProtection="1">
      <alignment horizontal="center" vertical="center"/>
      <protection locked="0"/>
    </xf>
    <xf numFmtId="37" fontId="11" fillId="6" borderId="6" xfId="0" applyNumberFormat="1" applyFont="1" applyFill="1" applyBorder="1" applyAlignment="1" applyProtection="1">
      <alignment horizontal="center" vertical="center"/>
      <protection locked="0"/>
    </xf>
    <xf numFmtId="0" fontId="0" fillId="4" borderId="6" xfId="0" applyFill="1" applyBorder="1" applyAlignment="1" applyProtection="1">
      <alignment horizontal="center" vertical="center"/>
    </xf>
    <xf numFmtId="0" fontId="0" fillId="4" borderId="6" xfId="0" applyFill="1" applyBorder="1" applyAlignment="1">
      <alignment horizontal="center" vertical="center"/>
    </xf>
    <xf numFmtId="0" fontId="0" fillId="5" borderId="6" xfId="0" applyFill="1" applyBorder="1" applyAlignment="1">
      <alignment vertical="center"/>
    </xf>
    <xf numFmtId="0" fontId="0" fillId="5" borderId="6" xfId="0" quotePrefix="1" applyFill="1" applyBorder="1" applyAlignment="1" applyProtection="1">
      <alignment horizontal="center" vertical="center"/>
    </xf>
    <xf numFmtId="0" fontId="0" fillId="5" borderId="6" xfId="0" quotePrefix="1" applyFill="1" applyBorder="1" applyAlignment="1">
      <alignment horizontal="center" vertical="center"/>
    </xf>
    <xf numFmtId="37" fontId="0" fillId="6" borderId="6" xfId="0" applyNumberFormat="1" applyFill="1" applyBorder="1" applyAlignment="1" applyProtection="1">
      <alignment vertical="center"/>
      <protection locked="0"/>
    </xf>
    <xf numFmtId="38" fontId="0" fillId="7" borderId="6" xfId="0" applyNumberFormat="1" applyFill="1" applyBorder="1" applyAlignment="1" applyProtection="1">
      <alignment vertical="center"/>
    </xf>
    <xf numFmtId="167" fontId="0" fillId="6" borderId="6" xfId="0" applyNumberFormat="1" applyFill="1" applyBorder="1" applyAlignment="1" applyProtection="1">
      <alignment vertical="center"/>
      <protection locked="0"/>
    </xf>
    <xf numFmtId="0" fontId="0" fillId="6" borderId="6" xfId="0" applyFill="1" applyBorder="1" applyAlignment="1" applyProtection="1">
      <alignment vertical="center"/>
      <protection locked="0"/>
    </xf>
    <xf numFmtId="0" fontId="13" fillId="0" borderId="6" xfId="0" applyFon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0" fontId="0" fillId="0" borderId="9" xfId="0" applyBorder="1" applyAlignment="1">
      <alignment vertical="center"/>
    </xf>
    <xf numFmtId="9" fontId="0" fillId="0" borderId="10" xfId="0" applyNumberFormat="1" applyBorder="1" applyAlignment="1">
      <alignment horizontal="center" vertical="center"/>
    </xf>
    <xf numFmtId="166" fontId="1" fillId="0" borderId="1" xfId="0" applyNumberFormat="1" applyFont="1" applyBorder="1" applyAlignment="1">
      <alignment horizontal="center" vertical="center"/>
    </xf>
    <xf numFmtId="3" fontId="1" fillId="0" borderId="0" xfId="0" applyNumberFormat="1" applyFont="1" applyAlignment="1">
      <alignment horizontal="center" vertical="center"/>
    </xf>
    <xf numFmtId="165" fontId="1" fillId="0" borderId="0" xfId="0" applyNumberFormat="1" applyFont="1" applyAlignment="1">
      <alignment horizontal="center" vertical="center"/>
    </xf>
    <xf numFmtId="37" fontId="0" fillId="0" borderId="0" xfId="0" applyNumberFormat="1"/>
    <xf numFmtId="0" fontId="1" fillId="0" borderId="0" xfId="0" applyFont="1" applyFill="1" applyAlignment="1">
      <alignment horizontal="center" vertical="center"/>
    </xf>
    <xf numFmtId="0" fontId="0" fillId="0" borderId="0" xfId="0" applyAlignment="1">
      <alignment horizontal="center"/>
    </xf>
    <xf numFmtId="0" fontId="0" fillId="0" borderId="0" xfId="0" applyAlignment="1">
      <alignment vertical="center"/>
    </xf>
    <xf numFmtId="3" fontId="0" fillId="0" borderId="0" xfId="0" applyNumberFormat="1" applyAlignment="1">
      <alignment horizontal="center"/>
    </xf>
    <xf numFmtId="165" fontId="0" fillId="0" borderId="0" xfId="0" applyNumberFormat="1" applyAlignment="1">
      <alignment horizontal="center" vertical="center"/>
    </xf>
    <xf numFmtId="38" fontId="0" fillId="0" borderId="0" xfId="0" applyNumberFormat="1" applyAlignment="1">
      <alignment horizontal="center" vertical="center"/>
    </xf>
    <xf numFmtId="1" fontId="0" fillId="0" borderId="0" xfId="0" applyNumberFormat="1" applyAlignment="1">
      <alignment horizontal="center" vertical="center"/>
    </xf>
    <xf numFmtId="3" fontId="0" fillId="0" borderId="0" xfId="0" applyNumberFormat="1" applyAlignment="1"/>
    <xf numFmtId="9" fontId="0" fillId="0" borderId="0" xfId="2" applyFont="1" applyAlignment="1">
      <alignment horizontal="center"/>
    </xf>
    <xf numFmtId="1" fontId="15" fillId="0" borderId="12" xfId="0" applyNumberFormat="1" applyFont="1" applyFill="1" applyBorder="1" applyAlignment="1">
      <alignment horizontal="center" vertical="center"/>
    </xf>
    <xf numFmtId="0" fontId="15" fillId="0" borderId="1" xfId="0" applyFont="1" applyFill="1" applyBorder="1" applyAlignment="1">
      <alignment vertical="center"/>
    </xf>
    <xf numFmtId="3" fontId="3" fillId="0" borderId="1" xfId="0" applyNumberFormat="1" applyFont="1" applyBorder="1" applyAlignment="1">
      <alignment horizontal="center" vertical="center"/>
    </xf>
    <xf numFmtId="0" fontId="3" fillId="0" borderId="0" xfId="0" applyFont="1" applyAlignment="1">
      <alignment horizontal="center" vertical="center"/>
    </xf>
    <xf numFmtId="0" fontId="3" fillId="0" borderId="1" xfId="0" applyFont="1" applyBorder="1" applyAlignment="1">
      <alignment vertical="center"/>
    </xf>
    <xf numFmtId="0" fontId="3" fillId="0" borderId="1" xfId="0" applyFont="1" applyBorder="1" applyAlignment="1">
      <alignment horizontal="center" vertical="center"/>
    </xf>
    <xf numFmtId="0" fontId="1" fillId="0" borderId="0" xfId="0" applyFont="1" applyAlignment="1">
      <alignment vertical="center" wrapText="1"/>
    </xf>
    <xf numFmtId="168" fontId="1" fillId="0" borderId="0" xfId="0" applyNumberFormat="1" applyFont="1" applyFill="1" applyAlignment="1">
      <alignment horizontal="center" vertical="center"/>
    </xf>
    <xf numFmtId="0" fontId="15" fillId="0" borderId="0" xfId="0" applyFont="1" applyFill="1" applyBorder="1" applyAlignment="1">
      <alignment vertical="center"/>
    </xf>
    <xf numFmtId="2" fontId="1" fillId="0" borderId="0" xfId="0" applyNumberFormat="1" applyFont="1" applyFill="1" applyAlignment="1">
      <alignment horizontal="center" vertical="center"/>
    </xf>
    <xf numFmtId="2" fontId="1" fillId="0" borderId="1" xfId="0" applyNumberFormat="1" applyFont="1" applyBorder="1" applyAlignment="1">
      <alignment horizontal="center" vertical="center"/>
    </xf>
    <xf numFmtId="168" fontId="1" fillId="0" borderId="1" xfId="0" applyNumberFormat="1" applyFont="1" applyBorder="1" applyAlignment="1">
      <alignment horizontal="center" vertical="center"/>
    </xf>
    <xf numFmtId="1" fontId="1" fillId="0" borderId="0" xfId="0" applyNumberFormat="1" applyFont="1" applyAlignment="1">
      <alignment horizontal="center" vertical="center"/>
    </xf>
    <xf numFmtId="2"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2" fontId="1" fillId="0" borderId="0" xfId="0" applyNumberFormat="1" applyFont="1" applyAlignment="1">
      <alignment horizontal="center" vertical="center"/>
    </xf>
    <xf numFmtId="0" fontId="1" fillId="0" borderId="0" xfId="0" applyFont="1" applyAlignment="1">
      <alignment horizontal="center" vertical="center" wrapText="1"/>
    </xf>
    <xf numFmtId="0" fontId="3" fillId="0" borderId="0" xfId="0" applyFont="1" applyAlignment="1">
      <alignment horizontal="center" vertical="center" wrapText="1"/>
    </xf>
    <xf numFmtId="2" fontId="3" fillId="0" borderId="0" xfId="0" applyNumberFormat="1" applyFont="1" applyAlignment="1">
      <alignment horizontal="center" vertical="center" wrapText="1"/>
    </xf>
    <xf numFmtId="2" fontId="1" fillId="0" borderId="0" xfId="0" applyNumberFormat="1" applyFont="1" applyAlignment="1">
      <alignment horizontal="center" vertical="center" wrapText="1"/>
    </xf>
    <xf numFmtId="0" fontId="1" fillId="0" borderId="18" xfId="0" applyFont="1" applyFill="1" applyBorder="1" applyAlignment="1">
      <alignment vertical="center"/>
    </xf>
    <xf numFmtId="0" fontId="1" fillId="0" borderId="1" xfId="0" applyFont="1" applyFill="1" applyBorder="1" applyAlignment="1">
      <alignment horizontal="center" vertical="center" wrapText="1"/>
    </xf>
    <xf numFmtId="0" fontId="3" fillId="0" borderId="0" xfId="0" applyFont="1" applyAlignment="1">
      <alignment vertical="center"/>
    </xf>
    <xf numFmtId="2" fontId="1" fillId="0" borderId="0" xfId="0" applyNumberFormat="1" applyFont="1" applyAlignment="1">
      <alignment horizontal="center"/>
    </xf>
    <xf numFmtId="169" fontId="1" fillId="0" borderId="0" xfId="0" applyNumberFormat="1" applyFont="1" applyAlignment="1">
      <alignment horizontal="center" vertical="center"/>
    </xf>
    <xf numFmtId="0" fontId="16" fillId="0" borderId="0" xfId="0" applyFont="1" applyAlignment="1">
      <alignment vertical="center" wrapText="1"/>
    </xf>
    <xf numFmtId="2" fontId="3" fillId="0" borderId="0" xfId="0" applyNumberFormat="1" applyFont="1" applyAlignment="1">
      <alignment horizontal="center" vertical="center"/>
    </xf>
    <xf numFmtId="0" fontId="16" fillId="0" borderId="0" xfId="0" applyFont="1" applyFill="1"/>
    <xf numFmtId="164" fontId="1" fillId="0" borderId="0" xfId="0" applyNumberFormat="1" applyFont="1" applyAlignment="1">
      <alignment horizontal="center" vertical="center"/>
    </xf>
    <xf numFmtId="165" fontId="0" fillId="0" borderId="0" xfId="0" applyNumberFormat="1"/>
    <xf numFmtId="169" fontId="1" fillId="0" borderId="0" xfId="0" applyNumberFormat="1" applyFont="1" applyAlignment="1">
      <alignment horizontal="center"/>
    </xf>
    <xf numFmtId="165" fontId="1" fillId="0" borderId="0" xfId="0" applyNumberFormat="1" applyFont="1"/>
    <xf numFmtId="0" fontId="20" fillId="0" borderId="6" xfId="0" applyFont="1" applyFill="1" applyBorder="1" applyAlignment="1">
      <alignment horizontal="center" vertical="center"/>
    </xf>
    <xf numFmtId="0" fontId="20" fillId="0" borderId="6" xfId="0" applyFont="1" applyBorder="1" applyAlignment="1">
      <alignment horizontal="center"/>
    </xf>
    <xf numFmtId="2" fontId="20" fillId="0" borderId="6" xfId="0" applyNumberFormat="1" applyFont="1" applyBorder="1" applyAlignment="1">
      <alignment horizontal="center"/>
    </xf>
    <xf numFmtId="3" fontId="20" fillId="0" borderId="6" xfId="0" applyNumberFormat="1" applyFont="1" applyBorder="1" applyAlignment="1">
      <alignment horizontal="center"/>
    </xf>
    <xf numFmtId="0" fontId="20" fillId="0" borderId="6" xfId="0" applyFont="1" applyBorder="1" applyAlignment="1">
      <alignment horizontal="left"/>
    </xf>
    <xf numFmtId="1" fontId="1" fillId="0" borderId="0" xfId="0" applyNumberFormat="1" applyFont="1" applyFill="1" applyAlignment="1">
      <alignment horizontal="center" vertical="center"/>
    </xf>
    <xf numFmtId="165" fontId="1" fillId="0" borderId="0" xfId="0" applyNumberFormat="1" applyFont="1" applyFill="1" applyAlignment="1">
      <alignment horizontal="center" vertical="center"/>
    </xf>
    <xf numFmtId="1" fontId="1" fillId="0" borderId="0" xfId="0" applyNumberFormat="1" applyFont="1"/>
    <xf numFmtId="0" fontId="15" fillId="0" borderId="12" xfId="0" applyFont="1" applyFill="1" applyBorder="1" applyAlignment="1">
      <alignment horizontal="center" vertical="center"/>
    </xf>
    <xf numFmtId="0" fontId="15" fillId="0" borderId="0" xfId="0" applyFont="1" applyFill="1" applyBorder="1" applyAlignment="1">
      <alignment horizontal="center" vertical="center"/>
    </xf>
    <xf numFmtId="170" fontId="15" fillId="0" borderId="0" xfId="0" applyNumberFormat="1" applyFont="1" applyFill="1" applyBorder="1" applyAlignment="1">
      <alignment horizontal="center" vertical="center"/>
    </xf>
    <xf numFmtId="11" fontId="1" fillId="0" borderId="0" xfId="0" applyNumberFormat="1" applyFont="1" applyBorder="1" applyAlignment="1">
      <alignment horizontal="center" vertical="center"/>
    </xf>
    <xf numFmtId="11" fontId="1" fillId="0" borderId="0" xfId="0" applyNumberFormat="1" applyFont="1" applyAlignment="1">
      <alignment horizontal="center" vertical="center"/>
    </xf>
    <xf numFmtId="2" fontId="1" fillId="0" borderId="0" xfId="0" quotePrefix="1" applyNumberFormat="1" applyFont="1" applyAlignment="1">
      <alignment horizontal="center" vertical="center"/>
    </xf>
    <xf numFmtId="171" fontId="1" fillId="3" borderId="0" xfId="0" applyNumberFormat="1" applyFont="1" applyFill="1" applyAlignment="1">
      <alignment horizontal="center" vertical="center"/>
    </xf>
    <xf numFmtId="0" fontId="1" fillId="0" borderId="0" xfId="0" applyFont="1" applyAlignment="1">
      <alignment horizontal="left" vertical="center" wrapText="1"/>
    </xf>
    <xf numFmtId="0" fontId="1" fillId="3" borderId="13"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0" borderId="0" xfId="0" applyFont="1" applyAlignment="1">
      <alignment horizontal="left" vertical="center"/>
    </xf>
    <xf numFmtId="0" fontId="1" fillId="0" borderId="6" xfId="0" applyFont="1" applyBorder="1" applyAlignment="1">
      <alignment horizontal="center" vertical="center"/>
    </xf>
    <xf numFmtId="0" fontId="1" fillId="3" borderId="0" xfId="0" applyFont="1" applyFill="1" applyAlignment="1">
      <alignment horizontal="center" vertical="center"/>
    </xf>
    <xf numFmtId="0" fontId="6" fillId="2" borderId="1" xfId="0" applyFont="1" applyFill="1" applyBorder="1" applyAlignment="1">
      <alignment horizontal="center" vertical="center"/>
    </xf>
    <xf numFmtId="0" fontId="1" fillId="0" borderId="26" xfId="0" applyFont="1" applyBorder="1" applyAlignment="1">
      <alignment horizontal="left" vertical="center"/>
    </xf>
    <xf numFmtId="4" fontId="1" fillId="0" borderId="0" xfId="0" applyNumberFormat="1" applyFont="1" applyAlignment="1">
      <alignment horizontal="center" vertical="center"/>
    </xf>
    <xf numFmtId="0" fontId="1" fillId="0" borderId="27" xfId="0" applyFont="1" applyBorder="1" applyAlignment="1">
      <alignment horizontal="left" vertical="center"/>
    </xf>
    <xf numFmtId="2" fontId="1" fillId="0" borderId="0" xfId="0" applyNumberFormat="1" applyFont="1" applyAlignment="1">
      <alignment vertical="center"/>
    </xf>
    <xf numFmtId="0" fontId="1" fillId="8" borderId="20" xfId="0" applyFont="1" applyFill="1" applyBorder="1" applyAlignment="1">
      <alignment vertical="center"/>
    </xf>
    <xf numFmtId="0" fontId="1" fillId="8" borderId="21" xfId="0" applyFont="1" applyFill="1" applyBorder="1" applyAlignment="1">
      <alignment vertical="center"/>
    </xf>
    <xf numFmtId="0" fontId="1" fillId="8" borderId="11" xfId="0" applyFont="1" applyFill="1" applyBorder="1" applyAlignment="1">
      <alignment vertical="center"/>
    </xf>
    <xf numFmtId="0" fontId="1" fillId="8" borderId="22" xfId="0" applyFont="1" applyFill="1" applyBorder="1" applyAlignment="1">
      <alignment vertical="center"/>
    </xf>
    <xf numFmtId="165" fontId="1" fillId="0" borderId="1" xfId="0" applyNumberFormat="1" applyFont="1" applyFill="1" applyBorder="1" applyAlignment="1">
      <alignment vertical="center"/>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9" fontId="0" fillId="3" borderId="10" xfId="0" applyNumberFormat="1" applyFill="1" applyBorder="1" applyAlignment="1">
      <alignment horizontal="center" vertical="center"/>
    </xf>
    <xf numFmtId="0" fontId="23" fillId="3" borderId="3" xfId="0" applyFont="1" applyFill="1" applyBorder="1" applyAlignment="1">
      <alignment horizontal="center" vertical="center"/>
    </xf>
    <xf numFmtId="0" fontId="3" fillId="3" borderId="28" xfId="0" applyFont="1" applyFill="1" applyBorder="1" applyAlignment="1">
      <alignment horizontal="center" vertical="center"/>
    </xf>
    <xf numFmtId="17" fontId="3" fillId="3" borderId="28" xfId="0" applyNumberFormat="1" applyFont="1" applyFill="1" applyBorder="1" applyAlignment="1">
      <alignment horizontal="center" vertical="center" wrapText="1"/>
    </xf>
    <xf numFmtId="3" fontId="1" fillId="0" borderId="28" xfId="0" applyNumberFormat="1" applyFont="1" applyBorder="1" applyAlignment="1">
      <alignment horizontal="center" vertical="center"/>
    </xf>
    <xf numFmtId="166" fontId="1" fillId="0" borderId="0" xfId="0" applyNumberFormat="1" applyFont="1" applyBorder="1" applyAlignment="1">
      <alignment horizontal="center" vertical="center"/>
    </xf>
    <xf numFmtId="0" fontId="1" fillId="0" borderId="0" xfId="0" applyFont="1" applyBorder="1" applyAlignment="1">
      <alignment horizontal="center" vertical="center"/>
    </xf>
    <xf numFmtId="0" fontId="3" fillId="0" borderId="28" xfId="0" applyFont="1" applyFill="1" applyBorder="1" applyAlignment="1">
      <alignment horizontal="center" vertical="center"/>
    </xf>
    <xf numFmtId="0" fontId="15" fillId="0" borderId="14" xfId="0" applyFont="1" applyFill="1" applyBorder="1" applyAlignment="1">
      <alignment vertical="center"/>
    </xf>
    <xf numFmtId="0" fontId="15" fillId="0" borderId="23" xfId="0" applyFont="1" applyFill="1" applyBorder="1" applyAlignment="1">
      <alignment horizontal="center" vertical="center"/>
    </xf>
    <xf numFmtId="1" fontId="15" fillId="0" borderId="23" xfId="0" applyNumberFormat="1" applyFont="1" applyFill="1" applyBorder="1" applyAlignment="1">
      <alignment horizontal="center" vertical="center"/>
    </xf>
    <xf numFmtId="164" fontId="1" fillId="0" borderId="23" xfId="0" applyNumberFormat="1" applyFont="1" applyBorder="1" applyAlignment="1">
      <alignment horizontal="center" vertical="center"/>
    </xf>
    <xf numFmtId="164"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1" fontId="1" fillId="0" borderId="14" xfId="0" applyNumberFormat="1" applyFont="1" applyBorder="1" applyAlignment="1">
      <alignment horizontal="center" vertical="center"/>
    </xf>
    <xf numFmtId="165" fontId="1" fillId="0" borderId="14" xfId="0" applyNumberFormat="1" applyFont="1" applyBorder="1" applyAlignment="1">
      <alignment horizontal="center" vertical="center"/>
    </xf>
    <xf numFmtId="0" fontId="6" fillId="2" borderId="28" xfId="0" applyNumberFormat="1" applyFont="1" applyFill="1" applyBorder="1" applyAlignment="1" applyProtection="1">
      <alignment horizontal="center" vertical="center" wrapText="1"/>
    </xf>
    <xf numFmtId="0" fontId="6" fillId="2" borderId="28" xfId="0" applyFont="1" applyFill="1" applyBorder="1" applyAlignment="1">
      <alignment horizontal="center" vertical="center"/>
    </xf>
    <xf numFmtId="4" fontId="1" fillId="3" borderId="1" xfId="0" applyNumberFormat="1" applyFont="1" applyFill="1" applyBorder="1" applyAlignment="1">
      <alignment horizontal="center" vertical="center"/>
    </xf>
    <xf numFmtId="171" fontId="1" fillId="0" borderId="0" xfId="0" applyNumberFormat="1" applyFont="1" applyFill="1" applyAlignment="1">
      <alignment horizontal="center" vertical="center"/>
    </xf>
    <xf numFmtId="171" fontId="1" fillId="3" borderId="1" xfId="0" applyNumberFormat="1" applyFont="1" applyFill="1" applyBorder="1" applyAlignment="1">
      <alignment horizontal="center" vertical="center"/>
    </xf>
    <xf numFmtId="0" fontId="1" fillId="0" borderId="18" xfId="0" applyFont="1" applyBorder="1" applyAlignment="1">
      <alignment vertical="center"/>
    </xf>
    <xf numFmtId="0" fontId="1" fillId="0" borderId="24" xfId="0" applyFont="1" applyBorder="1" applyAlignment="1">
      <alignment vertical="center"/>
    </xf>
    <xf numFmtId="0" fontId="1" fillId="3" borderId="17" xfId="0" applyFont="1" applyFill="1" applyBorder="1" applyAlignment="1">
      <alignment horizontal="center" vertical="center"/>
    </xf>
    <xf numFmtId="0" fontId="1" fillId="3" borderId="18" xfId="0" applyFont="1" applyFill="1" applyBorder="1" applyAlignment="1">
      <alignment horizontal="center" vertical="center"/>
    </xf>
    <xf numFmtId="0" fontId="1" fillId="0" borderId="0" xfId="0" applyFont="1" applyAlignment="1">
      <alignment horizontal="left" vertical="center" wrapText="1"/>
    </xf>
    <xf numFmtId="0" fontId="1" fillId="0" borderId="11" xfId="0" applyFont="1" applyBorder="1" applyAlignment="1">
      <alignment horizontal="left" vertical="center"/>
    </xf>
    <xf numFmtId="0" fontId="1" fillId="0" borderId="0" xfId="0" applyFont="1" applyBorder="1" applyAlignment="1">
      <alignment horizontal="left" vertical="center"/>
    </xf>
    <xf numFmtId="0" fontId="1" fillId="3" borderId="17"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3" xfId="0" applyFont="1" applyFill="1" applyBorder="1" applyAlignment="1">
      <alignment horizontal="center" vertical="center"/>
    </xf>
    <xf numFmtId="0" fontId="1" fillId="3" borderId="19"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15" xfId="0" applyFont="1" applyFill="1" applyBorder="1" applyAlignment="1">
      <alignment horizontal="center" vertical="center" wrapText="1"/>
    </xf>
    <xf numFmtId="0" fontId="1" fillId="3" borderId="12"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1"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1" xfId="0" applyFont="1" applyFill="1" applyBorder="1" applyAlignment="1">
      <alignment horizontal="center" vertical="center" wrapText="1"/>
    </xf>
    <xf numFmtId="0" fontId="1" fillId="0" borderId="1" xfId="0" applyFont="1" applyBorder="1" applyAlignment="1">
      <alignment horizontal="left" vertical="center"/>
    </xf>
    <xf numFmtId="0" fontId="21" fillId="8" borderId="20" xfId="0" applyFont="1" applyFill="1" applyBorder="1" applyAlignment="1">
      <alignment horizontal="center" vertical="center"/>
    </xf>
    <xf numFmtId="0" fontId="21" fillId="8" borderId="11" xfId="0" applyFont="1" applyFill="1" applyBorder="1" applyAlignment="1">
      <alignment horizontal="center" vertical="center"/>
    </xf>
    <xf numFmtId="0" fontId="21" fillId="8" borderId="17" xfId="0" applyFont="1" applyFill="1" applyBorder="1" applyAlignment="1">
      <alignment horizontal="center" vertical="center"/>
    </xf>
    <xf numFmtId="0" fontId="1" fillId="8" borderId="20" xfId="0" applyFont="1" applyFill="1" applyBorder="1" applyAlignment="1">
      <alignment horizontal="left" vertical="center" wrapText="1"/>
    </xf>
    <xf numFmtId="0" fontId="1" fillId="8" borderId="21" xfId="0" applyFont="1" applyFill="1" applyBorder="1" applyAlignment="1">
      <alignment horizontal="left" vertical="center" wrapText="1"/>
    </xf>
    <xf numFmtId="0" fontId="1" fillId="8" borderId="11" xfId="0" applyFont="1" applyFill="1" applyBorder="1" applyAlignment="1">
      <alignment horizontal="left" vertical="center" wrapText="1"/>
    </xf>
    <xf numFmtId="0" fontId="1" fillId="8" borderId="22" xfId="0" applyFont="1" applyFill="1" applyBorder="1" applyAlignment="1">
      <alignment horizontal="left" vertical="center" wrapText="1"/>
    </xf>
    <xf numFmtId="0" fontId="1" fillId="8" borderId="17" xfId="0" applyFont="1" applyFill="1" applyBorder="1" applyAlignment="1">
      <alignment horizontal="left" vertical="center" wrapText="1"/>
    </xf>
    <xf numFmtId="0" fontId="1" fillId="8" borderId="23" xfId="0" applyFont="1" applyFill="1" applyBorder="1" applyAlignment="1">
      <alignment horizontal="left" vertical="center" wrapText="1"/>
    </xf>
    <xf numFmtId="0" fontId="1" fillId="0" borderId="0" xfId="0" applyFont="1" applyAlignment="1">
      <alignment horizontal="left" vertical="center"/>
    </xf>
    <xf numFmtId="0" fontId="1" fillId="0" borderId="15" xfId="0" applyFont="1" applyBorder="1" applyAlignment="1">
      <alignment horizontal="left" vertical="center"/>
    </xf>
    <xf numFmtId="0" fontId="1" fillId="0" borderId="16" xfId="0" applyFont="1" applyBorder="1" applyAlignment="1">
      <alignment horizontal="left" vertical="center"/>
    </xf>
    <xf numFmtId="0" fontId="1" fillId="0" borderId="12" xfId="0" applyFont="1" applyBorder="1" applyAlignment="1">
      <alignment horizontal="left" vertical="center"/>
    </xf>
    <xf numFmtId="0" fontId="15" fillId="0" borderId="1" xfId="0" applyFont="1" applyBorder="1" applyAlignment="1">
      <alignment vertical="center" wrapText="1"/>
    </xf>
    <xf numFmtId="0" fontId="1" fillId="8" borderId="20" xfId="0" applyFont="1" applyFill="1" applyBorder="1" applyAlignment="1">
      <alignment horizontal="center"/>
    </xf>
    <xf numFmtId="0" fontId="1" fillId="8" borderId="24" xfId="0" applyFont="1" applyFill="1" applyBorder="1" applyAlignment="1">
      <alignment horizontal="center"/>
    </xf>
    <xf numFmtId="0" fontId="1" fillId="8" borderId="21" xfId="0" applyFont="1" applyFill="1" applyBorder="1" applyAlignment="1">
      <alignment horizontal="center"/>
    </xf>
    <xf numFmtId="0" fontId="1" fillId="8" borderId="11" xfId="0" applyFont="1" applyFill="1" applyBorder="1" applyAlignment="1">
      <alignment horizontal="center"/>
    </xf>
    <xf numFmtId="0" fontId="1" fillId="8" borderId="0" xfId="0" applyFont="1" applyFill="1" applyBorder="1" applyAlignment="1">
      <alignment horizontal="center"/>
    </xf>
    <xf numFmtId="0" fontId="1" fillId="8" borderId="22" xfId="0" applyFont="1" applyFill="1" applyBorder="1" applyAlignment="1">
      <alignment horizontal="center"/>
    </xf>
    <xf numFmtId="0" fontId="1" fillId="8" borderId="17" xfId="0" applyFont="1" applyFill="1" applyBorder="1" applyAlignment="1">
      <alignment horizontal="center"/>
    </xf>
    <xf numFmtId="0" fontId="1" fillId="8" borderId="18" xfId="0" applyFont="1" applyFill="1" applyBorder="1" applyAlignment="1">
      <alignment horizontal="center"/>
    </xf>
    <xf numFmtId="0" fontId="1" fillId="8" borderId="23" xfId="0" applyFont="1" applyFill="1" applyBorder="1" applyAlignment="1">
      <alignment horizontal="center"/>
    </xf>
    <xf numFmtId="0" fontId="1" fillId="8" borderId="24" xfId="0" applyFont="1" applyFill="1" applyBorder="1" applyAlignment="1">
      <alignment horizontal="left" vertical="center" wrapText="1"/>
    </xf>
    <xf numFmtId="0" fontId="1" fillId="8" borderId="0" xfId="0" applyFont="1" applyFill="1" applyBorder="1" applyAlignment="1">
      <alignment horizontal="left" vertical="center" wrapText="1"/>
    </xf>
    <xf numFmtId="0" fontId="1" fillId="8" borderId="18" xfId="0" applyFont="1" applyFill="1" applyBorder="1" applyAlignment="1">
      <alignment horizontal="left" vertical="center" wrapText="1"/>
    </xf>
    <xf numFmtId="0" fontId="0" fillId="4" borderId="3" xfId="0" applyFill="1" applyBorder="1" applyAlignment="1" applyProtection="1">
      <alignment horizontal="center" vertical="center"/>
    </xf>
    <xf numFmtId="0" fontId="0" fillId="4" borderId="5" xfId="0" applyFill="1" applyBorder="1" applyAlignment="1" applyProtection="1">
      <alignment horizontal="center" vertical="center"/>
    </xf>
    <xf numFmtId="0" fontId="23" fillId="3" borderId="3" xfId="0" applyFont="1" applyFill="1" applyBorder="1" applyAlignment="1">
      <alignment horizontal="center" vertical="center"/>
    </xf>
    <xf numFmtId="0" fontId="23" fillId="3" borderId="5" xfId="0" applyFont="1" applyFill="1" applyBorder="1" applyAlignment="1">
      <alignment horizontal="center" vertical="center"/>
    </xf>
    <xf numFmtId="3" fontId="0" fillId="0" borderId="0" xfId="0" applyNumberFormat="1" applyAlignment="1">
      <alignment horizontal="center"/>
    </xf>
    <xf numFmtId="0" fontId="19" fillId="0" borderId="6" xfId="0" applyFont="1" applyFill="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6" fillId="2" borderId="28" xfId="0" applyFont="1" applyFill="1" applyBorder="1" applyAlignment="1">
      <alignment horizontal="center" vertical="center"/>
    </xf>
    <xf numFmtId="0" fontId="6" fillId="2" borderId="28" xfId="0" applyNumberFormat="1" applyFont="1" applyFill="1" applyBorder="1" applyAlignment="1" applyProtection="1">
      <alignment horizontal="center" vertical="center" wrapText="1"/>
    </xf>
    <xf numFmtId="0" fontId="1" fillId="3" borderId="0" xfId="0" applyFont="1" applyFill="1" applyAlignment="1">
      <alignment horizontal="center" vertical="center"/>
    </xf>
    <xf numFmtId="0" fontId="6" fillId="2" borderId="21" xfId="0" applyNumberFormat="1" applyFont="1" applyFill="1" applyBorder="1" applyAlignment="1" applyProtection="1">
      <alignment horizontal="center" vertical="center" wrapText="1"/>
    </xf>
    <xf numFmtId="0" fontId="6" fillId="2" borderId="25" xfId="0" applyNumberFormat="1" applyFont="1" applyFill="1" applyBorder="1" applyAlignment="1" applyProtection="1">
      <alignment horizontal="center" vertical="center" wrapText="1"/>
    </xf>
    <xf numFmtId="0" fontId="6" fillId="2" borderId="1" xfId="0" applyFont="1" applyFill="1" applyBorder="1" applyAlignment="1">
      <alignment horizontal="center" vertical="center"/>
    </xf>
  </cellXfs>
  <cellStyles count="3">
    <cellStyle name="Normal" xfId="0" builtinId="0"/>
    <cellStyle name="Porcentagem" xfId="2" builtinId="5"/>
    <cellStyle name="Vírgula" xfId="1" builtinId="3"/>
  </cellStyles>
  <dxfs count="0"/>
  <tableStyles count="0" defaultTableStyle="TableStyleMedium2" defaultPivotStyle="PivotStyleLight16"/>
  <colors>
    <mruColors>
      <color rgb="FFD9D9D9"/>
      <color rgb="FFDCE6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190500</xdr:colOff>
      <xdr:row>111</xdr:row>
      <xdr:rowOff>138112</xdr:rowOff>
    </xdr:from>
    <xdr:ext cx="1609725" cy="316946"/>
    <mc:AlternateContent xmlns:mc="http://schemas.openxmlformats.org/markup-compatibility/2006" xmlns:a14="http://schemas.microsoft.com/office/drawing/2010/main">
      <mc:Choice Requires="a14">
        <xdr:sp macro="" textlink="">
          <xdr:nvSpPr>
            <xdr:cNvPr id="2" name="CaixaDeTexto 1"/>
            <xdr:cNvSpPr txBox="1"/>
          </xdr:nvSpPr>
          <xdr:spPr>
            <a:xfrm>
              <a:off x="2657475" y="2494121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𝐴</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(1−</m:t>
                    </m:r>
                    <m:f>
                      <m:fPr>
                        <m:ctrlPr>
                          <a:rPr lang="pt-BR" sz="1100" b="0" i="1">
                            <a:latin typeface="Cambria Math" panose="02040503050406030204" pitchFamily="18" charset="0"/>
                          </a:rPr>
                        </m:ctrlPr>
                      </m:fPr>
                      <m:num>
                        <m:r>
                          <a:rPr lang="pt-BR" sz="1100" b="0" i="1">
                            <a:latin typeface="Cambria Math" panose="02040503050406030204" pitchFamily="18" charset="0"/>
                          </a:rPr>
                          <m:t>𝐸𝑅</m:t>
                        </m:r>
                      </m:num>
                      <m:den>
                        <m:r>
                          <a:rPr lang="pt-BR" sz="1100" b="0" i="1">
                            <a:latin typeface="Cambria Math" panose="02040503050406030204" pitchFamily="18" charset="0"/>
                          </a:rPr>
                          <m:t>100</m:t>
                        </m:r>
                      </m:den>
                    </m:f>
                    <m:r>
                      <a:rPr lang="pt-BR" sz="1100" b="0" i="1">
                        <a:latin typeface="Cambria Math" panose="02040503050406030204" pitchFamily="18" charset="0"/>
                      </a:rPr>
                      <m:t>)</m:t>
                    </m:r>
                  </m:oMath>
                </m:oMathPara>
              </a14:m>
              <a:endParaRPr lang="pt-BR" sz="1100"/>
            </a:p>
          </xdr:txBody>
        </xdr:sp>
      </mc:Choice>
      <mc:Fallback xmlns="">
        <xdr:sp macro="" textlink="">
          <xdr:nvSpPr>
            <xdr:cNvPr id="2" name="CaixaDeTexto 1"/>
            <xdr:cNvSpPr txBox="1"/>
          </xdr:nvSpPr>
          <xdr:spPr>
            <a:xfrm>
              <a:off x="2657475" y="24941212"/>
              <a:ext cx="1609725" cy="3169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𝐸=𝐴 𝑥 𝐸𝐹 𝑥 (1−𝐸𝑅/100)</a:t>
              </a:r>
              <a:endParaRPr lang="pt-BR"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1</xdr:col>
      <xdr:colOff>676275</xdr:colOff>
      <xdr:row>10</xdr:row>
      <xdr:rowOff>14287</xdr:rowOff>
    </xdr:from>
    <xdr:ext cx="1609725" cy="172227"/>
    <mc:AlternateContent xmlns:mc="http://schemas.openxmlformats.org/markup-compatibility/2006" xmlns:a14="http://schemas.microsoft.com/office/drawing/2010/main">
      <mc:Choice Requires="a14">
        <xdr:sp macro="" textlink="">
          <xdr:nvSpPr>
            <xdr:cNvPr id="2" name="CaixaDeTexto 1"/>
            <xdr:cNvSpPr txBox="1"/>
          </xdr:nvSpPr>
          <xdr:spPr>
            <a:xfrm>
              <a:off x="1971675" y="55768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pt-BR" sz="1100" b="0" i="1">
                        <a:latin typeface="Cambria Math" panose="02040503050406030204" pitchFamily="18" charset="0"/>
                      </a:rPr>
                      <m:t>𝐸</m:t>
                    </m:r>
                    <m:r>
                      <a:rPr lang="pt-BR" sz="1100" b="0" i="1">
                        <a:latin typeface="Cambria Math" panose="02040503050406030204" pitchFamily="18" charset="0"/>
                      </a:rPr>
                      <m:t>=</m:t>
                    </m:r>
                    <m:r>
                      <a:rPr lang="pt-BR" sz="1100" b="0" i="1">
                        <a:latin typeface="Cambria Math" panose="02040503050406030204" pitchFamily="18" charset="0"/>
                      </a:rPr>
                      <m:t>𝑛</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𝐻</m:t>
                    </m:r>
                    <m:r>
                      <a:rPr lang="pt-BR" sz="1100" b="0" i="1">
                        <a:latin typeface="Cambria Math" panose="02040503050406030204" pitchFamily="18" charset="0"/>
                      </a:rPr>
                      <m:t> </m:t>
                    </m:r>
                    <m:r>
                      <a:rPr lang="pt-BR" sz="1100" b="0" i="1">
                        <a:latin typeface="Cambria Math" panose="02040503050406030204" pitchFamily="18" charset="0"/>
                      </a:rPr>
                      <m:t>𝑥</m:t>
                    </m:r>
                    <m:r>
                      <a:rPr lang="pt-BR" sz="1100" b="0" i="1">
                        <a:latin typeface="Cambria Math" panose="02040503050406030204" pitchFamily="18" charset="0"/>
                      </a:rPr>
                      <m:t> </m:t>
                    </m:r>
                    <m:r>
                      <a:rPr lang="pt-BR" sz="1100" b="0" i="1">
                        <a:latin typeface="Cambria Math" panose="02040503050406030204" pitchFamily="18" charset="0"/>
                      </a:rPr>
                      <m:t>𝐸𝐹</m:t>
                    </m:r>
                    <m:r>
                      <a:rPr lang="pt-BR" sz="1100" b="0" i="1">
                        <a:latin typeface="Cambria Math" panose="02040503050406030204" pitchFamily="18" charset="0"/>
                      </a:rPr>
                      <m:t> </m:t>
                    </m:r>
                  </m:oMath>
                </m:oMathPara>
              </a14:m>
              <a:endParaRPr lang="pt-BR" sz="1100"/>
            </a:p>
          </xdr:txBody>
        </xdr:sp>
      </mc:Choice>
      <mc:Fallback xmlns="">
        <xdr:sp macro="" textlink="">
          <xdr:nvSpPr>
            <xdr:cNvPr id="2" name="CaixaDeTexto 1"/>
            <xdr:cNvSpPr txBox="1"/>
          </xdr:nvSpPr>
          <xdr:spPr>
            <a:xfrm>
              <a:off x="1971675" y="5576887"/>
              <a:ext cx="16097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pt-BR" sz="1100" b="0" i="0">
                  <a:latin typeface="Cambria Math" panose="02040503050406030204" pitchFamily="18" charset="0"/>
                </a:rPr>
                <a:t>𝐸=𝑛 𝑥 𝐻 𝑥 𝐸𝐹 </a:t>
              </a:r>
              <a:endParaRPr lang="pt-BR"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31</xdr:row>
      <xdr:rowOff>19050</xdr:rowOff>
    </xdr:from>
    <xdr:to>
      <xdr:col>4</xdr:col>
      <xdr:colOff>742950</xdr:colOff>
      <xdr:row>45</xdr:row>
      <xdr:rowOff>114300</xdr:rowOff>
    </xdr:to>
    <xdr:pic>
      <xdr:nvPicPr>
        <xdr:cNvPr id="2" name="Imagem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038850"/>
          <a:ext cx="5991225" cy="2762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190500</xdr:colOff>
      <xdr:row>0</xdr:row>
      <xdr:rowOff>28575</xdr:rowOff>
    </xdr:from>
    <xdr:to>
      <xdr:col>14</xdr:col>
      <xdr:colOff>22819</xdr:colOff>
      <xdr:row>9</xdr:row>
      <xdr:rowOff>56156</xdr:rowOff>
    </xdr:to>
    <xdr:pic>
      <xdr:nvPicPr>
        <xdr:cNvPr id="3" name="Imagem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20175" y="28575"/>
          <a:ext cx="7433269" cy="17420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1"/>
  <sheetViews>
    <sheetView workbookViewId="0">
      <selection activeCell="L21" sqref="L21"/>
    </sheetView>
  </sheetViews>
  <sheetFormatPr defaultRowHeight="15" customHeight="1" x14ac:dyDescent="0.2"/>
  <cols>
    <col min="1" max="1" width="37.140625" style="1" customWidth="1"/>
    <col min="2" max="2" width="15.5703125" style="1" customWidth="1"/>
    <col min="3" max="3" width="15.85546875" style="1" customWidth="1"/>
    <col min="4" max="4" width="15.140625" style="1" customWidth="1"/>
    <col min="5" max="5" width="11.85546875" style="1" bestFit="1" customWidth="1"/>
    <col min="6" max="6" width="11.85546875" style="1" customWidth="1"/>
    <col min="7" max="7" width="13.140625" style="1" customWidth="1"/>
    <col min="8" max="8" width="9.140625" style="1"/>
    <col min="9" max="9" width="29.28515625" style="1" customWidth="1"/>
    <col min="10" max="12" width="13.140625" style="1" customWidth="1"/>
    <col min="13" max="16384" width="9.140625" style="1"/>
  </cols>
  <sheetData>
    <row r="1" spans="1:17" ht="15" customHeight="1" x14ac:dyDescent="0.2">
      <c r="A1" s="2" t="s">
        <v>274</v>
      </c>
      <c r="B1" s="2"/>
      <c r="C1" s="2"/>
      <c r="D1" s="2"/>
      <c r="E1" s="2"/>
      <c r="F1" s="2"/>
      <c r="G1" s="2"/>
      <c r="H1" s="2"/>
      <c r="I1" s="2"/>
      <c r="J1" s="2"/>
      <c r="K1" s="2"/>
      <c r="L1" s="2"/>
      <c r="M1" s="2"/>
      <c r="N1" s="2"/>
      <c r="O1" s="2"/>
      <c r="P1" s="2"/>
      <c r="Q1" s="2"/>
    </row>
    <row r="2" spans="1:17" ht="25.5" customHeight="1" x14ac:dyDescent="0.2">
      <c r="A2" s="155" t="s">
        <v>110</v>
      </c>
      <c r="B2" s="153"/>
      <c r="C2" s="153"/>
      <c r="D2" s="153"/>
      <c r="E2" s="153"/>
      <c r="F2" s="153"/>
      <c r="G2" s="153"/>
      <c r="H2" s="2"/>
      <c r="I2" s="155" t="s">
        <v>137</v>
      </c>
      <c r="J2" s="153"/>
      <c r="K2" s="153"/>
      <c r="L2" s="153"/>
      <c r="M2" s="2"/>
      <c r="N2" s="2"/>
      <c r="O2" s="2"/>
      <c r="P2" s="2"/>
      <c r="Q2" s="2"/>
    </row>
    <row r="3" spans="1:17" ht="25.5" customHeight="1" x14ac:dyDescent="0.2">
      <c r="A3" s="149" t="s">
        <v>111</v>
      </c>
      <c r="B3" s="151" t="s">
        <v>19</v>
      </c>
      <c r="C3" s="152"/>
      <c r="D3" s="154"/>
      <c r="E3" s="151" t="s">
        <v>107</v>
      </c>
      <c r="F3" s="152"/>
      <c r="G3" s="154"/>
      <c r="H3" s="2"/>
      <c r="I3" s="94" t="s">
        <v>126</v>
      </c>
      <c r="J3" s="96" t="s">
        <v>112</v>
      </c>
      <c r="K3" s="96" t="s">
        <v>139</v>
      </c>
      <c r="L3" s="96" t="s">
        <v>10</v>
      </c>
      <c r="M3" s="2"/>
      <c r="N3" s="2"/>
      <c r="O3" s="2"/>
      <c r="P3" s="2"/>
      <c r="Q3" s="2"/>
    </row>
    <row r="4" spans="1:17" ht="22.5" customHeight="1" x14ac:dyDescent="0.2">
      <c r="A4" s="145"/>
      <c r="B4" s="96" t="s">
        <v>112</v>
      </c>
      <c r="C4" s="96" t="s">
        <v>139</v>
      </c>
      <c r="D4" s="96" t="s">
        <v>10</v>
      </c>
      <c r="E4" s="96" t="s">
        <v>112</v>
      </c>
      <c r="F4" s="96" t="s">
        <v>139</v>
      </c>
      <c r="G4" s="96" t="s">
        <v>10</v>
      </c>
      <c r="H4" s="5"/>
      <c r="I4" s="6" t="s">
        <v>128</v>
      </c>
      <c r="J4" s="4">
        <v>120</v>
      </c>
      <c r="K4" s="7">
        <f>J4*16</f>
        <v>1920</v>
      </c>
      <c r="L4" s="4" t="s">
        <v>123</v>
      </c>
      <c r="M4" s="2"/>
      <c r="N4" s="2"/>
      <c r="O4" s="2"/>
      <c r="P4" s="2"/>
      <c r="Q4" s="2"/>
    </row>
    <row r="5" spans="1:17" ht="15" customHeight="1" x14ac:dyDescent="0.2">
      <c r="A5" s="156" t="s">
        <v>117</v>
      </c>
      <c r="B5" s="156"/>
      <c r="C5" s="156"/>
      <c r="D5" s="156"/>
      <c r="E5" s="156"/>
      <c r="F5" s="156"/>
      <c r="G5" s="156"/>
      <c r="H5" s="2"/>
      <c r="I5" s="6" t="s">
        <v>127</v>
      </c>
      <c r="J5" s="4">
        <v>5.0000000000000001E-4</v>
      </c>
      <c r="K5" s="32">
        <f>J5*16</f>
        <v>8.0000000000000002E-3</v>
      </c>
      <c r="L5" s="4" t="s">
        <v>124</v>
      </c>
      <c r="M5" s="2"/>
      <c r="N5" s="2"/>
      <c r="O5" s="2"/>
      <c r="P5" s="2"/>
      <c r="Q5" s="2"/>
    </row>
    <row r="6" spans="1:17" ht="15" customHeight="1" x14ac:dyDescent="0.2">
      <c r="A6" s="6" t="s">
        <v>113</v>
      </c>
      <c r="B6" s="4">
        <v>280</v>
      </c>
      <c r="C6" s="7">
        <f>B6*16</f>
        <v>4480</v>
      </c>
      <c r="D6" s="4" t="s">
        <v>123</v>
      </c>
      <c r="E6" s="4">
        <v>84</v>
      </c>
      <c r="F6" s="7">
        <f>E6*16</f>
        <v>1344</v>
      </c>
      <c r="G6" s="4" t="s">
        <v>11</v>
      </c>
      <c r="H6" s="2"/>
      <c r="I6" s="6" t="s">
        <v>129</v>
      </c>
      <c r="J6" s="4">
        <v>2.2000000000000002</v>
      </c>
      <c r="K6" s="7">
        <f t="shared" ref="K6:K14" si="0">J6*16</f>
        <v>35.200000000000003</v>
      </c>
      <c r="L6" s="4" t="s">
        <v>12</v>
      </c>
      <c r="M6" s="2"/>
      <c r="N6" s="2"/>
      <c r="O6" s="2"/>
      <c r="P6" s="2"/>
      <c r="Q6" s="2"/>
    </row>
    <row r="7" spans="1:17" ht="15" customHeight="1" x14ac:dyDescent="0.2">
      <c r="A7" s="6" t="s">
        <v>114</v>
      </c>
      <c r="B7" s="4">
        <v>190</v>
      </c>
      <c r="C7" s="7">
        <f t="shared" ref="C7:C8" si="1">B7*16</f>
        <v>3040</v>
      </c>
      <c r="D7" s="4" t="s">
        <v>123</v>
      </c>
      <c r="E7" s="4">
        <v>84</v>
      </c>
      <c r="F7" s="7">
        <f t="shared" ref="F7:F9" si="2">E7*16</f>
        <v>1344</v>
      </c>
      <c r="G7" s="4" t="s">
        <v>11</v>
      </c>
      <c r="H7" s="2"/>
      <c r="I7" s="6" t="s">
        <v>130</v>
      </c>
      <c r="J7" s="4">
        <v>0.64</v>
      </c>
      <c r="K7" s="7">
        <f t="shared" si="0"/>
        <v>10.24</v>
      </c>
      <c r="L7" s="4" t="s">
        <v>12</v>
      </c>
      <c r="M7" s="2"/>
      <c r="N7" s="2"/>
      <c r="O7" s="2"/>
      <c r="P7" s="2"/>
      <c r="Q7" s="2"/>
    </row>
    <row r="8" spans="1:17" ht="15" customHeight="1" x14ac:dyDescent="0.2">
      <c r="A8" s="6" t="s">
        <v>115</v>
      </c>
      <c r="B8" s="4">
        <v>140</v>
      </c>
      <c r="C8" s="7">
        <f t="shared" si="1"/>
        <v>2240</v>
      </c>
      <c r="D8" s="4" t="s">
        <v>123</v>
      </c>
      <c r="E8" s="4">
        <v>84</v>
      </c>
      <c r="F8" s="7">
        <f t="shared" si="2"/>
        <v>1344</v>
      </c>
      <c r="G8" s="4" t="s">
        <v>11</v>
      </c>
      <c r="H8" s="2"/>
      <c r="I8" s="49" t="s">
        <v>131</v>
      </c>
      <c r="J8" s="50">
        <v>7.6</v>
      </c>
      <c r="K8" s="47">
        <f t="shared" si="0"/>
        <v>121.6</v>
      </c>
      <c r="L8" s="50" t="s">
        <v>124</v>
      </c>
      <c r="M8" s="2"/>
      <c r="N8" s="2"/>
      <c r="O8" s="2"/>
      <c r="P8" s="2"/>
      <c r="Q8" s="2"/>
    </row>
    <row r="9" spans="1:17" ht="15" customHeight="1" x14ac:dyDescent="0.2">
      <c r="A9" s="6" t="s">
        <v>116</v>
      </c>
      <c r="B9" s="4">
        <v>100</v>
      </c>
      <c r="C9" s="7">
        <f>B9*16</f>
        <v>1600</v>
      </c>
      <c r="D9" s="4" t="s">
        <v>124</v>
      </c>
      <c r="E9" s="4">
        <v>84</v>
      </c>
      <c r="F9" s="7">
        <f t="shared" si="2"/>
        <v>1344</v>
      </c>
      <c r="G9" s="4" t="s">
        <v>11</v>
      </c>
      <c r="H9" s="2"/>
      <c r="I9" s="6" t="s">
        <v>132</v>
      </c>
      <c r="J9" s="4">
        <v>5.7</v>
      </c>
      <c r="K9" s="7">
        <f t="shared" si="0"/>
        <v>91.2</v>
      </c>
      <c r="L9" s="4" t="s">
        <v>124</v>
      </c>
      <c r="M9" s="2"/>
      <c r="N9" s="2"/>
      <c r="O9" s="2"/>
      <c r="P9" s="2"/>
      <c r="Q9" s="2"/>
    </row>
    <row r="10" spans="1:17" ht="15" customHeight="1" x14ac:dyDescent="0.2">
      <c r="A10" s="156" t="s">
        <v>118</v>
      </c>
      <c r="B10" s="156"/>
      <c r="C10" s="156"/>
      <c r="D10" s="156"/>
      <c r="E10" s="156"/>
      <c r="F10" s="156"/>
      <c r="G10" s="156"/>
      <c r="H10" s="2"/>
      <c r="I10" s="6" t="s">
        <v>133</v>
      </c>
      <c r="J10" s="4">
        <v>1.9</v>
      </c>
      <c r="K10" s="7">
        <f t="shared" si="0"/>
        <v>30.4</v>
      </c>
      <c r="L10" s="4" t="s">
        <v>11</v>
      </c>
      <c r="M10" s="2"/>
      <c r="N10" s="2"/>
      <c r="O10" s="2"/>
      <c r="P10" s="2"/>
      <c r="Q10" s="2"/>
    </row>
    <row r="11" spans="1:17" ht="15" customHeight="1" x14ac:dyDescent="0.2">
      <c r="A11" s="6" t="s">
        <v>119</v>
      </c>
      <c r="B11" s="5">
        <v>100</v>
      </c>
      <c r="C11" s="7">
        <f t="shared" ref="C11:C18" si="3">B11*16</f>
        <v>1600</v>
      </c>
      <c r="D11" s="4" t="s">
        <v>11</v>
      </c>
      <c r="E11" s="4">
        <v>84</v>
      </c>
      <c r="F11" s="7">
        <f t="shared" ref="F11:F13" si="4">E11*16</f>
        <v>1344</v>
      </c>
      <c r="G11" s="4" t="s">
        <v>11</v>
      </c>
      <c r="H11" s="2"/>
      <c r="I11" s="49" t="s">
        <v>147</v>
      </c>
      <c r="J11" s="48">
        <v>0.6</v>
      </c>
      <c r="K11" s="47">
        <f t="shared" si="0"/>
        <v>9.6</v>
      </c>
      <c r="L11" s="50" t="s">
        <v>123</v>
      </c>
      <c r="M11" s="2"/>
      <c r="N11" s="2"/>
      <c r="O11" s="2"/>
      <c r="P11" s="2"/>
      <c r="Q11" s="2"/>
    </row>
    <row r="12" spans="1:17" ht="15" customHeight="1" x14ac:dyDescent="0.2">
      <c r="A12" s="49" t="s">
        <v>115</v>
      </c>
      <c r="B12" s="48">
        <v>50</v>
      </c>
      <c r="C12" s="47">
        <f t="shared" si="3"/>
        <v>800</v>
      </c>
      <c r="D12" s="50" t="s">
        <v>124</v>
      </c>
      <c r="E12" s="50">
        <v>84</v>
      </c>
      <c r="F12" s="47">
        <f t="shared" si="4"/>
        <v>1344</v>
      </c>
      <c r="G12" s="50" t="s">
        <v>11</v>
      </c>
      <c r="H12" s="2"/>
      <c r="I12" s="6" t="s">
        <v>134</v>
      </c>
      <c r="J12" s="5">
        <v>11</v>
      </c>
      <c r="K12" s="7">
        <f t="shared" si="0"/>
        <v>176</v>
      </c>
      <c r="L12" s="4" t="s">
        <v>11</v>
      </c>
      <c r="M12" s="2"/>
      <c r="N12" s="2"/>
      <c r="O12" s="2"/>
      <c r="P12" s="2"/>
      <c r="Q12" s="2"/>
    </row>
    <row r="13" spans="1:17" ht="15" customHeight="1" x14ac:dyDescent="0.2">
      <c r="A13" s="6" t="s">
        <v>120</v>
      </c>
      <c r="B13" s="5">
        <v>32</v>
      </c>
      <c r="C13" s="7">
        <f t="shared" si="3"/>
        <v>512</v>
      </c>
      <c r="D13" s="4" t="s">
        <v>125</v>
      </c>
      <c r="E13" s="4">
        <v>84</v>
      </c>
      <c r="F13" s="7">
        <f t="shared" si="4"/>
        <v>1344</v>
      </c>
      <c r="G13" s="4" t="s">
        <v>11</v>
      </c>
      <c r="H13" s="2"/>
      <c r="I13" s="2" t="s">
        <v>135</v>
      </c>
      <c r="J13" s="5">
        <v>2.2999999999999998</v>
      </c>
      <c r="K13" s="7">
        <f t="shared" si="0"/>
        <v>36.799999999999997</v>
      </c>
      <c r="L13" s="5" t="s">
        <v>11</v>
      </c>
      <c r="M13" s="2"/>
      <c r="N13" s="2"/>
      <c r="O13" s="2"/>
      <c r="P13" s="2"/>
      <c r="Q13" s="2"/>
    </row>
    <row r="14" spans="1:17" ht="15" customHeight="1" x14ac:dyDescent="0.2">
      <c r="A14" s="166" t="s">
        <v>121</v>
      </c>
      <c r="B14" s="166"/>
      <c r="C14" s="166"/>
      <c r="D14" s="166"/>
      <c r="E14" s="166"/>
      <c r="F14" s="166"/>
      <c r="G14" s="166"/>
      <c r="H14" s="2"/>
      <c r="I14" s="67" t="s">
        <v>136</v>
      </c>
      <c r="J14" s="48">
        <v>5.5</v>
      </c>
      <c r="K14" s="47">
        <f t="shared" si="0"/>
        <v>88</v>
      </c>
      <c r="L14" s="48" t="s">
        <v>125</v>
      </c>
      <c r="M14" s="2"/>
      <c r="N14" s="2"/>
      <c r="O14" s="2"/>
      <c r="P14" s="2"/>
      <c r="Q14" s="2"/>
    </row>
    <row r="15" spans="1:17" ht="15" customHeight="1" x14ac:dyDescent="0.2">
      <c r="A15" s="6" t="s">
        <v>119</v>
      </c>
      <c r="B15" s="5">
        <v>170</v>
      </c>
      <c r="C15" s="7">
        <f t="shared" si="3"/>
        <v>2720</v>
      </c>
      <c r="D15" s="4" t="s">
        <v>123</v>
      </c>
      <c r="E15" s="5">
        <v>24</v>
      </c>
      <c r="F15" s="7">
        <f t="shared" ref="F15:F16" si="5">E15*16</f>
        <v>384</v>
      </c>
      <c r="G15" s="4" t="s">
        <v>125</v>
      </c>
      <c r="H15" s="2"/>
      <c r="I15" s="138" t="s">
        <v>149</v>
      </c>
      <c r="J15" s="138"/>
      <c r="K15" s="138"/>
      <c r="L15" s="138"/>
      <c r="M15" s="2"/>
      <c r="N15" s="2"/>
      <c r="O15" s="2"/>
      <c r="P15" s="2"/>
      <c r="Q15" s="2"/>
    </row>
    <row r="16" spans="1:17" ht="15" customHeight="1" x14ac:dyDescent="0.2">
      <c r="A16" s="6" t="s">
        <v>116</v>
      </c>
      <c r="B16" s="5">
        <v>76</v>
      </c>
      <c r="C16" s="7">
        <f t="shared" si="3"/>
        <v>1216</v>
      </c>
      <c r="D16" s="4" t="s">
        <v>124</v>
      </c>
      <c r="E16" s="5">
        <v>98</v>
      </c>
      <c r="F16" s="7">
        <f t="shared" si="5"/>
        <v>1568</v>
      </c>
      <c r="G16" s="4" t="s">
        <v>124</v>
      </c>
      <c r="H16" s="2"/>
      <c r="I16" s="138"/>
      <c r="J16" s="138"/>
      <c r="K16" s="138"/>
      <c r="L16" s="138"/>
      <c r="M16" s="2"/>
      <c r="N16" s="2"/>
      <c r="O16" s="2"/>
      <c r="P16" s="2"/>
      <c r="Q16" s="2"/>
    </row>
    <row r="17" spans="1:17" ht="15" customHeight="1" x14ac:dyDescent="0.2">
      <c r="A17" s="166" t="s">
        <v>122</v>
      </c>
      <c r="B17" s="166"/>
      <c r="C17" s="166"/>
      <c r="D17" s="166"/>
      <c r="E17" s="166"/>
      <c r="F17" s="166"/>
      <c r="G17" s="166"/>
      <c r="H17" s="2"/>
      <c r="I17" s="138"/>
      <c r="J17" s="138"/>
      <c r="K17" s="138"/>
      <c r="L17" s="138"/>
      <c r="M17" s="2"/>
      <c r="N17" s="2"/>
      <c r="O17" s="2"/>
      <c r="P17" s="2"/>
      <c r="Q17" s="2"/>
    </row>
    <row r="18" spans="1:17" ht="15" customHeight="1" x14ac:dyDescent="0.2">
      <c r="A18" s="6" t="s">
        <v>119</v>
      </c>
      <c r="B18" s="5">
        <v>94</v>
      </c>
      <c r="C18" s="7">
        <f t="shared" si="3"/>
        <v>1504</v>
      </c>
      <c r="D18" s="4" t="s">
        <v>11</v>
      </c>
      <c r="E18" s="5">
        <v>40</v>
      </c>
      <c r="F18" s="7">
        <f>E18*16</f>
        <v>640</v>
      </c>
      <c r="G18" s="4" t="s">
        <v>11</v>
      </c>
      <c r="H18" s="2"/>
      <c r="I18" s="51"/>
      <c r="J18" s="51"/>
      <c r="K18" s="51"/>
      <c r="L18" s="51"/>
      <c r="M18" s="2"/>
      <c r="N18" s="2"/>
      <c r="O18" s="2"/>
      <c r="P18" s="2"/>
      <c r="Q18" s="2"/>
    </row>
    <row r="19" spans="1:17" ht="15" customHeight="1" x14ac:dyDescent="0.2">
      <c r="A19" s="138" t="s">
        <v>138</v>
      </c>
      <c r="B19" s="138"/>
      <c r="C19" s="138"/>
      <c r="D19" s="138"/>
      <c r="E19" s="138"/>
      <c r="F19" s="138"/>
      <c r="G19" s="138"/>
      <c r="H19" s="2"/>
      <c r="I19" s="51"/>
      <c r="J19" s="51"/>
      <c r="K19" s="51"/>
      <c r="L19" s="51"/>
      <c r="M19" s="2"/>
      <c r="N19" s="2"/>
      <c r="O19" s="2"/>
      <c r="P19" s="2"/>
      <c r="Q19" s="2"/>
    </row>
    <row r="20" spans="1:17" ht="15" customHeight="1" x14ac:dyDescent="0.2">
      <c r="A20" s="138"/>
      <c r="B20" s="138"/>
      <c r="C20" s="138"/>
      <c r="D20" s="138"/>
      <c r="E20" s="138"/>
      <c r="F20" s="138"/>
      <c r="G20" s="138"/>
      <c r="H20" s="2"/>
      <c r="I20" s="2"/>
      <c r="J20" s="2"/>
      <c r="K20" s="2"/>
      <c r="L20" s="2"/>
      <c r="M20" s="2"/>
      <c r="N20" s="2"/>
      <c r="O20" s="2"/>
      <c r="P20" s="2"/>
      <c r="Q20" s="2"/>
    </row>
    <row r="21" spans="1:17" ht="15" customHeight="1" x14ac:dyDescent="0.2">
      <c r="A21" s="2"/>
      <c r="B21" s="2"/>
      <c r="C21" s="2"/>
      <c r="D21" s="2"/>
      <c r="E21" s="2"/>
      <c r="F21" s="2"/>
      <c r="G21" s="2"/>
      <c r="H21" s="2"/>
      <c r="I21" s="2"/>
      <c r="J21" s="2"/>
      <c r="K21" s="2"/>
      <c r="L21" s="2"/>
      <c r="M21" s="2"/>
      <c r="N21" s="2"/>
      <c r="O21" s="2"/>
      <c r="P21" s="2"/>
      <c r="Q21" s="2"/>
    </row>
    <row r="22" spans="1:17" ht="15" customHeight="1" x14ac:dyDescent="0.2">
      <c r="A22" s="2"/>
      <c r="B22" s="2"/>
      <c r="C22" s="2"/>
      <c r="D22" s="2"/>
      <c r="E22" s="2"/>
      <c r="F22" s="2"/>
      <c r="G22" s="2"/>
      <c r="H22" s="2"/>
      <c r="I22" s="2"/>
      <c r="J22" s="2"/>
      <c r="K22" s="2"/>
      <c r="L22" s="2"/>
      <c r="M22" s="2"/>
      <c r="N22" s="2"/>
      <c r="O22" s="2"/>
      <c r="P22" s="2"/>
      <c r="Q22" s="2"/>
    </row>
    <row r="23" spans="1:17" ht="15" customHeight="1" x14ac:dyDescent="0.2">
      <c r="A23" s="2" t="s">
        <v>275</v>
      </c>
      <c r="B23" s="2"/>
      <c r="C23" s="2"/>
      <c r="D23" s="2"/>
      <c r="E23" s="2"/>
      <c r="F23" s="2"/>
      <c r="G23" s="2"/>
      <c r="H23" s="2"/>
      <c r="I23" s="2"/>
      <c r="J23" s="2"/>
      <c r="K23" s="2"/>
      <c r="L23" s="2"/>
      <c r="M23" s="2"/>
      <c r="N23" s="2"/>
      <c r="O23" s="2"/>
      <c r="P23" s="2"/>
      <c r="Q23" s="2"/>
    </row>
    <row r="24" spans="1:17" ht="15" customHeight="1" x14ac:dyDescent="0.2">
      <c r="A24" s="153" t="s">
        <v>154</v>
      </c>
      <c r="B24" s="153"/>
      <c r="C24" s="153"/>
      <c r="D24" s="153"/>
      <c r="E24" s="153"/>
      <c r="F24" s="153"/>
      <c r="G24" s="153"/>
      <c r="H24" s="153"/>
      <c r="I24" s="153"/>
      <c r="J24" s="153"/>
      <c r="K24" s="153"/>
      <c r="L24" s="153"/>
      <c r="M24" s="153"/>
      <c r="N24" s="153"/>
      <c r="O24" s="2"/>
      <c r="P24" s="2"/>
      <c r="Q24" s="2"/>
    </row>
    <row r="25" spans="1:17" ht="15" customHeight="1" x14ac:dyDescent="0.2">
      <c r="A25" s="143" t="s">
        <v>155</v>
      </c>
      <c r="B25" s="151" t="s">
        <v>156</v>
      </c>
      <c r="C25" s="154"/>
      <c r="D25" s="146" t="s">
        <v>157</v>
      </c>
      <c r="E25" s="147"/>
      <c r="F25" s="146" t="s">
        <v>158</v>
      </c>
      <c r="G25" s="148"/>
      <c r="H25" s="147"/>
      <c r="I25" s="146" t="s">
        <v>107</v>
      </c>
      <c r="J25" s="148"/>
      <c r="K25" s="147"/>
      <c r="L25" s="146" t="s">
        <v>159</v>
      </c>
      <c r="M25" s="148"/>
      <c r="N25" s="147"/>
      <c r="O25" s="2"/>
      <c r="P25" s="2"/>
      <c r="Q25" s="2"/>
    </row>
    <row r="26" spans="1:17" ht="33.75" x14ac:dyDescent="0.2">
      <c r="A26" s="145"/>
      <c r="B26" s="96" t="s">
        <v>160</v>
      </c>
      <c r="C26" s="96" t="s">
        <v>161</v>
      </c>
      <c r="D26" s="96" t="s">
        <v>160</v>
      </c>
      <c r="E26" s="96" t="s">
        <v>161</v>
      </c>
      <c r="F26" s="96" t="s">
        <v>160</v>
      </c>
      <c r="G26" s="96" t="s">
        <v>162</v>
      </c>
      <c r="H26" s="96" t="s">
        <v>161</v>
      </c>
      <c r="I26" s="96" t="s">
        <v>160</v>
      </c>
      <c r="J26" s="96" t="s">
        <v>162</v>
      </c>
      <c r="K26" s="96" t="s">
        <v>161</v>
      </c>
      <c r="L26" s="96" t="s">
        <v>160</v>
      </c>
      <c r="M26" s="96" t="s">
        <v>162</v>
      </c>
      <c r="N26" s="96" t="s">
        <v>161</v>
      </c>
      <c r="O26" s="2"/>
      <c r="P26" s="2"/>
      <c r="Q26" s="2"/>
    </row>
    <row r="27" spans="1:17" ht="15" customHeight="1" x14ac:dyDescent="0.2">
      <c r="A27" s="167" t="s">
        <v>163</v>
      </c>
      <c r="B27" s="168"/>
      <c r="C27" s="168"/>
      <c r="D27" s="168"/>
      <c r="E27" s="168"/>
      <c r="F27" s="168"/>
      <c r="G27" s="168"/>
      <c r="H27" s="168"/>
      <c r="I27" s="168"/>
      <c r="J27" s="168"/>
      <c r="K27" s="168"/>
      <c r="L27" s="168"/>
      <c r="M27" s="168"/>
      <c r="N27" s="169"/>
      <c r="O27" s="2"/>
      <c r="P27" s="2"/>
      <c r="Q27" s="2"/>
    </row>
    <row r="28" spans="1:17" ht="15" customHeight="1" x14ac:dyDescent="0.2">
      <c r="A28" s="6" t="s">
        <v>164</v>
      </c>
      <c r="B28" s="4" t="s">
        <v>165</v>
      </c>
      <c r="C28" s="55" t="s">
        <v>123</v>
      </c>
      <c r="D28" s="55" t="s">
        <v>166</v>
      </c>
      <c r="E28" s="4" t="s">
        <v>125</v>
      </c>
      <c r="F28" s="8">
        <v>47</v>
      </c>
      <c r="G28" s="8">
        <f>F28*0.12</f>
        <v>5.64</v>
      </c>
      <c r="H28" s="55" t="s">
        <v>123</v>
      </c>
      <c r="I28" s="4">
        <v>5</v>
      </c>
      <c r="J28" s="4">
        <f>I28*0.12</f>
        <v>0.6</v>
      </c>
      <c r="K28" s="55" t="s">
        <v>123</v>
      </c>
      <c r="L28" s="55" t="s">
        <v>167</v>
      </c>
      <c r="M28" s="55"/>
      <c r="N28" s="4" t="s">
        <v>123</v>
      </c>
      <c r="O28" s="2"/>
      <c r="P28" s="2"/>
      <c r="Q28" s="2"/>
    </row>
    <row r="29" spans="1:17" ht="15" customHeight="1" x14ac:dyDescent="0.2">
      <c r="A29" s="6" t="s">
        <v>168</v>
      </c>
      <c r="B29" s="4" t="s">
        <v>165</v>
      </c>
      <c r="C29" s="55" t="s">
        <v>123</v>
      </c>
      <c r="D29" s="55" t="s">
        <v>166</v>
      </c>
      <c r="E29" s="4" t="s">
        <v>125</v>
      </c>
      <c r="F29" s="8">
        <v>40</v>
      </c>
      <c r="G29" s="8">
        <f t="shared" ref="G29:G36" si="6">F29*0.12</f>
        <v>4.8</v>
      </c>
      <c r="H29" s="55" t="s">
        <v>11</v>
      </c>
      <c r="I29" s="4">
        <v>5</v>
      </c>
      <c r="J29" s="4">
        <f t="shared" ref="J29:J43" si="7">I29*0.12</f>
        <v>0.6</v>
      </c>
      <c r="K29" s="55" t="s">
        <v>123</v>
      </c>
      <c r="L29" s="55" t="s">
        <v>167</v>
      </c>
      <c r="M29" s="55"/>
      <c r="N29" s="4" t="s">
        <v>123</v>
      </c>
      <c r="O29" s="2"/>
      <c r="P29" s="2"/>
      <c r="Q29" s="2"/>
    </row>
    <row r="30" spans="1:17" ht="15" customHeight="1" x14ac:dyDescent="0.2">
      <c r="A30" s="6" t="s">
        <v>169</v>
      </c>
      <c r="B30" s="4" t="s">
        <v>165</v>
      </c>
      <c r="C30" s="55" t="s">
        <v>123</v>
      </c>
      <c r="D30" s="55" t="s">
        <v>166</v>
      </c>
      <c r="E30" s="4" t="s">
        <v>125</v>
      </c>
      <c r="F30" s="8">
        <v>32</v>
      </c>
      <c r="G30" s="8">
        <f t="shared" si="6"/>
        <v>3.84</v>
      </c>
      <c r="H30" s="55" t="s">
        <v>123</v>
      </c>
      <c r="I30" s="4">
        <v>5</v>
      </c>
      <c r="J30" s="4">
        <f t="shared" si="7"/>
        <v>0.6</v>
      </c>
      <c r="K30" s="55" t="s">
        <v>123</v>
      </c>
      <c r="L30" s="55" t="s">
        <v>167</v>
      </c>
      <c r="M30" s="55"/>
      <c r="N30" s="4" t="s">
        <v>123</v>
      </c>
      <c r="O30" s="2"/>
      <c r="P30" s="2"/>
      <c r="Q30" s="2"/>
    </row>
    <row r="31" spans="1:17" ht="15" customHeight="1" x14ac:dyDescent="0.2">
      <c r="A31" s="6" t="s">
        <v>170</v>
      </c>
      <c r="B31" s="4" t="s">
        <v>165</v>
      </c>
      <c r="C31" s="55" t="s">
        <v>123</v>
      </c>
      <c r="D31" s="55" t="s">
        <v>166</v>
      </c>
      <c r="E31" s="4" t="s">
        <v>125</v>
      </c>
      <c r="F31" s="8">
        <v>26</v>
      </c>
      <c r="G31" s="8">
        <f t="shared" si="6"/>
        <v>3.12</v>
      </c>
      <c r="H31" s="55" t="s">
        <v>12</v>
      </c>
      <c r="I31" s="4">
        <v>5</v>
      </c>
      <c r="J31" s="4">
        <f t="shared" si="7"/>
        <v>0.6</v>
      </c>
      <c r="K31" s="55" t="s">
        <v>123</v>
      </c>
      <c r="L31" s="55" t="s">
        <v>167</v>
      </c>
      <c r="M31" s="55"/>
      <c r="N31" s="4" t="s">
        <v>123</v>
      </c>
      <c r="O31" s="2"/>
      <c r="P31" s="2"/>
      <c r="Q31" s="2"/>
    </row>
    <row r="32" spans="1:17" ht="15" customHeight="1" x14ac:dyDescent="0.2">
      <c r="A32" s="6" t="s">
        <v>171</v>
      </c>
      <c r="B32" s="4" t="s">
        <v>165</v>
      </c>
      <c r="C32" s="55" t="s">
        <v>123</v>
      </c>
      <c r="D32" s="55" t="s">
        <v>166</v>
      </c>
      <c r="E32" s="4" t="s">
        <v>125</v>
      </c>
      <c r="F32" s="8">
        <v>47</v>
      </c>
      <c r="G32" s="8">
        <f t="shared" si="6"/>
        <v>5.64</v>
      </c>
      <c r="H32" s="55" t="s">
        <v>11</v>
      </c>
      <c r="I32" s="4">
        <v>5</v>
      </c>
      <c r="J32" s="4">
        <f t="shared" si="7"/>
        <v>0.6</v>
      </c>
      <c r="K32" s="55" t="s">
        <v>123</v>
      </c>
      <c r="L32" s="8">
        <v>10</v>
      </c>
      <c r="M32" s="56">
        <f>L32*0.12</f>
        <v>1.2</v>
      </c>
      <c r="N32" s="4" t="s">
        <v>11</v>
      </c>
      <c r="O32" s="2"/>
      <c r="P32" s="2"/>
      <c r="Q32" s="2"/>
    </row>
    <row r="33" spans="1:17" ht="15" customHeight="1" x14ac:dyDescent="0.2">
      <c r="A33" s="6" t="s">
        <v>172</v>
      </c>
      <c r="B33" s="4" t="s">
        <v>165</v>
      </c>
      <c r="C33" s="55" t="s">
        <v>123</v>
      </c>
      <c r="D33" s="55" t="s">
        <v>166</v>
      </c>
      <c r="E33" s="4" t="s">
        <v>125</v>
      </c>
      <c r="F33" s="8">
        <v>32</v>
      </c>
      <c r="G33" s="8">
        <f t="shared" si="6"/>
        <v>3.84</v>
      </c>
      <c r="H33" s="55" t="s">
        <v>11</v>
      </c>
      <c r="I33" s="4">
        <v>5</v>
      </c>
      <c r="J33" s="4">
        <f t="shared" si="7"/>
        <v>0.6</v>
      </c>
      <c r="K33" s="55" t="s">
        <v>123</v>
      </c>
      <c r="L33" s="8">
        <v>10</v>
      </c>
      <c r="M33" s="56">
        <f t="shared" ref="M33:M37" si="8">L33*0.12</f>
        <v>1.2</v>
      </c>
      <c r="N33" s="4" t="s">
        <v>11</v>
      </c>
      <c r="O33" s="2"/>
      <c r="P33" s="2"/>
      <c r="Q33" s="2"/>
    </row>
    <row r="34" spans="1:17" ht="15" customHeight="1" x14ac:dyDescent="0.2">
      <c r="A34" s="6" t="s">
        <v>173</v>
      </c>
      <c r="B34" s="4" t="s">
        <v>174</v>
      </c>
      <c r="C34" s="55" t="s">
        <v>123</v>
      </c>
      <c r="D34" s="55" t="s">
        <v>166</v>
      </c>
      <c r="E34" s="4" t="s">
        <v>125</v>
      </c>
      <c r="F34" s="8">
        <v>47</v>
      </c>
      <c r="G34" s="8">
        <f t="shared" si="6"/>
        <v>5.64</v>
      </c>
      <c r="H34" s="55" t="s">
        <v>11</v>
      </c>
      <c r="I34" s="4">
        <v>5</v>
      </c>
      <c r="J34" s="4">
        <f t="shared" si="7"/>
        <v>0.6</v>
      </c>
      <c r="K34" s="55" t="s">
        <v>123</v>
      </c>
      <c r="L34" s="8">
        <v>7</v>
      </c>
      <c r="M34" s="56">
        <f t="shared" si="8"/>
        <v>0.84</v>
      </c>
      <c r="N34" s="4" t="s">
        <v>11</v>
      </c>
      <c r="O34" s="2"/>
      <c r="P34" s="2"/>
      <c r="Q34" s="2"/>
    </row>
    <row r="35" spans="1:17" ht="15" customHeight="1" x14ac:dyDescent="0.2">
      <c r="A35" s="6" t="s">
        <v>175</v>
      </c>
      <c r="B35" s="4" t="s">
        <v>174</v>
      </c>
      <c r="C35" s="55" t="s">
        <v>123</v>
      </c>
      <c r="D35" s="55" t="s">
        <v>166</v>
      </c>
      <c r="E35" s="4" t="s">
        <v>125</v>
      </c>
      <c r="F35" s="8">
        <v>32</v>
      </c>
      <c r="G35" s="8">
        <f t="shared" si="6"/>
        <v>3.84</v>
      </c>
      <c r="H35" s="55" t="s">
        <v>11</v>
      </c>
      <c r="I35" s="4">
        <v>5</v>
      </c>
      <c r="J35" s="4">
        <f t="shared" si="7"/>
        <v>0.6</v>
      </c>
      <c r="K35" s="55" t="s">
        <v>123</v>
      </c>
      <c r="L35" s="8">
        <v>7</v>
      </c>
      <c r="M35" s="56">
        <f t="shared" si="8"/>
        <v>0.84</v>
      </c>
      <c r="N35" s="4" t="s">
        <v>11</v>
      </c>
      <c r="O35" s="2"/>
      <c r="P35" s="2"/>
      <c r="Q35" s="2"/>
    </row>
    <row r="36" spans="1:17" ht="15" customHeight="1" x14ac:dyDescent="0.2">
      <c r="A36" s="6" t="s">
        <v>176</v>
      </c>
      <c r="B36" s="4" t="s">
        <v>177</v>
      </c>
      <c r="C36" s="55" t="s">
        <v>123</v>
      </c>
      <c r="D36" s="55" t="s">
        <v>166</v>
      </c>
      <c r="E36" s="4" t="s">
        <v>125</v>
      </c>
      <c r="F36" s="8">
        <v>24</v>
      </c>
      <c r="G36" s="8">
        <f t="shared" si="6"/>
        <v>2.88</v>
      </c>
      <c r="H36" s="55" t="s">
        <v>124</v>
      </c>
      <c r="I36" s="4">
        <v>5</v>
      </c>
      <c r="J36" s="4">
        <f t="shared" si="7"/>
        <v>0.6</v>
      </c>
      <c r="K36" s="55" t="s">
        <v>123</v>
      </c>
      <c r="L36" s="8">
        <v>2</v>
      </c>
      <c r="M36" s="56">
        <f t="shared" si="8"/>
        <v>0.24</v>
      </c>
      <c r="N36" s="4" t="s">
        <v>123</v>
      </c>
      <c r="O36" s="2"/>
      <c r="P36" s="2"/>
      <c r="Q36" s="2"/>
    </row>
    <row r="37" spans="1:17" ht="15" customHeight="1" x14ac:dyDescent="0.2">
      <c r="A37" s="6" t="s">
        <v>178</v>
      </c>
      <c r="B37" s="5" t="s">
        <v>177</v>
      </c>
      <c r="C37" s="55" t="s">
        <v>123</v>
      </c>
      <c r="D37" s="55" t="s">
        <v>166</v>
      </c>
      <c r="E37" s="5" t="s">
        <v>123</v>
      </c>
      <c r="F37" s="57">
        <v>10</v>
      </c>
      <c r="G37" s="8">
        <f>F37*0.12</f>
        <v>1.2</v>
      </c>
      <c r="H37" s="5" t="s">
        <v>124</v>
      </c>
      <c r="I37" s="4">
        <v>5</v>
      </c>
      <c r="J37" s="4">
        <f t="shared" si="7"/>
        <v>0.6</v>
      </c>
      <c r="K37" s="55" t="s">
        <v>123</v>
      </c>
      <c r="L37" s="57">
        <v>2</v>
      </c>
      <c r="M37" s="56">
        <f t="shared" si="8"/>
        <v>0.24</v>
      </c>
      <c r="N37" s="5" t="s">
        <v>123</v>
      </c>
      <c r="O37" s="2"/>
      <c r="P37" s="2"/>
      <c r="Q37" s="2"/>
    </row>
    <row r="38" spans="1:17" ht="15" customHeight="1" x14ac:dyDescent="0.2">
      <c r="A38" s="167" t="s">
        <v>179</v>
      </c>
      <c r="B38" s="168"/>
      <c r="C38" s="168"/>
      <c r="D38" s="168"/>
      <c r="E38" s="168"/>
      <c r="F38" s="168"/>
      <c r="G38" s="168"/>
      <c r="H38" s="168"/>
      <c r="I38" s="168"/>
      <c r="J38" s="168"/>
      <c r="K38" s="168"/>
      <c r="L38" s="168"/>
      <c r="M38" s="168"/>
      <c r="N38" s="169"/>
      <c r="O38" s="2"/>
      <c r="P38" s="2"/>
      <c r="Q38" s="2"/>
    </row>
    <row r="39" spans="1:17" ht="15" customHeight="1" x14ac:dyDescent="0.2">
      <c r="A39" s="6" t="s">
        <v>180</v>
      </c>
      <c r="B39" s="4" t="s">
        <v>165</v>
      </c>
      <c r="C39" s="55" t="s">
        <v>123</v>
      </c>
      <c r="D39" s="5" t="s">
        <v>181</v>
      </c>
      <c r="E39" s="5" t="s">
        <v>123</v>
      </c>
      <c r="F39" s="5">
        <v>55</v>
      </c>
      <c r="G39" s="8">
        <f t="shared" ref="G39:G43" si="9">F39*0.12</f>
        <v>6.6</v>
      </c>
      <c r="H39" s="5" t="s">
        <v>123</v>
      </c>
      <c r="I39" s="4">
        <v>5</v>
      </c>
      <c r="J39" s="4">
        <f t="shared" si="7"/>
        <v>0.6</v>
      </c>
      <c r="K39" s="55" t="s">
        <v>123</v>
      </c>
      <c r="L39" s="55" t="s">
        <v>167</v>
      </c>
      <c r="M39" s="55"/>
      <c r="N39" s="4" t="s">
        <v>11</v>
      </c>
      <c r="O39" s="2"/>
      <c r="P39" s="2"/>
      <c r="Q39" s="2"/>
    </row>
    <row r="40" spans="1:17" ht="15" customHeight="1" x14ac:dyDescent="0.2">
      <c r="A40" s="6" t="s">
        <v>182</v>
      </c>
      <c r="B40" s="4" t="s">
        <v>165</v>
      </c>
      <c r="C40" s="55" t="s">
        <v>123</v>
      </c>
      <c r="D40" s="5" t="s">
        <v>181</v>
      </c>
      <c r="E40" s="5" t="s">
        <v>123</v>
      </c>
      <c r="F40" s="5">
        <v>55</v>
      </c>
      <c r="G40" s="8">
        <f t="shared" si="9"/>
        <v>6.6</v>
      </c>
      <c r="H40" s="5" t="s">
        <v>123</v>
      </c>
      <c r="I40" s="4">
        <v>5</v>
      </c>
      <c r="J40" s="4">
        <f t="shared" si="7"/>
        <v>0.6</v>
      </c>
      <c r="K40" s="55" t="s">
        <v>123</v>
      </c>
      <c r="L40" s="5">
        <v>10</v>
      </c>
      <c r="M40" s="56">
        <f t="shared" ref="M40:M43" si="10">L40*0.12</f>
        <v>1.2</v>
      </c>
      <c r="N40" s="5" t="s">
        <v>123</v>
      </c>
      <c r="O40" s="2"/>
      <c r="P40" s="2"/>
      <c r="Q40" s="2"/>
    </row>
    <row r="41" spans="1:17" ht="15" customHeight="1" x14ac:dyDescent="0.2">
      <c r="A41" s="6" t="s">
        <v>183</v>
      </c>
      <c r="B41" s="4" t="s">
        <v>174</v>
      </c>
      <c r="C41" s="55" t="s">
        <v>123</v>
      </c>
      <c r="D41" s="5" t="s">
        <v>181</v>
      </c>
      <c r="E41" s="5" t="s">
        <v>123</v>
      </c>
      <c r="F41" s="5">
        <v>20</v>
      </c>
      <c r="G41" s="8">
        <f t="shared" si="9"/>
        <v>2.4</v>
      </c>
      <c r="H41" s="5" t="s">
        <v>123</v>
      </c>
      <c r="I41" s="4">
        <v>5</v>
      </c>
      <c r="J41" s="4">
        <f t="shared" si="7"/>
        <v>0.6</v>
      </c>
      <c r="K41" s="55" t="s">
        <v>123</v>
      </c>
      <c r="L41" s="5">
        <v>7</v>
      </c>
      <c r="M41" s="56">
        <f t="shared" si="10"/>
        <v>0.84</v>
      </c>
      <c r="N41" s="5" t="s">
        <v>11</v>
      </c>
      <c r="O41" s="2"/>
      <c r="P41" s="2"/>
      <c r="Q41" s="2"/>
    </row>
    <row r="42" spans="1:17" ht="15" customHeight="1" x14ac:dyDescent="0.2">
      <c r="A42" s="67" t="s">
        <v>184</v>
      </c>
      <c r="B42" s="48" t="s">
        <v>177</v>
      </c>
      <c r="C42" s="58" t="s">
        <v>123</v>
      </c>
      <c r="D42" s="5" t="s">
        <v>181</v>
      </c>
      <c r="E42" s="5" t="s">
        <v>123</v>
      </c>
      <c r="F42" s="48">
        <v>20</v>
      </c>
      <c r="G42" s="59">
        <f t="shared" si="9"/>
        <v>2.4</v>
      </c>
      <c r="H42" s="48" t="s">
        <v>123</v>
      </c>
      <c r="I42" s="50">
        <v>5</v>
      </c>
      <c r="J42" s="50">
        <f t="shared" si="7"/>
        <v>0.6</v>
      </c>
      <c r="K42" s="58" t="s">
        <v>123</v>
      </c>
      <c r="L42" s="5">
        <v>2</v>
      </c>
      <c r="M42" s="56">
        <f t="shared" si="10"/>
        <v>0.24</v>
      </c>
      <c r="N42" s="5" t="s">
        <v>123</v>
      </c>
      <c r="O42" s="2"/>
      <c r="P42" s="2"/>
      <c r="Q42" s="2"/>
    </row>
    <row r="43" spans="1:17" ht="15" customHeight="1" x14ac:dyDescent="0.2">
      <c r="A43" s="2" t="s">
        <v>185</v>
      </c>
      <c r="B43" s="5" t="s">
        <v>177</v>
      </c>
      <c r="C43" s="55" t="s">
        <v>123</v>
      </c>
      <c r="D43" s="5" t="s">
        <v>181</v>
      </c>
      <c r="E43" s="5" t="s">
        <v>123</v>
      </c>
      <c r="F43" s="5">
        <v>18</v>
      </c>
      <c r="G43" s="8">
        <f t="shared" si="9"/>
        <v>2.16</v>
      </c>
      <c r="H43" s="5" t="s">
        <v>123</v>
      </c>
      <c r="I43" s="4">
        <v>5</v>
      </c>
      <c r="J43" s="4">
        <f t="shared" si="7"/>
        <v>0.6</v>
      </c>
      <c r="K43" s="55" t="s">
        <v>123</v>
      </c>
      <c r="L43" s="5">
        <v>0.4</v>
      </c>
      <c r="M43" s="56">
        <f t="shared" si="10"/>
        <v>4.8000000000000001E-2</v>
      </c>
      <c r="N43" s="5" t="s">
        <v>11</v>
      </c>
      <c r="O43" s="2"/>
      <c r="P43" s="2"/>
      <c r="Q43" s="2"/>
    </row>
    <row r="44" spans="1:17" ht="15" customHeight="1" x14ac:dyDescent="0.2">
      <c r="A44" s="138" t="s">
        <v>186</v>
      </c>
      <c r="B44" s="138"/>
      <c r="C44" s="138"/>
      <c r="D44" s="138"/>
      <c r="E44" s="138"/>
      <c r="F44" s="138"/>
      <c r="G44" s="138"/>
      <c r="H44" s="138"/>
      <c r="I44" s="138"/>
      <c r="J44" s="138"/>
      <c r="K44" s="138"/>
      <c r="L44" s="138"/>
      <c r="M44" s="138"/>
      <c r="N44" s="138"/>
      <c r="O44" s="2"/>
      <c r="P44" s="2"/>
      <c r="Q44" s="2"/>
    </row>
    <row r="45" spans="1:17" ht="15" customHeight="1" x14ac:dyDescent="0.2">
      <c r="A45" s="138"/>
      <c r="B45" s="138"/>
      <c r="C45" s="138"/>
      <c r="D45" s="138"/>
      <c r="E45" s="138"/>
      <c r="F45" s="138"/>
      <c r="G45" s="138"/>
      <c r="H45" s="138"/>
      <c r="I45" s="138"/>
      <c r="J45" s="138"/>
      <c r="K45" s="138"/>
      <c r="L45" s="138"/>
      <c r="M45" s="138"/>
      <c r="N45" s="138"/>
      <c r="O45" s="2"/>
      <c r="P45" s="2"/>
      <c r="Q45" s="2"/>
    </row>
    <row r="46" spans="1:17" ht="15" customHeight="1" x14ac:dyDescent="0.2">
      <c r="A46" s="2"/>
      <c r="B46" s="2"/>
      <c r="C46" s="2"/>
      <c r="D46" s="2"/>
      <c r="E46" s="2"/>
      <c r="F46" s="2"/>
      <c r="G46" s="2"/>
      <c r="H46" s="2"/>
      <c r="I46" s="2"/>
      <c r="J46" s="2"/>
      <c r="K46" s="2"/>
      <c r="L46" s="2"/>
      <c r="M46" s="2"/>
      <c r="N46" s="2"/>
      <c r="O46" s="2"/>
      <c r="P46" s="2"/>
      <c r="Q46" s="2"/>
    </row>
    <row r="47" spans="1:17" ht="15" customHeight="1" x14ac:dyDescent="0.2">
      <c r="A47" s="136" t="s">
        <v>187</v>
      </c>
      <c r="B47" s="137"/>
      <c r="C47" s="137"/>
      <c r="D47" s="137"/>
      <c r="E47" s="137"/>
      <c r="F47" s="137"/>
      <c r="G47" s="137"/>
      <c r="H47" s="137"/>
      <c r="I47" s="137"/>
      <c r="J47" s="2"/>
      <c r="K47" s="2"/>
      <c r="L47" s="2"/>
      <c r="M47" s="2"/>
      <c r="N47" s="2"/>
      <c r="O47" s="2"/>
      <c r="P47" s="2"/>
      <c r="Q47" s="2"/>
    </row>
    <row r="48" spans="1:17" ht="15" customHeight="1" x14ac:dyDescent="0.2">
      <c r="A48" s="143" t="s">
        <v>155</v>
      </c>
      <c r="B48" s="143" t="s">
        <v>188</v>
      </c>
      <c r="C48" s="151" t="s">
        <v>189</v>
      </c>
      <c r="D48" s="152"/>
      <c r="E48" s="152"/>
      <c r="F48" s="148" t="s">
        <v>190</v>
      </c>
      <c r="G48" s="148"/>
      <c r="H48" s="148" t="s">
        <v>191</v>
      </c>
      <c r="I48" s="148"/>
      <c r="J48" s="2"/>
      <c r="K48" s="104"/>
      <c r="L48" s="2"/>
      <c r="M48" s="2"/>
      <c r="N48" s="2"/>
      <c r="O48" s="2"/>
      <c r="P48" s="2"/>
      <c r="Q48" s="2"/>
    </row>
    <row r="49" spans="1:17" ht="33.75" x14ac:dyDescent="0.2">
      <c r="A49" s="145"/>
      <c r="B49" s="145"/>
      <c r="C49" s="96" t="s">
        <v>160</v>
      </c>
      <c r="D49" s="96" t="s">
        <v>162</v>
      </c>
      <c r="E49" s="96" t="s">
        <v>161</v>
      </c>
      <c r="F49" s="96" t="s">
        <v>160</v>
      </c>
      <c r="G49" s="96" t="s">
        <v>161</v>
      </c>
      <c r="H49" s="96" t="s">
        <v>160</v>
      </c>
      <c r="I49" s="96" t="s">
        <v>161</v>
      </c>
      <c r="J49" s="2"/>
      <c r="K49" s="2"/>
      <c r="L49" s="2"/>
      <c r="M49" s="2"/>
      <c r="N49" s="2"/>
      <c r="O49" s="2"/>
      <c r="P49" s="2"/>
      <c r="Q49" s="2"/>
    </row>
    <row r="50" spans="1:17" ht="45" x14ac:dyDescent="0.2">
      <c r="A50" s="6" t="s">
        <v>176</v>
      </c>
      <c r="B50" s="51" t="s">
        <v>192</v>
      </c>
      <c r="C50" s="5">
        <v>1.3</v>
      </c>
      <c r="D50" s="60">
        <f>C50*0.12</f>
        <v>0.156</v>
      </c>
      <c r="E50" s="5" t="s">
        <v>124</v>
      </c>
      <c r="F50" s="51" t="s">
        <v>193</v>
      </c>
      <c r="G50" s="5" t="s">
        <v>124</v>
      </c>
      <c r="H50" s="51" t="s">
        <v>194</v>
      </c>
      <c r="I50" s="5" t="s">
        <v>124</v>
      </c>
      <c r="J50" s="2"/>
      <c r="K50" s="2"/>
      <c r="L50" s="2"/>
      <c r="M50" s="2"/>
      <c r="N50" s="2"/>
      <c r="O50" s="2"/>
      <c r="P50" s="2"/>
      <c r="Q50" s="2"/>
    </row>
    <row r="51" spans="1:17" ht="45" x14ac:dyDescent="0.2">
      <c r="A51" s="6" t="s">
        <v>180</v>
      </c>
      <c r="B51" s="51" t="s">
        <v>192</v>
      </c>
      <c r="C51" s="5">
        <v>1.5</v>
      </c>
      <c r="D51" s="60">
        <f>C51*0.12</f>
        <v>0.18</v>
      </c>
      <c r="E51" s="5" t="s">
        <v>124</v>
      </c>
      <c r="F51" s="51" t="s">
        <v>195</v>
      </c>
      <c r="G51" s="5" t="s">
        <v>12</v>
      </c>
      <c r="H51" s="51" t="s">
        <v>196</v>
      </c>
      <c r="I51" s="5" t="s">
        <v>12</v>
      </c>
      <c r="J51" s="2"/>
      <c r="K51" s="2"/>
      <c r="L51" s="2"/>
      <c r="M51" s="2"/>
      <c r="N51" s="2"/>
      <c r="O51" s="2"/>
      <c r="P51" s="2"/>
      <c r="Q51" s="2"/>
    </row>
    <row r="52" spans="1:17" ht="15" customHeight="1" x14ac:dyDescent="0.2">
      <c r="A52" s="138" t="s">
        <v>197</v>
      </c>
      <c r="B52" s="138"/>
      <c r="C52" s="138"/>
      <c r="D52" s="138"/>
      <c r="E52" s="138"/>
      <c r="F52" s="138"/>
      <c r="G52" s="138"/>
      <c r="H52" s="138"/>
      <c r="I52" s="138"/>
      <c r="J52" s="2"/>
      <c r="K52" s="2"/>
      <c r="L52" s="2"/>
      <c r="M52" s="2"/>
      <c r="N52" s="2"/>
      <c r="O52" s="2"/>
      <c r="P52" s="2"/>
      <c r="Q52" s="2"/>
    </row>
    <row r="53" spans="1:17" ht="15" customHeight="1" x14ac:dyDescent="0.2">
      <c r="A53" s="138"/>
      <c r="B53" s="138"/>
      <c r="C53" s="138"/>
      <c r="D53" s="138"/>
      <c r="E53" s="138"/>
      <c r="F53" s="138"/>
      <c r="G53" s="138"/>
      <c r="H53" s="138"/>
      <c r="I53" s="138"/>
      <c r="J53" s="2"/>
      <c r="K53" s="2"/>
      <c r="L53" s="2"/>
      <c r="M53" s="2"/>
      <c r="N53" s="2"/>
      <c r="O53" s="2"/>
      <c r="P53" s="2"/>
      <c r="Q53" s="2"/>
    </row>
    <row r="54" spans="1:17" ht="15" customHeight="1" x14ac:dyDescent="0.2">
      <c r="A54" s="138"/>
      <c r="B54" s="138"/>
      <c r="C54" s="138"/>
      <c r="D54" s="138"/>
      <c r="E54" s="138"/>
      <c r="F54" s="138"/>
      <c r="G54" s="138"/>
      <c r="H54" s="138"/>
      <c r="I54" s="138"/>
      <c r="J54" s="2"/>
      <c r="K54" s="2"/>
      <c r="L54" s="2"/>
      <c r="M54" s="2"/>
      <c r="N54" s="2"/>
      <c r="O54" s="2"/>
      <c r="P54" s="2"/>
      <c r="Q54" s="2"/>
    </row>
    <row r="55" spans="1:17" ht="15" customHeight="1" x14ac:dyDescent="0.2">
      <c r="A55" s="138"/>
      <c r="B55" s="138"/>
      <c r="C55" s="138"/>
      <c r="D55" s="138"/>
      <c r="E55" s="138"/>
      <c r="F55" s="138"/>
      <c r="G55" s="138"/>
      <c r="H55" s="138"/>
      <c r="I55" s="138"/>
      <c r="J55" s="2"/>
      <c r="K55" s="2"/>
      <c r="L55" s="2"/>
      <c r="M55" s="2"/>
      <c r="N55" s="2"/>
      <c r="O55" s="2"/>
      <c r="P55" s="2"/>
      <c r="Q55" s="2"/>
    </row>
    <row r="56" spans="1:17" ht="15" customHeight="1" x14ac:dyDescent="0.2">
      <c r="A56" s="92"/>
      <c r="B56" s="92"/>
      <c r="C56" s="92"/>
      <c r="D56" s="92"/>
      <c r="E56" s="92"/>
      <c r="F56" s="92"/>
      <c r="G56" s="92"/>
      <c r="H56" s="92"/>
      <c r="I56" s="92"/>
      <c r="J56" s="2"/>
      <c r="K56" s="2"/>
      <c r="L56" s="2"/>
      <c r="M56" s="2"/>
      <c r="N56" s="2"/>
      <c r="O56" s="2"/>
      <c r="P56" s="2"/>
      <c r="Q56" s="2"/>
    </row>
    <row r="57" spans="1:17" ht="15" customHeight="1" x14ac:dyDescent="0.2">
      <c r="A57" s="136" t="s">
        <v>198</v>
      </c>
      <c r="B57" s="137"/>
      <c r="C57" s="137"/>
      <c r="D57" s="137"/>
      <c r="E57" s="137"/>
      <c r="F57" s="137"/>
      <c r="G57" s="137"/>
      <c r="H57" s="92"/>
      <c r="I57" s="92"/>
      <c r="J57" s="2"/>
      <c r="K57" s="2"/>
      <c r="L57" s="2"/>
      <c r="M57" s="2"/>
      <c r="N57" s="2"/>
      <c r="O57" s="2"/>
      <c r="P57" s="2"/>
      <c r="Q57" s="2"/>
    </row>
    <row r="58" spans="1:17" ht="15" customHeight="1" x14ac:dyDescent="0.2">
      <c r="A58" s="151" t="s">
        <v>199</v>
      </c>
      <c r="B58" s="152"/>
      <c r="C58" s="152"/>
      <c r="D58" s="152"/>
      <c r="E58" s="152"/>
      <c r="F58" s="152"/>
      <c r="G58" s="152"/>
      <c r="H58" s="92"/>
      <c r="I58" s="92"/>
      <c r="J58" s="2"/>
      <c r="K58" s="2"/>
      <c r="L58" s="2"/>
      <c r="M58" s="2"/>
      <c r="N58" s="2"/>
      <c r="O58" s="2"/>
      <c r="P58" s="2"/>
      <c r="Q58" s="2"/>
    </row>
    <row r="59" spans="1:17" ht="33.75" x14ac:dyDescent="0.2">
      <c r="A59" s="93" t="s">
        <v>155</v>
      </c>
      <c r="B59" s="94" t="s">
        <v>200</v>
      </c>
      <c r="C59" s="96" t="s">
        <v>201</v>
      </c>
      <c r="D59" s="94" t="s">
        <v>202</v>
      </c>
      <c r="E59" s="96" t="s">
        <v>203</v>
      </c>
      <c r="F59" s="94" t="s">
        <v>204</v>
      </c>
      <c r="G59" s="96" t="s">
        <v>205</v>
      </c>
      <c r="H59" s="92"/>
      <c r="I59" s="92"/>
      <c r="J59" s="2"/>
      <c r="K59" s="2"/>
      <c r="L59" s="2"/>
      <c r="M59" s="2"/>
      <c r="N59" s="2"/>
      <c r="O59" s="2"/>
      <c r="P59" s="2"/>
      <c r="Q59" s="2"/>
    </row>
    <row r="60" spans="1:17" ht="15" customHeight="1" x14ac:dyDescent="0.2">
      <c r="A60" s="139" t="s">
        <v>206</v>
      </c>
      <c r="B60" s="140"/>
      <c r="C60" s="140"/>
      <c r="D60" s="140"/>
      <c r="E60" s="140"/>
      <c r="F60" s="140"/>
      <c r="G60" s="140"/>
      <c r="H60" s="51"/>
      <c r="I60" s="5"/>
      <c r="J60" s="2"/>
      <c r="K60" s="2"/>
      <c r="L60" s="2"/>
      <c r="M60" s="2"/>
      <c r="N60" s="2"/>
      <c r="O60" s="2"/>
      <c r="P60" s="2"/>
      <c r="Q60" s="2"/>
    </row>
    <row r="61" spans="1:17" ht="15" customHeight="1" x14ac:dyDescent="0.2">
      <c r="A61" s="6" t="s">
        <v>164</v>
      </c>
      <c r="B61" s="61">
        <v>1.04</v>
      </c>
      <c r="C61" s="60">
        <f>B61*0.12</f>
        <v>0.12479999999999999</v>
      </c>
      <c r="D61" s="60">
        <v>0.28000000000000003</v>
      </c>
      <c r="E61" s="60">
        <f>D61*0.12</f>
        <v>3.3600000000000005E-2</v>
      </c>
      <c r="F61" s="61">
        <v>0.76</v>
      </c>
      <c r="G61" s="60">
        <f>F61*0.12</f>
        <v>9.1200000000000003E-2</v>
      </c>
      <c r="H61" s="51"/>
      <c r="I61" s="5"/>
      <c r="J61" s="2"/>
      <c r="K61" s="2"/>
      <c r="L61" s="2"/>
      <c r="M61" s="2"/>
      <c r="N61" s="2"/>
      <c r="O61" s="2"/>
      <c r="P61" s="2"/>
      <c r="Q61" s="2"/>
    </row>
    <row r="62" spans="1:17" ht="15" customHeight="1" x14ac:dyDescent="0.2">
      <c r="A62" s="6" t="s">
        <v>169</v>
      </c>
      <c r="B62" s="61">
        <v>1.04</v>
      </c>
      <c r="C62" s="60">
        <f t="shared" ref="C62:E66" si="11">B62*0.12</f>
        <v>0.12479999999999999</v>
      </c>
      <c r="D62" s="60">
        <v>0.28000000000000003</v>
      </c>
      <c r="E62" s="60">
        <f t="shared" si="11"/>
        <v>3.3600000000000005E-2</v>
      </c>
      <c r="F62" s="61">
        <v>0.76</v>
      </c>
      <c r="G62" s="60">
        <f t="shared" ref="G62:G66" si="12">F62*0.12</f>
        <v>9.1200000000000003E-2</v>
      </c>
      <c r="H62" s="92"/>
      <c r="I62" s="92"/>
      <c r="J62" s="2"/>
      <c r="K62" s="2"/>
      <c r="L62" s="2"/>
      <c r="M62" s="2"/>
      <c r="N62" s="2"/>
      <c r="O62" s="2"/>
      <c r="P62" s="2"/>
      <c r="Q62" s="2"/>
    </row>
    <row r="63" spans="1:17" ht="15" customHeight="1" x14ac:dyDescent="0.2">
      <c r="A63" s="6" t="s">
        <v>171</v>
      </c>
      <c r="B63" s="61">
        <v>1.04</v>
      </c>
      <c r="C63" s="60">
        <f t="shared" si="11"/>
        <v>0.12479999999999999</v>
      </c>
      <c r="D63" s="60">
        <v>0.28000000000000003</v>
      </c>
      <c r="E63" s="60">
        <f t="shared" si="11"/>
        <v>3.3600000000000005E-2</v>
      </c>
      <c r="F63" s="61">
        <v>0.76</v>
      </c>
      <c r="G63" s="60">
        <f t="shared" si="12"/>
        <v>9.1200000000000003E-2</v>
      </c>
      <c r="H63" s="92"/>
      <c r="I63" s="92"/>
      <c r="J63" s="2"/>
      <c r="K63" s="2"/>
      <c r="L63" s="2"/>
      <c r="M63" s="2"/>
      <c r="N63" s="2"/>
      <c r="O63" s="2"/>
      <c r="P63" s="2"/>
      <c r="Q63" s="2"/>
    </row>
    <row r="64" spans="1:17" ht="15" customHeight="1" x14ac:dyDescent="0.2">
      <c r="A64" s="6" t="s">
        <v>172</v>
      </c>
      <c r="B64" s="61">
        <v>1.04</v>
      </c>
      <c r="C64" s="60">
        <f t="shared" si="11"/>
        <v>0.12479999999999999</v>
      </c>
      <c r="D64" s="60">
        <v>0.28000000000000003</v>
      </c>
      <c r="E64" s="60">
        <f t="shared" si="11"/>
        <v>3.3600000000000005E-2</v>
      </c>
      <c r="F64" s="61">
        <v>0.76</v>
      </c>
      <c r="G64" s="60">
        <f t="shared" si="12"/>
        <v>9.1200000000000003E-2</v>
      </c>
      <c r="H64" s="92"/>
      <c r="I64" s="92"/>
      <c r="J64" s="2"/>
      <c r="K64" s="2"/>
      <c r="L64" s="2"/>
      <c r="M64" s="2"/>
      <c r="N64" s="2"/>
      <c r="O64" s="2"/>
      <c r="P64" s="2"/>
      <c r="Q64" s="2"/>
    </row>
    <row r="65" spans="1:17" ht="15" customHeight="1" x14ac:dyDescent="0.2">
      <c r="A65" s="6" t="s">
        <v>173</v>
      </c>
      <c r="B65" s="61">
        <v>1.04</v>
      </c>
      <c r="C65" s="60">
        <f t="shared" si="11"/>
        <v>0.12479999999999999</v>
      </c>
      <c r="D65" s="60">
        <v>0.28000000000000003</v>
      </c>
      <c r="E65" s="60">
        <f t="shared" si="11"/>
        <v>3.3600000000000005E-2</v>
      </c>
      <c r="F65" s="61">
        <v>0.76</v>
      </c>
      <c r="G65" s="60">
        <f t="shared" si="12"/>
        <v>9.1200000000000003E-2</v>
      </c>
      <c r="H65" s="92"/>
      <c r="I65" s="92"/>
      <c r="J65" s="2"/>
      <c r="K65" s="2"/>
      <c r="L65" s="2"/>
      <c r="M65" s="2"/>
      <c r="N65" s="2"/>
      <c r="O65" s="2"/>
      <c r="P65" s="2"/>
      <c r="Q65" s="2"/>
    </row>
    <row r="66" spans="1:17" ht="15" customHeight="1" x14ac:dyDescent="0.2">
      <c r="A66" s="6" t="s">
        <v>175</v>
      </c>
      <c r="B66" s="61">
        <v>1.04</v>
      </c>
      <c r="C66" s="60">
        <f t="shared" si="11"/>
        <v>0.12479999999999999</v>
      </c>
      <c r="D66" s="60">
        <v>0.28000000000000003</v>
      </c>
      <c r="E66" s="60">
        <f t="shared" si="11"/>
        <v>3.3600000000000005E-2</v>
      </c>
      <c r="F66" s="61">
        <v>0.76</v>
      </c>
      <c r="G66" s="60">
        <f t="shared" si="12"/>
        <v>9.1200000000000003E-2</v>
      </c>
      <c r="H66" s="92"/>
      <c r="I66" s="92"/>
      <c r="J66" s="2"/>
      <c r="K66" s="2"/>
      <c r="L66" s="2"/>
      <c r="M66" s="2"/>
      <c r="N66" s="2"/>
      <c r="O66" s="2"/>
      <c r="P66" s="2"/>
      <c r="Q66" s="2"/>
    </row>
    <row r="67" spans="1:17" ht="15" customHeight="1" x14ac:dyDescent="0.2">
      <c r="A67" s="139" t="s">
        <v>207</v>
      </c>
      <c r="B67" s="140"/>
      <c r="C67" s="140"/>
      <c r="D67" s="140"/>
      <c r="E67" s="140"/>
      <c r="F67" s="140"/>
      <c r="G67" s="140"/>
      <c r="H67" s="92"/>
      <c r="I67" s="92"/>
      <c r="J67" s="2"/>
      <c r="K67" s="2"/>
      <c r="L67" s="2"/>
      <c r="M67" s="2"/>
      <c r="N67" s="2"/>
      <c r="O67" s="2"/>
      <c r="P67" s="2"/>
      <c r="Q67" s="2"/>
    </row>
    <row r="68" spans="1:17" ht="15" customHeight="1" x14ac:dyDescent="0.2">
      <c r="A68" s="6" t="s">
        <v>180</v>
      </c>
      <c r="B68" s="61">
        <v>1.28</v>
      </c>
      <c r="C68" s="64">
        <f>B68*0.12</f>
        <v>0.15359999999999999</v>
      </c>
      <c r="D68" s="61">
        <v>1</v>
      </c>
      <c r="E68" s="64">
        <f>D68*0.12</f>
        <v>0.12</v>
      </c>
      <c r="F68" s="61">
        <v>0.28000000000000003</v>
      </c>
      <c r="G68" s="64">
        <f>F68*0.12</f>
        <v>3.3600000000000005E-2</v>
      </c>
      <c r="H68" s="92"/>
      <c r="I68" s="92"/>
      <c r="J68" s="2"/>
      <c r="K68" s="2"/>
      <c r="L68" s="2"/>
      <c r="M68" s="2"/>
      <c r="N68" s="2"/>
      <c r="O68" s="2"/>
      <c r="P68" s="2"/>
      <c r="Q68" s="2"/>
    </row>
    <row r="69" spans="1:17" ht="15" customHeight="1" x14ac:dyDescent="0.2">
      <c r="A69" s="6" t="s">
        <v>182</v>
      </c>
      <c r="B69" s="61">
        <v>1.28</v>
      </c>
      <c r="C69" s="64">
        <f t="shared" ref="C69:E71" si="13">B69*0.12</f>
        <v>0.15359999999999999</v>
      </c>
      <c r="D69" s="61">
        <v>1</v>
      </c>
      <c r="E69" s="64">
        <f t="shared" si="13"/>
        <v>0.12</v>
      </c>
      <c r="F69" s="61">
        <v>0.28000000000000003</v>
      </c>
      <c r="G69" s="64">
        <f t="shared" ref="G69:G71" si="14">F69*0.12</f>
        <v>3.3600000000000005E-2</v>
      </c>
      <c r="H69" s="92"/>
      <c r="I69" s="92"/>
      <c r="J69" s="2"/>
      <c r="K69" s="2"/>
      <c r="L69" s="2"/>
      <c r="M69" s="2"/>
      <c r="N69" s="2"/>
      <c r="O69" s="2"/>
      <c r="P69" s="2"/>
      <c r="Q69" s="2"/>
    </row>
    <row r="70" spans="1:17" ht="15" customHeight="1" x14ac:dyDescent="0.2">
      <c r="A70" s="67" t="s">
        <v>184</v>
      </c>
      <c r="B70" s="62">
        <v>0.252</v>
      </c>
      <c r="C70" s="63">
        <f t="shared" si="13"/>
        <v>3.024E-2</v>
      </c>
      <c r="D70" s="61">
        <v>5.1999999999999998E-2</v>
      </c>
      <c r="E70" s="64">
        <f t="shared" si="13"/>
        <v>6.2399999999999999E-3</v>
      </c>
      <c r="F70" s="61">
        <v>0.2</v>
      </c>
      <c r="G70" s="64">
        <f t="shared" si="14"/>
        <v>2.4E-2</v>
      </c>
      <c r="H70" s="92"/>
      <c r="I70" s="92"/>
      <c r="J70" s="2"/>
      <c r="K70" s="2"/>
      <c r="L70" s="2"/>
      <c r="M70" s="2"/>
      <c r="N70" s="2"/>
      <c r="O70" s="2"/>
      <c r="P70" s="2"/>
      <c r="Q70" s="2"/>
    </row>
    <row r="71" spans="1:17" ht="15" customHeight="1" x14ac:dyDescent="0.2">
      <c r="A71" s="6" t="s">
        <v>183</v>
      </c>
      <c r="B71" s="61">
        <v>0.252</v>
      </c>
      <c r="C71" s="64">
        <f t="shared" si="13"/>
        <v>3.024E-2</v>
      </c>
      <c r="D71" s="61">
        <v>5.1999999999999998E-2</v>
      </c>
      <c r="E71" s="64">
        <f t="shared" si="13"/>
        <v>6.2399999999999999E-3</v>
      </c>
      <c r="F71" s="61">
        <v>0.2</v>
      </c>
      <c r="G71" s="64">
        <f t="shared" si="14"/>
        <v>2.4E-2</v>
      </c>
      <c r="H71" s="92"/>
      <c r="I71" s="92"/>
      <c r="J71" s="2"/>
      <c r="K71" s="2"/>
      <c r="L71" s="2"/>
      <c r="M71" s="2"/>
      <c r="N71" s="2"/>
      <c r="O71" s="2"/>
      <c r="P71" s="2"/>
      <c r="Q71" s="2"/>
    </row>
    <row r="72" spans="1:17" ht="15" customHeight="1" x14ac:dyDescent="0.2">
      <c r="A72" s="139" t="s">
        <v>208</v>
      </c>
      <c r="B72" s="140"/>
      <c r="C72" s="140"/>
      <c r="D72" s="140"/>
      <c r="E72" s="140"/>
      <c r="F72" s="140"/>
      <c r="G72" s="140"/>
      <c r="H72" s="92"/>
      <c r="I72" s="92"/>
      <c r="J72" s="2"/>
      <c r="K72" s="2"/>
      <c r="L72" s="2"/>
      <c r="M72" s="2"/>
      <c r="N72" s="2"/>
      <c r="O72" s="2"/>
      <c r="P72" s="2"/>
      <c r="Q72" s="2"/>
    </row>
    <row r="73" spans="1:17" ht="15" customHeight="1" x14ac:dyDescent="0.2">
      <c r="A73" s="6" t="s">
        <v>180</v>
      </c>
      <c r="B73" s="61">
        <v>1.605</v>
      </c>
      <c r="C73" s="64">
        <f>B73*0.12</f>
        <v>0.19259999999999999</v>
      </c>
      <c r="D73" s="61">
        <v>0.47499999999999998</v>
      </c>
      <c r="E73" s="64">
        <f>D73*0.12</f>
        <v>5.6999999999999995E-2</v>
      </c>
      <c r="F73" s="61">
        <v>1.1299999999999999</v>
      </c>
      <c r="G73" s="64">
        <f>F73*0.12</f>
        <v>0.13559999999999997</v>
      </c>
      <c r="H73" s="92"/>
      <c r="I73" s="92"/>
      <c r="J73" s="2"/>
      <c r="K73" s="2"/>
      <c r="L73" s="2"/>
      <c r="M73" s="2"/>
      <c r="N73" s="2"/>
      <c r="O73" s="2"/>
      <c r="P73" s="2"/>
      <c r="Q73" s="2"/>
    </row>
    <row r="74" spans="1:17" ht="15" customHeight="1" x14ac:dyDescent="0.2">
      <c r="A74" s="6" t="s">
        <v>182</v>
      </c>
      <c r="B74" s="61">
        <v>1.605</v>
      </c>
      <c r="C74" s="64">
        <f t="shared" ref="C74:E77" si="15">B74*0.12</f>
        <v>0.19259999999999999</v>
      </c>
      <c r="D74" s="61">
        <v>0.47499999999999998</v>
      </c>
      <c r="E74" s="64">
        <f t="shared" si="15"/>
        <v>5.6999999999999995E-2</v>
      </c>
      <c r="F74" s="61">
        <v>1.1299999999999999</v>
      </c>
      <c r="G74" s="64">
        <f t="shared" ref="G74:G77" si="16">F74*0.12</f>
        <v>0.13559999999999997</v>
      </c>
      <c r="H74" s="92"/>
      <c r="I74" s="92"/>
      <c r="J74" s="2"/>
      <c r="K74" s="2"/>
      <c r="L74" s="2"/>
      <c r="M74" s="2"/>
      <c r="N74" s="2"/>
      <c r="O74" s="2"/>
      <c r="P74" s="2"/>
      <c r="Q74" s="2"/>
    </row>
    <row r="75" spans="1:17" ht="15" customHeight="1" x14ac:dyDescent="0.2">
      <c r="A75" s="2" t="s">
        <v>184</v>
      </c>
      <c r="B75" s="61">
        <v>0.55600000000000005</v>
      </c>
      <c r="C75" s="64">
        <f t="shared" si="15"/>
        <v>6.6720000000000002E-2</v>
      </c>
      <c r="D75" s="61">
        <v>0.216</v>
      </c>
      <c r="E75" s="64">
        <f t="shared" si="15"/>
        <v>2.5919999999999999E-2</v>
      </c>
      <c r="F75" s="61">
        <v>0.34</v>
      </c>
      <c r="G75" s="64">
        <f t="shared" si="16"/>
        <v>4.0800000000000003E-2</v>
      </c>
      <c r="H75" s="92"/>
      <c r="I75" s="92"/>
      <c r="J75" s="2"/>
      <c r="K75" s="2"/>
      <c r="L75" s="2"/>
      <c r="M75" s="2"/>
      <c r="N75" s="2"/>
      <c r="O75" s="2"/>
      <c r="P75" s="2"/>
      <c r="Q75" s="2"/>
    </row>
    <row r="76" spans="1:17" ht="15" customHeight="1" x14ac:dyDescent="0.2">
      <c r="A76" s="6" t="s">
        <v>183</v>
      </c>
      <c r="B76" s="61">
        <v>0.55600000000000005</v>
      </c>
      <c r="C76" s="64">
        <f t="shared" si="15"/>
        <v>6.6720000000000002E-2</v>
      </c>
      <c r="D76" s="61">
        <v>0.216</v>
      </c>
      <c r="E76" s="64">
        <f t="shared" si="15"/>
        <v>2.5919999999999999E-2</v>
      </c>
      <c r="F76" s="61">
        <v>0.34</v>
      </c>
      <c r="G76" s="64">
        <f t="shared" si="16"/>
        <v>4.0800000000000003E-2</v>
      </c>
      <c r="H76" s="92"/>
      <c r="I76" s="92"/>
      <c r="J76" s="2"/>
      <c r="K76" s="2"/>
      <c r="L76" s="2"/>
      <c r="M76" s="2"/>
      <c r="N76" s="2"/>
      <c r="O76" s="2"/>
      <c r="P76" s="2"/>
      <c r="Q76" s="2"/>
    </row>
    <row r="77" spans="1:17" ht="15" customHeight="1" x14ac:dyDescent="0.2">
      <c r="A77" s="2" t="s">
        <v>185</v>
      </c>
      <c r="B77" s="61">
        <v>2.4929999999999999</v>
      </c>
      <c r="C77" s="64">
        <f t="shared" si="15"/>
        <v>0.29915999999999998</v>
      </c>
      <c r="D77" s="61">
        <v>1.78</v>
      </c>
      <c r="E77" s="64">
        <f t="shared" si="15"/>
        <v>0.21359999999999998</v>
      </c>
      <c r="F77" s="61">
        <v>0.71299999999999997</v>
      </c>
      <c r="G77" s="64">
        <f t="shared" si="16"/>
        <v>8.5559999999999997E-2</v>
      </c>
      <c r="H77" s="92"/>
      <c r="I77" s="92"/>
      <c r="J77" s="2"/>
      <c r="K77" s="2"/>
      <c r="L77" s="2"/>
      <c r="M77" s="2"/>
      <c r="N77" s="2"/>
      <c r="O77" s="2"/>
      <c r="P77" s="2"/>
      <c r="Q77" s="2"/>
    </row>
    <row r="78" spans="1:17" ht="15" customHeight="1" x14ac:dyDescent="0.2">
      <c r="A78" s="138" t="s">
        <v>209</v>
      </c>
      <c r="B78" s="138"/>
      <c r="C78" s="138"/>
      <c r="D78" s="138"/>
      <c r="E78" s="138"/>
      <c r="F78" s="138"/>
      <c r="G78" s="138"/>
      <c r="H78" s="92"/>
      <c r="I78" s="92"/>
      <c r="J78" s="2"/>
      <c r="K78" s="2"/>
      <c r="L78" s="2"/>
      <c r="M78" s="2"/>
      <c r="N78" s="2"/>
      <c r="O78" s="2"/>
      <c r="P78" s="2"/>
      <c r="Q78" s="2"/>
    </row>
    <row r="79" spans="1:17" ht="15" customHeight="1" x14ac:dyDescent="0.2">
      <c r="A79" s="51"/>
      <c r="B79" s="51"/>
      <c r="C79" s="51"/>
      <c r="D79" s="51"/>
      <c r="E79" s="51"/>
      <c r="F79" s="51"/>
      <c r="G79" s="51"/>
      <c r="H79" s="92"/>
      <c r="I79" s="92"/>
      <c r="J79" s="2"/>
      <c r="K79" s="2"/>
      <c r="L79" s="2"/>
      <c r="M79" s="2"/>
      <c r="N79" s="2"/>
      <c r="O79" s="2"/>
      <c r="P79" s="2"/>
      <c r="Q79" s="2"/>
    </row>
    <row r="80" spans="1:17" ht="15" customHeight="1" x14ac:dyDescent="0.2">
      <c r="A80" s="141" t="s">
        <v>210</v>
      </c>
      <c r="B80" s="142"/>
      <c r="C80" s="142"/>
      <c r="D80" s="142"/>
      <c r="E80" s="142"/>
      <c r="F80" s="142"/>
      <c r="G80" s="142"/>
      <c r="H80" s="65"/>
      <c r="I80" s="65"/>
      <c r="J80" s="2"/>
      <c r="K80" s="2"/>
      <c r="L80" s="2"/>
      <c r="M80" s="2"/>
      <c r="N80" s="2"/>
      <c r="O80" s="2"/>
      <c r="P80" s="2"/>
      <c r="Q80" s="2"/>
    </row>
    <row r="81" spans="1:17" ht="15" customHeight="1" x14ac:dyDescent="0.2">
      <c r="A81" s="143" t="s">
        <v>211</v>
      </c>
      <c r="B81" s="146" t="s">
        <v>212</v>
      </c>
      <c r="C81" s="147"/>
      <c r="D81" s="146" t="s">
        <v>213</v>
      </c>
      <c r="E81" s="148"/>
      <c r="F81" s="148"/>
      <c r="G81" s="147"/>
      <c r="H81" s="66"/>
      <c r="I81" s="66"/>
      <c r="J81" s="2"/>
      <c r="K81" s="2"/>
      <c r="L81" s="2"/>
      <c r="M81" s="2"/>
      <c r="N81" s="2"/>
      <c r="O81" s="2"/>
      <c r="P81" s="2"/>
      <c r="Q81" s="2"/>
    </row>
    <row r="82" spans="1:17" ht="15" customHeight="1" x14ac:dyDescent="0.2">
      <c r="A82" s="144"/>
      <c r="B82" s="149" t="s">
        <v>119</v>
      </c>
      <c r="C82" s="149" t="s">
        <v>214</v>
      </c>
      <c r="D82" s="146" t="s">
        <v>119</v>
      </c>
      <c r="E82" s="147"/>
      <c r="F82" s="146" t="s">
        <v>214</v>
      </c>
      <c r="G82" s="147"/>
      <c r="H82" s="66"/>
      <c r="I82" s="66"/>
      <c r="J82" s="2"/>
      <c r="K82" s="2"/>
      <c r="L82" s="2"/>
      <c r="M82" s="2"/>
      <c r="N82" s="2"/>
      <c r="O82" s="2"/>
      <c r="P82" s="2"/>
      <c r="Q82" s="2"/>
    </row>
    <row r="83" spans="1:17" ht="33.75" x14ac:dyDescent="0.2">
      <c r="A83" s="145"/>
      <c r="B83" s="150"/>
      <c r="C83" s="150"/>
      <c r="D83" s="96" t="s">
        <v>215</v>
      </c>
      <c r="E83" s="96" t="s">
        <v>161</v>
      </c>
      <c r="F83" s="96" t="s">
        <v>215</v>
      </c>
      <c r="G83" s="96" t="s">
        <v>161</v>
      </c>
      <c r="H83" s="51"/>
      <c r="I83" s="5"/>
      <c r="J83" s="2"/>
      <c r="K83" s="2"/>
      <c r="L83" s="2"/>
      <c r="M83" s="2"/>
      <c r="N83" s="2"/>
      <c r="O83" s="2"/>
      <c r="P83" s="2"/>
      <c r="Q83" s="2"/>
    </row>
    <row r="84" spans="1:17" ht="15" customHeight="1" x14ac:dyDescent="0.2">
      <c r="A84" s="4">
        <v>15</v>
      </c>
      <c r="B84" s="5">
        <v>91</v>
      </c>
      <c r="C84" s="5">
        <v>100</v>
      </c>
      <c r="D84" s="60" t="s">
        <v>216</v>
      </c>
      <c r="E84" s="5" t="s">
        <v>124</v>
      </c>
      <c r="F84" s="61" t="s">
        <v>217</v>
      </c>
      <c r="G84" s="5" t="s">
        <v>12</v>
      </c>
      <c r="H84" s="51"/>
      <c r="I84" s="5"/>
      <c r="J84" s="2"/>
      <c r="K84" s="2"/>
      <c r="L84" s="2"/>
      <c r="M84" s="2"/>
      <c r="N84" s="2"/>
      <c r="O84" s="2"/>
      <c r="P84" s="2"/>
      <c r="Q84" s="2"/>
    </row>
    <row r="85" spans="1:17" ht="15" customHeight="1" x14ac:dyDescent="0.2">
      <c r="A85" s="5">
        <v>10</v>
      </c>
      <c r="B85" s="5">
        <v>86</v>
      </c>
      <c r="C85" s="5">
        <v>95</v>
      </c>
      <c r="D85" s="5" t="s">
        <v>218</v>
      </c>
      <c r="E85" s="5" t="s">
        <v>124</v>
      </c>
      <c r="F85" s="5" t="s">
        <v>219</v>
      </c>
      <c r="G85" s="5" t="s">
        <v>12</v>
      </c>
      <c r="H85" s="2"/>
      <c r="I85" s="2"/>
      <c r="J85" s="2"/>
      <c r="K85" s="2"/>
      <c r="L85" s="2"/>
      <c r="M85" s="2"/>
      <c r="N85" s="2"/>
      <c r="O85" s="2"/>
      <c r="P85" s="2"/>
      <c r="Q85" s="2"/>
    </row>
    <row r="86" spans="1:17" ht="15" customHeight="1" x14ac:dyDescent="0.2">
      <c r="A86" s="5">
        <v>6</v>
      </c>
      <c r="B86" s="5">
        <v>77</v>
      </c>
      <c r="C86" s="5">
        <v>72</v>
      </c>
      <c r="D86" s="5" t="s">
        <v>220</v>
      </c>
      <c r="E86" s="5" t="s">
        <v>124</v>
      </c>
      <c r="F86" s="5" t="s">
        <v>221</v>
      </c>
      <c r="G86" s="5" t="s">
        <v>12</v>
      </c>
      <c r="H86" s="2"/>
      <c r="I86" s="2"/>
      <c r="J86" s="2"/>
      <c r="K86" s="2"/>
      <c r="L86" s="2"/>
      <c r="M86" s="2"/>
      <c r="N86" s="2"/>
      <c r="O86" s="2"/>
      <c r="P86" s="2"/>
      <c r="Q86" s="2"/>
    </row>
    <row r="87" spans="1:17" ht="15" customHeight="1" x14ac:dyDescent="0.2">
      <c r="A87" s="5" t="s">
        <v>222</v>
      </c>
      <c r="B87" s="5">
        <v>56</v>
      </c>
      <c r="C87" s="5">
        <v>22</v>
      </c>
      <c r="D87" s="5" t="s">
        <v>223</v>
      </c>
      <c r="E87" s="5" t="s">
        <v>124</v>
      </c>
      <c r="F87" s="5" t="s">
        <v>224</v>
      </c>
      <c r="G87" s="5" t="s">
        <v>12</v>
      </c>
      <c r="H87" s="2"/>
      <c r="I87" s="2"/>
      <c r="J87" s="2"/>
      <c r="K87" s="2"/>
      <c r="L87" s="2"/>
      <c r="M87" s="2"/>
      <c r="N87" s="2"/>
      <c r="O87" s="2"/>
      <c r="P87" s="2"/>
      <c r="Q87" s="2"/>
    </row>
    <row r="88" spans="1:17" ht="15" customHeight="1" x14ac:dyDescent="0.2">
      <c r="A88" s="5" t="s">
        <v>225</v>
      </c>
      <c r="B88" s="5">
        <v>39</v>
      </c>
      <c r="C88" s="5">
        <v>21</v>
      </c>
      <c r="D88" s="5" t="s">
        <v>226</v>
      </c>
      <c r="E88" s="5" t="s">
        <v>124</v>
      </c>
      <c r="F88" s="5" t="s">
        <v>224</v>
      </c>
      <c r="G88" s="5" t="s">
        <v>12</v>
      </c>
      <c r="H88" s="2"/>
      <c r="I88" s="2"/>
      <c r="J88" s="2"/>
      <c r="K88" s="2"/>
      <c r="L88" s="2"/>
      <c r="M88" s="2"/>
      <c r="N88" s="2"/>
      <c r="O88" s="2"/>
      <c r="P88" s="2"/>
      <c r="Q88" s="2"/>
    </row>
    <row r="89" spans="1:17" ht="15" customHeight="1" x14ac:dyDescent="0.2">
      <c r="A89" s="5" t="s">
        <v>227</v>
      </c>
      <c r="B89" s="5">
        <v>36</v>
      </c>
      <c r="C89" s="5">
        <v>21</v>
      </c>
      <c r="D89" s="5" t="s">
        <v>228</v>
      </c>
      <c r="E89" s="5" t="s">
        <v>124</v>
      </c>
      <c r="F89" s="5" t="s">
        <v>224</v>
      </c>
      <c r="G89" s="5" t="s">
        <v>12</v>
      </c>
      <c r="H89" s="2"/>
      <c r="I89" s="2"/>
      <c r="J89" s="2"/>
      <c r="K89" s="2"/>
      <c r="L89" s="2"/>
      <c r="M89" s="2"/>
      <c r="N89" s="2"/>
      <c r="O89" s="2"/>
      <c r="P89" s="2"/>
      <c r="Q89" s="2"/>
    </row>
    <row r="90" spans="1:17" ht="15" customHeight="1" x14ac:dyDescent="0.2">
      <c r="A90" s="5" t="s">
        <v>229</v>
      </c>
      <c r="B90" s="5">
        <v>30</v>
      </c>
      <c r="C90" s="5" t="s">
        <v>146</v>
      </c>
      <c r="D90" s="5" t="s">
        <v>230</v>
      </c>
      <c r="E90" s="5" t="s">
        <v>124</v>
      </c>
      <c r="F90" s="5" t="s">
        <v>146</v>
      </c>
      <c r="G90" s="5" t="s">
        <v>231</v>
      </c>
      <c r="H90" s="2"/>
      <c r="I90" s="2"/>
      <c r="J90" s="2"/>
      <c r="K90" s="2"/>
      <c r="L90" s="2"/>
      <c r="M90" s="2"/>
      <c r="N90" s="2"/>
      <c r="O90" s="2"/>
      <c r="P90" s="2"/>
      <c r="Q90" s="2"/>
    </row>
    <row r="91" spans="1:17" ht="15" customHeight="1" x14ac:dyDescent="0.2">
      <c r="A91" s="5" t="s">
        <v>148</v>
      </c>
      <c r="B91" s="5">
        <v>100</v>
      </c>
      <c r="C91" s="5">
        <v>100</v>
      </c>
      <c r="D91" s="5" t="s">
        <v>232</v>
      </c>
      <c r="E91" s="5" t="s">
        <v>124</v>
      </c>
      <c r="F91" s="5" t="s">
        <v>217</v>
      </c>
      <c r="G91" s="5" t="s">
        <v>12</v>
      </c>
      <c r="H91" s="2"/>
      <c r="I91" s="2"/>
      <c r="J91" s="2"/>
      <c r="K91" s="2"/>
      <c r="L91" s="2"/>
      <c r="M91" s="2"/>
      <c r="N91" s="2"/>
      <c r="O91" s="2"/>
      <c r="P91" s="2"/>
      <c r="Q91" s="2"/>
    </row>
    <row r="92" spans="1:17" ht="15" customHeight="1" x14ac:dyDescent="0.2">
      <c r="A92" s="138" t="s">
        <v>233</v>
      </c>
      <c r="B92" s="138"/>
      <c r="C92" s="138"/>
      <c r="D92" s="138"/>
      <c r="E92" s="138"/>
      <c r="F92" s="138"/>
      <c r="G92" s="138"/>
      <c r="H92" s="2"/>
      <c r="I92" s="2"/>
      <c r="J92" s="2"/>
      <c r="K92" s="2"/>
      <c r="L92" s="2"/>
      <c r="M92" s="2"/>
      <c r="N92" s="2"/>
      <c r="O92" s="2"/>
      <c r="P92" s="2"/>
      <c r="Q92" s="2"/>
    </row>
    <row r="93" spans="1:17" ht="15" customHeight="1" x14ac:dyDescent="0.2">
      <c r="A93" s="138"/>
      <c r="B93" s="138"/>
      <c r="C93" s="138"/>
      <c r="D93" s="138"/>
      <c r="E93" s="138"/>
      <c r="F93" s="138"/>
      <c r="G93" s="138"/>
      <c r="H93" s="2"/>
      <c r="I93" s="2"/>
      <c r="J93" s="2"/>
      <c r="K93" s="2"/>
      <c r="L93" s="2"/>
      <c r="M93" s="2"/>
      <c r="N93" s="2"/>
      <c r="O93" s="2"/>
      <c r="P93" s="2"/>
      <c r="Q93" s="2"/>
    </row>
    <row r="94" spans="1:17" ht="15" customHeight="1" x14ac:dyDescent="0.2">
      <c r="A94" s="138"/>
      <c r="B94" s="138"/>
      <c r="C94" s="138"/>
      <c r="D94" s="138"/>
      <c r="E94" s="138"/>
      <c r="F94" s="138"/>
      <c r="G94" s="138"/>
      <c r="H94" s="2"/>
      <c r="I94" s="2"/>
      <c r="J94" s="2"/>
      <c r="K94" s="2"/>
      <c r="L94" s="2"/>
      <c r="M94" s="2"/>
      <c r="N94" s="2"/>
      <c r="O94" s="2"/>
      <c r="P94" s="2"/>
      <c r="Q94" s="2"/>
    </row>
    <row r="95" spans="1:17" ht="15" customHeight="1" x14ac:dyDescent="0.2">
      <c r="A95" s="138"/>
      <c r="B95" s="138"/>
      <c r="C95" s="138"/>
      <c r="D95" s="138"/>
      <c r="E95" s="138"/>
      <c r="F95" s="138"/>
      <c r="G95" s="138"/>
      <c r="H95" s="2"/>
      <c r="I95" s="2"/>
      <c r="J95" s="2"/>
      <c r="K95" s="2"/>
      <c r="L95" s="2"/>
      <c r="M95" s="2"/>
      <c r="N95" s="2"/>
      <c r="O95" s="2"/>
      <c r="P95" s="2"/>
      <c r="Q95" s="2"/>
    </row>
    <row r="96" spans="1:17" ht="15" customHeight="1" x14ac:dyDescent="0.2">
      <c r="A96" s="138"/>
      <c r="B96" s="138"/>
      <c r="C96" s="138"/>
      <c r="D96" s="138"/>
      <c r="E96" s="138"/>
      <c r="F96" s="138"/>
      <c r="G96" s="138"/>
      <c r="H96" s="2"/>
      <c r="I96" s="2"/>
      <c r="J96" s="2"/>
      <c r="K96" s="2"/>
      <c r="L96" s="2"/>
      <c r="M96" s="2"/>
      <c r="N96" s="2"/>
      <c r="O96" s="2"/>
      <c r="P96" s="2"/>
      <c r="Q96" s="2"/>
    </row>
    <row r="97" spans="1:17" ht="15" customHeight="1" x14ac:dyDescent="0.2">
      <c r="A97" s="2"/>
      <c r="B97" s="2"/>
      <c r="C97" s="2"/>
      <c r="D97" s="2"/>
      <c r="E97" s="2"/>
      <c r="F97" s="2"/>
      <c r="G97" s="2"/>
      <c r="H97" s="2"/>
      <c r="I97" s="2"/>
      <c r="J97" s="2"/>
      <c r="K97" s="2"/>
      <c r="L97" s="2"/>
      <c r="M97" s="2"/>
      <c r="N97" s="2"/>
      <c r="O97" s="2"/>
      <c r="P97" s="2"/>
      <c r="Q97" s="2"/>
    </row>
    <row r="98" spans="1:17" ht="25.5" customHeight="1" x14ac:dyDescent="0.2">
      <c r="A98" s="146" t="s">
        <v>234</v>
      </c>
      <c r="B98" s="148"/>
      <c r="C98" s="148"/>
      <c r="D98" s="147"/>
      <c r="E98" s="2"/>
      <c r="F98" s="2"/>
      <c r="G98" s="2"/>
      <c r="H98" s="2"/>
      <c r="I98" s="2"/>
      <c r="J98" s="2"/>
      <c r="K98" s="2"/>
      <c r="L98" s="2"/>
      <c r="M98" s="2"/>
      <c r="N98" s="2"/>
      <c r="O98" s="2"/>
      <c r="P98" s="2"/>
      <c r="Q98" s="2"/>
    </row>
    <row r="99" spans="1:17" ht="15" customHeight="1" x14ac:dyDescent="0.2">
      <c r="A99" s="136" t="s">
        <v>235</v>
      </c>
      <c r="B99" s="137"/>
      <c r="C99" s="137"/>
      <c r="D99" s="137"/>
      <c r="E99" s="2"/>
      <c r="F99" s="2"/>
      <c r="G99" s="2"/>
      <c r="H99" s="2"/>
      <c r="I99" s="2"/>
      <c r="J99" s="2"/>
      <c r="K99" s="2"/>
      <c r="L99" s="2"/>
      <c r="M99" s="2"/>
      <c r="N99" s="2"/>
      <c r="O99" s="2"/>
      <c r="P99" s="2"/>
      <c r="Q99" s="2"/>
    </row>
    <row r="100" spans="1:17" ht="22.5" x14ac:dyDescent="0.2">
      <c r="A100" s="94" t="s">
        <v>236</v>
      </c>
      <c r="B100" s="94" t="s">
        <v>212</v>
      </c>
      <c r="C100" s="94" t="s">
        <v>213</v>
      </c>
      <c r="D100" s="94" t="s">
        <v>237</v>
      </c>
      <c r="E100" s="2"/>
      <c r="F100" s="2"/>
      <c r="G100" s="2"/>
      <c r="H100" s="2"/>
      <c r="I100" s="2"/>
      <c r="J100" s="2"/>
      <c r="K100" s="2"/>
      <c r="L100" s="2"/>
      <c r="M100" s="2"/>
      <c r="N100" s="2"/>
      <c r="O100" s="2"/>
      <c r="P100" s="2"/>
      <c r="Q100" s="2"/>
    </row>
    <row r="101" spans="1:17" ht="15" customHeight="1" x14ac:dyDescent="0.2">
      <c r="A101" s="4">
        <v>15</v>
      </c>
      <c r="B101" s="5">
        <v>68</v>
      </c>
      <c r="C101" s="60">
        <v>1.33</v>
      </c>
      <c r="D101" s="60">
        <f>C101*0.12</f>
        <v>0.15959999999999999</v>
      </c>
      <c r="E101" s="2"/>
      <c r="F101" s="2"/>
      <c r="G101" s="2"/>
      <c r="H101" s="2"/>
      <c r="I101" s="2"/>
      <c r="J101" s="2"/>
      <c r="K101" s="2"/>
      <c r="L101" s="2"/>
      <c r="M101" s="2"/>
      <c r="N101" s="2"/>
      <c r="O101" s="2"/>
      <c r="P101" s="2"/>
      <c r="Q101" s="2"/>
    </row>
    <row r="102" spans="1:17" ht="15" customHeight="1" x14ac:dyDescent="0.2">
      <c r="A102" s="48">
        <v>10</v>
      </c>
      <c r="B102" s="48">
        <v>50</v>
      </c>
      <c r="C102" s="71">
        <v>1</v>
      </c>
      <c r="D102" s="71">
        <f t="shared" ref="D102:D107" si="17">C102*0.12</f>
        <v>0.12</v>
      </c>
      <c r="E102" s="2"/>
      <c r="F102" s="2"/>
      <c r="G102" s="2"/>
      <c r="H102" s="2"/>
      <c r="I102" s="2"/>
      <c r="J102" s="2"/>
      <c r="K102" s="2"/>
      <c r="L102" s="2"/>
      <c r="M102" s="2"/>
      <c r="N102" s="2"/>
      <c r="O102" s="2"/>
      <c r="P102" s="2"/>
      <c r="Q102" s="2"/>
    </row>
    <row r="103" spans="1:17" ht="15" customHeight="1" x14ac:dyDescent="0.2">
      <c r="A103" s="5">
        <v>6</v>
      </c>
      <c r="B103" s="5">
        <v>30</v>
      </c>
      <c r="C103" s="60">
        <v>0.57999999999999996</v>
      </c>
      <c r="D103" s="60">
        <f t="shared" si="17"/>
        <v>6.9599999999999995E-2</v>
      </c>
      <c r="E103" s="2"/>
      <c r="F103" s="2"/>
      <c r="G103" s="2"/>
      <c r="H103" s="2"/>
      <c r="I103" s="2"/>
      <c r="J103" s="2"/>
      <c r="K103" s="2"/>
      <c r="L103" s="2"/>
      <c r="M103" s="2"/>
      <c r="N103" s="2"/>
      <c r="O103" s="2"/>
      <c r="P103" s="2"/>
      <c r="Q103" s="2"/>
    </row>
    <row r="104" spans="1:17" ht="15" customHeight="1" x14ac:dyDescent="0.2">
      <c r="A104" s="48" t="s">
        <v>222</v>
      </c>
      <c r="B104" s="48">
        <v>12</v>
      </c>
      <c r="C104" s="71">
        <v>0.25</v>
      </c>
      <c r="D104" s="71">
        <f t="shared" si="17"/>
        <v>0.03</v>
      </c>
      <c r="E104" s="2"/>
      <c r="F104" s="2"/>
      <c r="G104" s="2"/>
      <c r="H104" s="2"/>
      <c r="I104" s="2"/>
      <c r="J104" s="2"/>
      <c r="K104" s="2"/>
      <c r="L104" s="2"/>
      <c r="M104" s="2"/>
      <c r="N104" s="2"/>
      <c r="O104" s="2"/>
      <c r="P104" s="2"/>
      <c r="Q104" s="2"/>
    </row>
    <row r="105" spans="1:17" ht="15" customHeight="1" x14ac:dyDescent="0.2">
      <c r="A105" s="5" t="s">
        <v>225</v>
      </c>
      <c r="B105" s="5">
        <v>9</v>
      </c>
      <c r="C105" s="60">
        <v>0.17</v>
      </c>
      <c r="D105" s="60">
        <f t="shared" si="17"/>
        <v>2.0400000000000001E-2</v>
      </c>
      <c r="E105" s="2"/>
      <c r="F105" s="2"/>
      <c r="G105" s="2"/>
      <c r="H105" s="2"/>
      <c r="I105" s="2"/>
      <c r="J105" s="2"/>
      <c r="K105" s="2"/>
      <c r="L105" s="2"/>
      <c r="M105" s="2"/>
      <c r="N105" s="2"/>
      <c r="O105" s="2"/>
      <c r="P105" s="2"/>
      <c r="Q105" s="2"/>
    </row>
    <row r="106" spans="1:17" ht="15" customHeight="1" x14ac:dyDescent="0.2">
      <c r="A106" s="5">
        <v>1</v>
      </c>
      <c r="B106" s="5">
        <v>8</v>
      </c>
      <c r="C106" s="60">
        <v>0.17</v>
      </c>
      <c r="D106" s="60">
        <f t="shared" si="17"/>
        <v>2.0400000000000001E-2</v>
      </c>
      <c r="E106" s="2"/>
      <c r="F106" s="2"/>
      <c r="G106" s="2"/>
      <c r="H106" s="2"/>
      <c r="I106" s="2"/>
      <c r="J106" s="2"/>
      <c r="K106" s="2"/>
      <c r="L106" s="2"/>
      <c r="M106" s="2"/>
      <c r="N106" s="2"/>
      <c r="O106" s="2"/>
      <c r="P106" s="2"/>
      <c r="Q106" s="2"/>
    </row>
    <row r="107" spans="1:17" ht="15" customHeight="1" x14ac:dyDescent="0.2">
      <c r="A107" s="5">
        <v>0.625</v>
      </c>
      <c r="B107" s="5">
        <v>2</v>
      </c>
      <c r="C107" s="60">
        <v>0.04</v>
      </c>
      <c r="D107" s="69">
        <f t="shared" si="17"/>
        <v>4.7999999999999996E-3</v>
      </c>
      <c r="E107" s="2"/>
      <c r="F107" s="2"/>
      <c r="G107" s="2"/>
      <c r="H107" s="2"/>
      <c r="I107" s="2"/>
      <c r="J107" s="2"/>
      <c r="K107" s="2"/>
      <c r="L107" s="2"/>
      <c r="M107" s="2"/>
      <c r="N107" s="2"/>
      <c r="O107" s="2"/>
      <c r="P107" s="2"/>
      <c r="Q107" s="2"/>
    </row>
    <row r="108" spans="1:17" ht="15" customHeight="1" x14ac:dyDescent="0.2">
      <c r="A108" s="48" t="s">
        <v>148</v>
      </c>
      <c r="B108" s="48">
        <v>100</v>
      </c>
      <c r="C108" s="71">
        <v>2</v>
      </c>
      <c r="D108" s="71">
        <f>C108*0.12</f>
        <v>0.24</v>
      </c>
      <c r="E108" s="2"/>
      <c r="F108" s="2"/>
      <c r="G108" s="2"/>
      <c r="H108" s="2"/>
      <c r="I108" s="2"/>
      <c r="J108" s="2"/>
      <c r="K108" s="2"/>
      <c r="L108" s="2"/>
      <c r="M108" s="2"/>
      <c r="N108" s="2"/>
      <c r="O108" s="2"/>
      <c r="P108" s="2"/>
      <c r="Q108" s="2"/>
    </row>
    <row r="109" spans="1:17" ht="15" customHeight="1" x14ac:dyDescent="0.2">
      <c r="A109" s="138" t="s">
        <v>238</v>
      </c>
      <c r="B109" s="138"/>
      <c r="C109" s="138"/>
      <c r="D109" s="138"/>
      <c r="E109" s="70"/>
      <c r="F109" s="70"/>
      <c r="G109" s="70"/>
      <c r="H109" s="2"/>
      <c r="I109" s="2"/>
      <c r="J109" s="2"/>
      <c r="K109" s="2"/>
      <c r="L109" s="2"/>
      <c r="M109" s="2"/>
      <c r="N109" s="2"/>
      <c r="O109" s="2"/>
      <c r="P109" s="2"/>
      <c r="Q109" s="2"/>
    </row>
    <row r="110" spans="1:17" ht="15" customHeight="1" x14ac:dyDescent="0.2">
      <c r="A110" s="70"/>
      <c r="B110" s="70"/>
      <c r="C110" s="70"/>
      <c r="D110" s="70"/>
      <c r="E110" s="70"/>
      <c r="F110" s="70"/>
      <c r="G110" s="70"/>
      <c r="H110" s="2"/>
      <c r="I110" s="2"/>
      <c r="J110" s="2"/>
      <c r="K110" s="2"/>
      <c r="L110" s="2"/>
      <c r="M110" s="2"/>
      <c r="N110" s="2"/>
      <c r="O110" s="2"/>
      <c r="P110" s="2"/>
      <c r="Q110" s="2"/>
    </row>
    <row r="111" spans="1:17" ht="15" customHeight="1" x14ac:dyDescent="0.2">
      <c r="A111" s="70"/>
      <c r="B111" s="70"/>
      <c r="C111" s="70"/>
      <c r="D111" s="70"/>
      <c r="E111" s="70"/>
      <c r="F111" s="70"/>
      <c r="G111" s="70"/>
      <c r="H111" s="2"/>
      <c r="I111" s="2"/>
      <c r="J111" s="2"/>
      <c r="K111" s="2"/>
      <c r="L111" s="2"/>
      <c r="M111" s="2"/>
      <c r="N111" s="2"/>
      <c r="O111" s="2"/>
      <c r="P111" s="2"/>
      <c r="Q111" s="2"/>
    </row>
    <row r="112" spans="1:17" ht="15" customHeight="1" x14ac:dyDescent="0.2">
      <c r="A112" s="157" t="s">
        <v>266</v>
      </c>
      <c r="B112" s="105"/>
      <c r="C112" s="106"/>
      <c r="D112" s="70"/>
      <c r="E112" s="70"/>
      <c r="F112" s="70"/>
      <c r="G112" s="70"/>
      <c r="H112" s="2"/>
      <c r="I112" s="2"/>
      <c r="J112" s="2"/>
      <c r="K112" s="2"/>
      <c r="L112" s="2"/>
      <c r="M112" s="2"/>
      <c r="N112" s="2"/>
      <c r="O112" s="2"/>
      <c r="P112" s="2"/>
      <c r="Q112" s="2"/>
    </row>
    <row r="113" spans="1:17" ht="15" customHeight="1" x14ac:dyDescent="0.2">
      <c r="A113" s="158"/>
      <c r="B113" s="107"/>
      <c r="C113" s="108"/>
      <c r="D113" s="70"/>
      <c r="E113" s="70"/>
      <c r="F113" s="70"/>
      <c r="G113" s="70"/>
      <c r="H113" s="2"/>
      <c r="I113" s="2"/>
      <c r="J113" s="2"/>
      <c r="K113" s="2"/>
      <c r="L113" s="2"/>
      <c r="M113" s="2"/>
      <c r="N113" s="2"/>
      <c r="O113" s="2"/>
      <c r="P113" s="2"/>
      <c r="Q113" s="2"/>
    </row>
    <row r="114" spans="1:17" ht="15" customHeight="1" x14ac:dyDescent="0.2">
      <c r="A114" s="158"/>
      <c r="B114" s="107"/>
      <c r="C114" s="108"/>
      <c r="D114" s="2"/>
      <c r="E114" s="2"/>
      <c r="F114" s="2"/>
      <c r="G114" s="2"/>
      <c r="H114" s="2"/>
      <c r="I114" s="2"/>
      <c r="J114" s="2"/>
      <c r="K114" s="2"/>
      <c r="L114" s="2"/>
      <c r="M114" s="2"/>
      <c r="N114" s="2"/>
      <c r="O114" s="2"/>
      <c r="P114" s="2"/>
      <c r="Q114" s="2"/>
    </row>
    <row r="115" spans="1:17" ht="15" customHeight="1" x14ac:dyDescent="0.2">
      <c r="A115" s="158"/>
      <c r="B115" s="160" t="s">
        <v>268</v>
      </c>
      <c r="C115" s="161"/>
      <c r="D115" s="2"/>
      <c r="E115" s="2"/>
      <c r="F115" s="2"/>
      <c r="G115" s="2"/>
      <c r="H115" s="2"/>
      <c r="I115" s="2"/>
      <c r="J115" s="2"/>
      <c r="K115" s="2"/>
      <c r="L115" s="2"/>
      <c r="M115" s="2"/>
      <c r="N115" s="2"/>
      <c r="O115" s="2"/>
      <c r="P115" s="2"/>
      <c r="Q115" s="2"/>
    </row>
    <row r="116" spans="1:17" ht="15" customHeight="1" x14ac:dyDescent="0.2">
      <c r="A116" s="158"/>
      <c r="B116" s="162"/>
      <c r="C116" s="163"/>
      <c r="D116" s="2"/>
      <c r="E116" s="2"/>
      <c r="F116" s="2"/>
      <c r="G116" s="2"/>
      <c r="H116" s="2"/>
      <c r="I116" s="2"/>
      <c r="J116" s="2"/>
      <c r="K116" s="2"/>
      <c r="L116" s="2"/>
      <c r="M116" s="2"/>
      <c r="N116" s="2"/>
      <c r="O116" s="2"/>
      <c r="P116" s="2"/>
      <c r="Q116" s="2"/>
    </row>
    <row r="117" spans="1:17" ht="15" customHeight="1" x14ac:dyDescent="0.2">
      <c r="A117" s="159"/>
      <c r="B117" s="164"/>
      <c r="C117" s="165"/>
      <c r="D117" s="2"/>
      <c r="E117" s="2"/>
      <c r="F117" s="2"/>
      <c r="G117" s="2"/>
      <c r="H117" s="2"/>
      <c r="I117" s="2"/>
      <c r="J117" s="2"/>
      <c r="K117" s="2"/>
      <c r="L117" s="2"/>
      <c r="M117" s="2"/>
      <c r="N117" s="2"/>
      <c r="O117" s="2"/>
      <c r="P117" s="2"/>
      <c r="Q117" s="2"/>
    </row>
    <row r="118" spans="1:17" ht="15" customHeight="1" x14ac:dyDescent="0.2">
      <c r="A118" s="2"/>
      <c r="B118" s="2"/>
      <c r="C118" s="2"/>
      <c r="D118" s="2"/>
      <c r="E118" s="2"/>
      <c r="F118" s="2"/>
      <c r="G118" s="2"/>
      <c r="H118" s="2"/>
      <c r="I118" s="2"/>
      <c r="J118" s="2"/>
      <c r="K118" s="2"/>
      <c r="L118" s="2"/>
      <c r="M118" s="2"/>
      <c r="N118" s="2"/>
      <c r="O118" s="2"/>
      <c r="P118" s="2"/>
      <c r="Q118" s="2"/>
    </row>
    <row r="119" spans="1:17" ht="15" customHeight="1" x14ac:dyDescent="0.2">
      <c r="A119" s="2"/>
      <c r="B119" s="2"/>
      <c r="C119" s="2"/>
      <c r="D119" s="2"/>
      <c r="E119" s="2"/>
      <c r="F119" s="2"/>
      <c r="G119" s="2"/>
      <c r="H119" s="2"/>
      <c r="I119" s="2"/>
      <c r="J119" s="2"/>
      <c r="K119" s="2"/>
      <c r="L119" s="2"/>
      <c r="M119" s="2"/>
      <c r="N119" s="2"/>
      <c r="O119" s="2"/>
      <c r="P119" s="2"/>
      <c r="Q119" s="2"/>
    </row>
    <row r="120" spans="1:17" ht="15" customHeight="1" x14ac:dyDescent="0.2">
      <c r="A120" s="2"/>
      <c r="B120" s="2"/>
      <c r="C120" s="2"/>
      <c r="D120" s="2"/>
      <c r="E120" s="2"/>
      <c r="F120" s="2"/>
      <c r="G120" s="2"/>
      <c r="H120" s="2"/>
      <c r="I120" s="2"/>
      <c r="J120" s="2"/>
      <c r="K120" s="2"/>
      <c r="L120" s="2"/>
      <c r="M120" s="2"/>
      <c r="N120" s="2"/>
      <c r="O120" s="2"/>
      <c r="P120" s="2"/>
      <c r="Q120" s="2"/>
    </row>
    <row r="121" spans="1:17" ht="15" customHeight="1" x14ac:dyDescent="0.2">
      <c r="A121" s="2"/>
      <c r="B121" s="2"/>
      <c r="C121" s="2"/>
      <c r="D121" s="2"/>
      <c r="E121" s="2"/>
      <c r="F121" s="2"/>
      <c r="G121" s="2"/>
      <c r="H121" s="2"/>
      <c r="I121" s="2"/>
      <c r="J121" s="2"/>
      <c r="K121" s="2"/>
      <c r="L121" s="2"/>
      <c r="M121" s="2"/>
      <c r="N121" s="2"/>
      <c r="O121" s="2"/>
      <c r="P121" s="2"/>
      <c r="Q121" s="2"/>
    </row>
    <row r="122" spans="1:17" ht="15" customHeight="1" x14ac:dyDescent="0.2">
      <c r="A122" s="2"/>
      <c r="B122" s="2"/>
      <c r="C122" s="2"/>
      <c r="D122" s="2"/>
      <c r="E122" s="2"/>
      <c r="F122" s="2"/>
      <c r="G122" s="2"/>
      <c r="H122" s="2"/>
      <c r="I122" s="2"/>
      <c r="J122" s="2"/>
      <c r="K122" s="2"/>
      <c r="L122" s="2"/>
      <c r="M122" s="2"/>
      <c r="N122" s="2"/>
      <c r="O122" s="2"/>
      <c r="P122" s="2"/>
      <c r="Q122" s="2"/>
    </row>
    <row r="123" spans="1:17" ht="15" customHeight="1" x14ac:dyDescent="0.2">
      <c r="A123" s="2"/>
      <c r="B123" s="2"/>
      <c r="C123" s="2"/>
      <c r="D123" s="2"/>
      <c r="E123" s="2"/>
      <c r="F123" s="2"/>
      <c r="G123" s="2"/>
      <c r="H123" s="2"/>
      <c r="I123" s="2"/>
      <c r="J123" s="2"/>
      <c r="K123" s="2"/>
      <c r="L123" s="2"/>
      <c r="M123" s="2"/>
      <c r="N123" s="2"/>
      <c r="O123" s="2"/>
      <c r="P123" s="2"/>
      <c r="Q123" s="2"/>
    </row>
    <row r="124" spans="1:17" ht="15" customHeight="1" x14ac:dyDescent="0.2">
      <c r="A124" s="2"/>
      <c r="B124" s="2"/>
      <c r="C124" s="2"/>
      <c r="D124" s="2"/>
      <c r="E124" s="2"/>
      <c r="F124" s="2"/>
      <c r="G124" s="2"/>
      <c r="H124" s="2"/>
      <c r="I124" s="2"/>
      <c r="J124" s="2"/>
      <c r="K124" s="2"/>
      <c r="L124" s="2"/>
      <c r="M124" s="2"/>
      <c r="N124" s="2"/>
      <c r="O124" s="2"/>
      <c r="P124" s="2"/>
      <c r="Q124" s="2"/>
    </row>
    <row r="125" spans="1:17" ht="15" customHeight="1" x14ac:dyDescent="0.2">
      <c r="A125" s="2"/>
      <c r="B125" s="2"/>
      <c r="C125" s="2"/>
      <c r="D125" s="2"/>
      <c r="E125" s="2"/>
      <c r="F125" s="2"/>
      <c r="G125" s="2"/>
      <c r="H125" s="2"/>
      <c r="I125" s="2"/>
      <c r="J125" s="2"/>
      <c r="K125" s="2"/>
      <c r="L125" s="2"/>
      <c r="M125" s="2"/>
      <c r="N125" s="2"/>
      <c r="O125" s="2"/>
      <c r="P125" s="2"/>
      <c r="Q125" s="2"/>
    </row>
    <row r="126" spans="1:17" ht="15" customHeight="1" x14ac:dyDescent="0.2">
      <c r="A126" s="2"/>
      <c r="B126" s="2"/>
      <c r="C126" s="2"/>
      <c r="D126" s="2"/>
      <c r="E126" s="2"/>
      <c r="F126" s="2"/>
      <c r="G126" s="2"/>
      <c r="H126" s="2"/>
      <c r="I126" s="2"/>
      <c r="J126" s="2"/>
      <c r="K126" s="2"/>
      <c r="L126" s="2"/>
      <c r="M126" s="2"/>
      <c r="N126" s="2"/>
      <c r="O126" s="2"/>
      <c r="P126" s="2"/>
      <c r="Q126" s="2"/>
    </row>
    <row r="127" spans="1:17" ht="15" customHeight="1" x14ac:dyDescent="0.2">
      <c r="A127" s="2"/>
      <c r="B127" s="2"/>
      <c r="C127" s="2"/>
      <c r="D127" s="2"/>
      <c r="E127" s="2"/>
      <c r="F127" s="2"/>
      <c r="G127" s="2"/>
      <c r="H127" s="2"/>
      <c r="I127" s="2"/>
      <c r="J127" s="2"/>
      <c r="K127" s="2"/>
      <c r="L127" s="2"/>
      <c r="M127" s="2"/>
      <c r="N127" s="2"/>
      <c r="O127" s="2"/>
      <c r="P127" s="2"/>
      <c r="Q127" s="2"/>
    </row>
    <row r="128" spans="1:17" ht="15" customHeight="1" x14ac:dyDescent="0.2">
      <c r="A128" s="2"/>
      <c r="B128" s="2"/>
      <c r="C128" s="2"/>
      <c r="D128" s="2"/>
      <c r="E128" s="2"/>
      <c r="F128" s="2"/>
      <c r="G128" s="2"/>
      <c r="H128" s="2"/>
      <c r="I128" s="2"/>
      <c r="J128" s="2"/>
      <c r="K128" s="2"/>
      <c r="L128" s="2"/>
      <c r="M128" s="2"/>
      <c r="N128" s="2"/>
      <c r="O128" s="2"/>
      <c r="P128" s="2"/>
      <c r="Q128" s="2"/>
    </row>
    <row r="129" spans="1:17" ht="15" customHeight="1" x14ac:dyDescent="0.2">
      <c r="A129" s="2"/>
      <c r="B129" s="2"/>
      <c r="C129" s="2"/>
      <c r="D129" s="2"/>
      <c r="E129" s="2"/>
      <c r="F129" s="2"/>
      <c r="G129" s="2"/>
      <c r="H129" s="2"/>
      <c r="I129" s="2"/>
      <c r="J129" s="2"/>
      <c r="K129" s="2"/>
      <c r="L129" s="2"/>
      <c r="M129" s="2"/>
      <c r="N129" s="2"/>
      <c r="O129" s="2"/>
      <c r="P129" s="2"/>
      <c r="Q129" s="2"/>
    </row>
    <row r="130" spans="1:17" ht="15" customHeight="1" x14ac:dyDescent="0.2">
      <c r="A130" s="2"/>
      <c r="B130" s="2"/>
      <c r="C130" s="2"/>
      <c r="D130" s="2"/>
      <c r="E130" s="2"/>
      <c r="F130" s="2"/>
      <c r="G130" s="2"/>
      <c r="H130" s="2"/>
      <c r="I130" s="2"/>
      <c r="J130" s="2"/>
      <c r="K130" s="2"/>
      <c r="L130" s="2"/>
      <c r="M130" s="2"/>
      <c r="N130" s="2"/>
      <c r="O130" s="2"/>
      <c r="P130" s="2"/>
      <c r="Q130" s="2"/>
    </row>
    <row r="131" spans="1:17" ht="15" customHeight="1" x14ac:dyDescent="0.2">
      <c r="A131" s="2"/>
      <c r="B131" s="2"/>
      <c r="C131" s="2"/>
      <c r="D131" s="2"/>
      <c r="E131" s="2"/>
      <c r="F131" s="2"/>
      <c r="G131" s="2"/>
      <c r="H131" s="2"/>
      <c r="I131" s="2"/>
      <c r="J131" s="2"/>
      <c r="K131" s="2"/>
      <c r="L131" s="2"/>
      <c r="M131" s="2"/>
      <c r="N131" s="2"/>
      <c r="O131" s="2"/>
      <c r="P131" s="2"/>
      <c r="Q131" s="2"/>
    </row>
  </sheetData>
  <sheetProtection password="B056" sheet="1" objects="1" scenarios="1"/>
  <mergeCells count="48">
    <mergeCell ref="A112:A117"/>
    <mergeCell ref="B115:C117"/>
    <mergeCell ref="A10:G10"/>
    <mergeCell ref="A14:G14"/>
    <mergeCell ref="A17:G17"/>
    <mergeCell ref="A19:G20"/>
    <mergeCell ref="A27:N27"/>
    <mergeCell ref="A38:N38"/>
    <mergeCell ref="A44:N45"/>
    <mergeCell ref="A47:I47"/>
    <mergeCell ref="A48:A49"/>
    <mergeCell ref="B48:B49"/>
    <mergeCell ref="C48:E48"/>
    <mergeCell ref="F48:G48"/>
    <mergeCell ref="H48:I48"/>
    <mergeCell ref="A52:I55"/>
    <mergeCell ref="I2:L2"/>
    <mergeCell ref="A5:G5"/>
    <mergeCell ref="A2:G2"/>
    <mergeCell ref="A3:A4"/>
    <mergeCell ref="B3:D3"/>
    <mergeCell ref="E3:G3"/>
    <mergeCell ref="I15:L17"/>
    <mergeCell ref="A24:N24"/>
    <mergeCell ref="A25:A26"/>
    <mergeCell ref="B25:C25"/>
    <mergeCell ref="D25:E25"/>
    <mergeCell ref="F25:H25"/>
    <mergeCell ref="I25:K25"/>
    <mergeCell ref="L25:N25"/>
    <mergeCell ref="A57:G57"/>
    <mergeCell ref="A58:G58"/>
    <mergeCell ref="A60:G60"/>
    <mergeCell ref="A67:G67"/>
    <mergeCell ref="A98:D98"/>
    <mergeCell ref="A99:D99"/>
    <mergeCell ref="A109:D109"/>
    <mergeCell ref="A92:G96"/>
    <mergeCell ref="A72:G72"/>
    <mergeCell ref="A78:G78"/>
    <mergeCell ref="A80:G80"/>
    <mergeCell ref="A81:A83"/>
    <mergeCell ref="B81:C81"/>
    <mergeCell ref="D81:G81"/>
    <mergeCell ref="B82:B83"/>
    <mergeCell ref="C82:C83"/>
    <mergeCell ref="D82:E82"/>
    <mergeCell ref="F82:G82"/>
  </mergeCells>
  <pageMargins left="0.511811024" right="0.511811024" top="0.78740157499999996" bottom="0.78740157499999996" header="0.31496062000000002" footer="0.31496062000000002"/>
  <pageSetup paperSize="9"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K5" sqref="K5"/>
    </sheetView>
  </sheetViews>
  <sheetFormatPr defaultRowHeight="15" x14ac:dyDescent="0.25"/>
  <cols>
    <col min="1" max="1" width="19.42578125" bestFit="1" customWidth="1"/>
    <col min="2" max="2" width="17.42578125" customWidth="1"/>
  </cols>
  <sheetData>
    <row r="1" spans="1:12" x14ac:dyDescent="0.25">
      <c r="A1" s="2" t="s">
        <v>276</v>
      </c>
    </row>
    <row r="2" spans="1:12" x14ac:dyDescent="0.25">
      <c r="A2" s="95" t="s">
        <v>240</v>
      </c>
      <c r="B2" s="95" t="s">
        <v>241</v>
      </c>
      <c r="C2" s="95" t="s">
        <v>242</v>
      </c>
      <c r="D2" s="95" t="s">
        <v>243</v>
      </c>
      <c r="E2" s="95" t="s">
        <v>244</v>
      </c>
      <c r="F2" s="95" t="s">
        <v>245</v>
      </c>
      <c r="G2" s="95" t="s">
        <v>246</v>
      </c>
    </row>
    <row r="3" spans="1:12" x14ac:dyDescent="0.25">
      <c r="A3" s="170" t="s">
        <v>247</v>
      </c>
      <c r="B3" s="109" t="s">
        <v>248</v>
      </c>
      <c r="C3" s="9">
        <v>9.3630013476799761E-3</v>
      </c>
      <c r="D3" s="9">
        <v>7.4519991808693467E-2</v>
      </c>
      <c r="E3" s="9">
        <v>8.6033551570891521E-5</v>
      </c>
      <c r="F3" s="9">
        <v>9.6138212535283471E-2</v>
      </c>
      <c r="G3" s="9">
        <v>4.226926262316423E-2</v>
      </c>
      <c r="L3" s="74"/>
    </row>
    <row r="4" spans="1:12" x14ac:dyDescent="0.25">
      <c r="A4" s="170"/>
      <c r="B4" s="109" t="s">
        <v>249</v>
      </c>
      <c r="C4" s="9">
        <v>1.9432717920016346E-2</v>
      </c>
      <c r="D4" s="9">
        <v>0.19770476916405869</v>
      </c>
      <c r="E4" s="9">
        <v>1.6614354833010314E-4</v>
      </c>
      <c r="F4" s="9">
        <v>0.10602299202233414</v>
      </c>
      <c r="G4" s="9">
        <v>3.5663485612068627E-2</v>
      </c>
      <c r="L4" s="74"/>
    </row>
    <row r="5" spans="1:12" x14ac:dyDescent="0.25">
      <c r="A5" s="170"/>
      <c r="B5" s="109" t="s">
        <v>250</v>
      </c>
      <c r="C5" s="9">
        <v>1.8879850739384012E-2</v>
      </c>
      <c r="D5" s="9">
        <v>0.31861247152656436</v>
      </c>
      <c r="E5" s="9">
        <v>2.8608393717488665E-4</v>
      </c>
      <c r="F5" s="9">
        <v>0.15162091846570119</v>
      </c>
      <c r="G5" s="9">
        <v>4.2373566784726938E-2</v>
      </c>
      <c r="I5" s="74"/>
      <c r="L5" s="74"/>
    </row>
    <row r="6" spans="1:12" x14ac:dyDescent="0.25">
      <c r="A6" s="170"/>
      <c r="B6" s="109" t="s">
        <v>251</v>
      </c>
      <c r="C6" s="9">
        <v>1.2379282144095784E-2</v>
      </c>
      <c r="D6" s="9">
        <v>0.40506800826818495</v>
      </c>
      <c r="E6" s="9">
        <v>3.9360565132436678E-4</v>
      </c>
      <c r="F6" s="9">
        <v>8.7074543299048776E-2</v>
      </c>
      <c r="G6" s="9">
        <v>3.457791520160676E-2</v>
      </c>
      <c r="L6" s="74"/>
    </row>
    <row r="7" spans="1:12" x14ac:dyDescent="0.25">
      <c r="A7" s="170"/>
      <c r="B7" s="109" t="s">
        <v>252</v>
      </c>
      <c r="C7" s="9">
        <v>1.6493488182013304E-2</v>
      </c>
      <c r="D7" s="9">
        <v>0.50757511605008721</v>
      </c>
      <c r="E7" s="9">
        <v>4.9410057705164077E-4</v>
      </c>
      <c r="F7" s="9">
        <v>0.12597072839531243</v>
      </c>
      <c r="G7" s="9">
        <v>4.4813003055424828E-2</v>
      </c>
      <c r="L7" s="74"/>
    </row>
    <row r="10" spans="1:12" x14ac:dyDescent="0.25">
      <c r="A10" s="157" t="s">
        <v>266</v>
      </c>
      <c r="B10" s="171"/>
      <c r="C10" s="172"/>
      <c r="D10" s="172"/>
      <c r="E10" s="173"/>
    </row>
    <row r="11" spans="1:12" x14ac:dyDescent="0.25">
      <c r="A11" s="158"/>
      <c r="B11" s="174"/>
      <c r="C11" s="175"/>
      <c r="D11" s="175"/>
      <c r="E11" s="176"/>
    </row>
    <row r="12" spans="1:12" x14ac:dyDescent="0.25">
      <c r="A12" s="158"/>
      <c r="B12" s="177"/>
      <c r="C12" s="178"/>
      <c r="D12" s="178"/>
      <c r="E12" s="179"/>
    </row>
    <row r="13" spans="1:12" x14ac:dyDescent="0.25">
      <c r="A13" s="158"/>
      <c r="B13" s="160" t="s">
        <v>267</v>
      </c>
      <c r="C13" s="180"/>
      <c r="D13" s="180"/>
      <c r="E13" s="161"/>
    </row>
    <row r="14" spans="1:12" x14ac:dyDescent="0.25">
      <c r="A14" s="158"/>
      <c r="B14" s="162"/>
      <c r="C14" s="181"/>
      <c r="D14" s="181"/>
      <c r="E14" s="163"/>
    </row>
    <row r="15" spans="1:12" x14ac:dyDescent="0.25">
      <c r="A15" s="158"/>
      <c r="B15" s="162"/>
      <c r="C15" s="181"/>
      <c r="D15" s="181"/>
      <c r="E15" s="163"/>
    </row>
    <row r="16" spans="1:12" x14ac:dyDescent="0.25">
      <c r="A16" s="159"/>
      <c r="B16" s="164"/>
      <c r="C16" s="182"/>
      <c r="D16" s="182"/>
      <c r="E16" s="165"/>
    </row>
    <row r="18" spans="1:1" x14ac:dyDescent="0.25">
      <c r="A18" s="2" t="s">
        <v>283</v>
      </c>
    </row>
    <row r="19" spans="1:1" x14ac:dyDescent="0.25">
      <c r="A19" s="2" t="s">
        <v>284</v>
      </c>
    </row>
  </sheetData>
  <sheetProtection password="B056" sheet="1" objects="1" scenarios="1"/>
  <mergeCells count="4">
    <mergeCell ref="A3:A7"/>
    <mergeCell ref="A10:A16"/>
    <mergeCell ref="B10:E12"/>
    <mergeCell ref="B13:E16"/>
  </mergeCells>
  <pageMargins left="0.511811024" right="0.511811024" top="0.78740157499999996" bottom="0.78740157499999996" header="0.31496062000000002" footer="0.31496062000000002"/>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33"/>
  <sheetViews>
    <sheetView workbookViewId="0">
      <selection activeCell="G17" sqref="G17"/>
    </sheetView>
  </sheetViews>
  <sheetFormatPr defaultRowHeight="15" x14ac:dyDescent="0.25"/>
  <cols>
    <col min="1" max="1" width="27.85546875" customWidth="1"/>
    <col min="2" max="2" width="15" customWidth="1"/>
    <col min="3" max="3" width="18" bestFit="1" customWidth="1"/>
    <col min="4" max="4" width="17.85546875" bestFit="1" customWidth="1"/>
    <col min="5" max="5" width="18" bestFit="1" customWidth="1"/>
    <col min="6" max="6" width="16.28515625" bestFit="1" customWidth="1"/>
    <col min="7" max="7" width="19.42578125" bestFit="1" customWidth="1"/>
    <col min="8" max="8" width="16.28515625" bestFit="1" customWidth="1"/>
    <col min="9" max="9" width="16.28515625" customWidth="1"/>
    <col min="10" max="15" width="16.28515625" bestFit="1" customWidth="1"/>
    <col min="18" max="18" width="14.28515625" bestFit="1" customWidth="1"/>
    <col min="19" max="19" width="13.85546875" bestFit="1" customWidth="1"/>
  </cols>
  <sheetData>
    <row r="1" spans="1:20" x14ac:dyDescent="0.25">
      <c r="A1" s="3" t="s">
        <v>151</v>
      </c>
    </row>
    <row r="2" spans="1:20" x14ac:dyDescent="0.25">
      <c r="A2" s="114" t="s">
        <v>26</v>
      </c>
      <c r="B2" s="183" t="s">
        <v>27</v>
      </c>
      <c r="C2" s="184"/>
      <c r="D2" s="14" t="s">
        <v>28</v>
      </c>
      <c r="E2" s="14" t="s">
        <v>29</v>
      </c>
      <c r="F2" s="14" t="s">
        <v>30</v>
      </c>
      <c r="G2" s="14" t="s">
        <v>31</v>
      </c>
    </row>
    <row r="3" spans="1:20" x14ac:dyDescent="0.25">
      <c r="A3" s="15" t="s">
        <v>32</v>
      </c>
      <c r="B3" s="16" t="s">
        <v>33</v>
      </c>
      <c r="C3" s="16" t="s">
        <v>34</v>
      </c>
      <c r="D3" s="16" t="s">
        <v>35</v>
      </c>
      <c r="E3" s="16" t="s">
        <v>36</v>
      </c>
      <c r="F3" s="16" t="s">
        <v>37</v>
      </c>
      <c r="G3" s="16" t="s">
        <v>38</v>
      </c>
    </row>
    <row r="4" spans="1:20" x14ac:dyDescent="0.25">
      <c r="A4" s="15" t="s">
        <v>39</v>
      </c>
      <c r="B4" s="16" t="s">
        <v>33</v>
      </c>
      <c r="C4" s="16" t="s">
        <v>34</v>
      </c>
      <c r="D4" s="16" t="s">
        <v>35</v>
      </c>
      <c r="E4" s="16" t="s">
        <v>36</v>
      </c>
      <c r="F4" s="16" t="s">
        <v>40</v>
      </c>
      <c r="G4" s="16" t="s">
        <v>41</v>
      </c>
    </row>
    <row r="5" spans="1:20" x14ac:dyDescent="0.25">
      <c r="A5" s="15" t="s">
        <v>42</v>
      </c>
      <c r="B5" s="16" t="s">
        <v>33</v>
      </c>
      <c r="C5" s="16" t="s">
        <v>43</v>
      </c>
      <c r="D5" s="16" t="s">
        <v>35</v>
      </c>
      <c r="E5" s="16" t="s">
        <v>44</v>
      </c>
      <c r="F5" s="16" t="s">
        <v>45</v>
      </c>
      <c r="G5" s="16" t="s">
        <v>46</v>
      </c>
    </row>
    <row r="6" spans="1:20" x14ac:dyDescent="0.25">
      <c r="A6" s="15" t="s">
        <v>47</v>
      </c>
      <c r="B6" s="16" t="s">
        <v>33</v>
      </c>
      <c r="C6" s="16" t="s">
        <v>43</v>
      </c>
      <c r="D6" s="16" t="s">
        <v>35</v>
      </c>
      <c r="E6" s="16" t="s">
        <v>48</v>
      </c>
      <c r="F6" s="16" t="s">
        <v>45</v>
      </c>
      <c r="G6" s="16" t="s">
        <v>49</v>
      </c>
    </row>
    <row r="7" spans="1:20" x14ac:dyDescent="0.25">
      <c r="A7" s="15" t="s">
        <v>50</v>
      </c>
      <c r="B7" s="16" t="s">
        <v>33</v>
      </c>
      <c r="C7" s="16" t="s">
        <v>43</v>
      </c>
      <c r="D7" s="16" t="s">
        <v>35</v>
      </c>
      <c r="E7" s="16" t="s">
        <v>51</v>
      </c>
      <c r="F7" s="16" t="s">
        <v>52</v>
      </c>
      <c r="G7" s="16" t="s">
        <v>53</v>
      </c>
    </row>
    <row r="8" spans="1:20" x14ac:dyDescent="0.25">
      <c r="A8" s="15" t="s">
        <v>54</v>
      </c>
      <c r="B8" s="16" t="s">
        <v>33</v>
      </c>
      <c r="C8" s="16" t="s">
        <v>43</v>
      </c>
      <c r="D8" s="16" t="s">
        <v>55</v>
      </c>
      <c r="E8" s="16" t="s">
        <v>44</v>
      </c>
      <c r="F8" s="17" t="s">
        <v>56</v>
      </c>
      <c r="G8" s="16" t="s">
        <v>57</v>
      </c>
    </row>
    <row r="9" spans="1:20" x14ac:dyDescent="0.25">
      <c r="A9" s="15" t="s">
        <v>58</v>
      </c>
      <c r="B9" s="16" t="s">
        <v>59</v>
      </c>
      <c r="C9" s="16" t="s">
        <v>60</v>
      </c>
      <c r="D9" s="16" t="s">
        <v>61</v>
      </c>
      <c r="E9" s="16" t="s">
        <v>62</v>
      </c>
      <c r="F9" s="16" t="s">
        <v>63</v>
      </c>
      <c r="G9" s="16" t="s">
        <v>64</v>
      </c>
    </row>
    <row r="12" spans="1:20" x14ac:dyDescent="0.25">
      <c r="A12" s="185" t="s">
        <v>65</v>
      </c>
      <c r="B12" s="186"/>
      <c r="C12" s="18" t="s">
        <v>66</v>
      </c>
      <c r="D12" s="18" t="s">
        <v>66</v>
      </c>
      <c r="E12" s="18" t="s">
        <v>66</v>
      </c>
      <c r="F12" s="18" t="s">
        <v>66</v>
      </c>
      <c r="G12" s="18" t="s">
        <v>66</v>
      </c>
      <c r="H12" s="19" t="s">
        <v>66</v>
      </c>
      <c r="I12" s="19" t="s">
        <v>66</v>
      </c>
      <c r="J12" s="19" t="s">
        <v>66</v>
      </c>
      <c r="K12" s="19" t="s">
        <v>66</v>
      </c>
      <c r="L12" s="19" t="s">
        <v>66</v>
      </c>
      <c r="M12" s="19" t="s">
        <v>66</v>
      </c>
      <c r="N12" s="19" t="s">
        <v>66</v>
      </c>
      <c r="O12" s="19" t="s">
        <v>66</v>
      </c>
    </row>
    <row r="13" spans="1:20" x14ac:dyDescent="0.25">
      <c r="A13" s="20" t="s">
        <v>67</v>
      </c>
      <c r="B13" s="20" t="s">
        <v>68</v>
      </c>
      <c r="C13" s="18" t="s">
        <v>69</v>
      </c>
      <c r="D13" s="18" t="s">
        <v>69</v>
      </c>
      <c r="E13" s="18" t="s">
        <v>69</v>
      </c>
      <c r="F13" s="18" t="s">
        <v>69</v>
      </c>
      <c r="G13" s="18" t="s">
        <v>69</v>
      </c>
      <c r="H13" s="19" t="s">
        <v>69</v>
      </c>
      <c r="I13" s="19" t="s">
        <v>69</v>
      </c>
      <c r="J13" s="19" t="s">
        <v>69</v>
      </c>
      <c r="K13" s="19" t="s">
        <v>69</v>
      </c>
      <c r="L13" s="19" t="s">
        <v>69</v>
      </c>
      <c r="M13" s="19" t="s">
        <v>69</v>
      </c>
      <c r="N13" s="19" t="s">
        <v>69</v>
      </c>
      <c r="O13" s="19" t="s">
        <v>70</v>
      </c>
    </row>
    <row r="14" spans="1:20" x14ac:dyDescent="0.25">
      <c r="A14" s="20"/>
      <c r="B14" s="20" t="s">
        <v>71</v>
      </c>
      <c r="C14" s="21" t="s">
        <v>72</v>
      </c>
      <c r="D14" s="21" t="s">
        <v>73</v>
      </c>
      <c r="E14" s="21" t="s">
        <v>74</v>
      </c>
      <c r="F14" s="21" t="s">
        <v>75</v>
      </c>
      <c r="G14" s="21" t="s">
        <v>76</v>
      </c>
      <c r="H14" s="22" t="s">
        <v>77</v>
      </c>
      <c r="I14" s="22" t="s">
        <v>78</v>
      </c>
      <c r="J14" s="22" t="s">
        <v>79</v>
      </c>
      <c r="K14" s="22" t="s">
        <v>80</v>
      </c>
      <c r="L14" s="22" t="s">
        <v>81</v>
      </c>
      <c r="M14" s="22" t="s">
        <v>82</v>
      </c>
      <c r="N14" s="22" t="s">
        <v>83</v>
      </c>
      <c r="O14" s="22"/>
    </row>
    <row r="15" spans="1:20" x14ac:dyDescent="0.25">
      <c r="A15" s="15" t="s">
        <v>84</v>
      </c>
      <c r="B15" s="20" t="s">
        <v>85</v>
      </c>
      <c r="C15" s="23">
        <v>200090</v>
      </c>
      <c r="D15" s="23">
        <v>195565</v>
      </c>
      <c r="E15" s="23">
        <v>236326</v>
      </c>
      <c r="F15" s="23">
        <v>210930</v>
      </c>
      <c r="G15" s="23">
        <v>234362</v>
      </c>
      <c r="H15" s="23">
        <v>262299</v>
      </c>
      <c r="I15" s="23">
        <v>253809</v>
      </c>
      <c r="J15" s="23">
        <v>241241</v>
      </c>
      <c r="K15" s="23">
        <v>234510</v>
      </c>
      <c r="L15" s="23">
        <v>203937</v>
      </c>
      <c r="M15" s="23">
        <v>214788</v>
      </c>
      <c r="N15" s="23">
        <v>204617</v>
      </c>
      <c r="O15" s="24">
        <f>C15+D15+E15+F15+G15+H15+I15+J15+K15+L15+M15+N15</f>
        <v>2692474</v>
      </c>
      <c r="R15" s="187" t="s">
        <v>145</v>
      </c>
      <c r="S15" s="187"/>
      <c r="T15" s="40"/>
    </row>
    <row r="16" spans="1:20" x14ac:dyDescent="0.25">
      <c r="A16" s="15" t="s">
        <v>86</v>
      </c>
      <c r="B16" s="15" t="s">
        <v>85</v>
      </c>
      <c r="C16" s="23">
        <v>158880</v>
      </c>
      <c r="D16" s="23">
        <v>167448</v>
      </c>
      <c r="E16" s="23">
        <v>201048</v>
      </c>
      <c r="F16" s="23">
        <v>187008</v>
      </c>
      <c r="G16" s="23">
        <v>194100</v>
      </c>
      <c r="H16" s="23">
        <v>206436</v>
      </c>
      <c r="I16" s="25">
        <v>198960</v>
      </c>
      <c r="J16" s="23">
        <v>202572</v>
      </c>
      <c r="K16" s="23">
        <v>203268</v>
      </c>
      <c r="L16" s="23">
        <v>194980</v>
      </c>
      <c r="M16" s="23">
        <v>182880</v>
      </c>
      <c r="N16" s="23">
        <f>N15*0.84</f>
        <v>171878.28</v>
      </c>
      <c r="O16" s="24">
        <f>C16+D16+E16+F16+G16+H16+I16+J16+K16+L16+M16+N16</f>
        <v>2269458.2799999998</v>
      </c>
      <c r="P16">
        <f>O16/O15</f>
        <v>0.8428895803636357</v>
      </c>
      <c r="R16" s="38" t="s">
        <v>143</v>
      </c>
      <c r="S16" s="38" t="s">
        <v>144</v>
      </c>
    </row>
    <row r="17" spans="1:19" x14ac:dyDescent="0.25">
      <c r="A17" s="15" t="s">
        <v>87</v>
      </c>
      <c r="B17" s="15" t="s">
        <v>85</v>
      </c>
      <c r="C17" s="23">
        <f t="shared" ref="C17:N17" si="0">C15-C16</f>
        <v>41210</v>
      </c>
      <c r="D17" s="23">
        <f t="shared" si="0"/>
        <v>28117</v>
      </c>
      <c r="E17" s="23">
        <f t="shared" si="0"/>
        <v>35278</v>
      </c>
      <c r="F17" s="23">
        <f t="shared" si="0"/>
        <v>23922</v>
      </c>
      <c r="G17" s="23">
        <f t="shared" si="0"/>
        <v>40262</v>
      </c>
      <c r="H17" s="23">
        <f t="shared" si="0"/>
        <v>55863</v>
      </c>
      <c r="I17" s="23">
        <f t="shared" si="0"/>
        <v>54849</v>
      </c>
      <c r="J17" s="23">
        <f t="shared" si="0"/>
        <v>38669</v>
      </c>
      <c r="K17" s="23">
        <f t="shared" si="0"/>
        <v>31242</v>
      </c>
      <c r="L17" s="23">
        <f t="shared" si="0"/>
        <v>8957</v>
      </c>
      <c r="M17" s="23">
        <f t="shared" si="0"/>
        <v>31908</v>
      </c>
      <c r="N17" s="23">
        <f t="shared" si="0"/>
        <v>32738.720000000001</v>
      </c>
      <c r="O17" s="24">
        <f>C17+D17+E17+F17+G17+H17+I17+J17+K17+L17+M17+N17</f>
        <v>423015.72</v>
      </c>
      <c r="P17">
        <f>O17/O15</f>
        <v>0.15711041963636416</v>
      </c>
      <c r="R17" s="39">
        <f>O16*0.44</f>
        <v>998561.64319999993</v>
      </c>
      <c r="S17" s="41">
        <f>O16-R17</f>
        <v>1270896.6368</v>
      </c>
    </row>
    <row r="18" spans="1:19" x14ac:dyDescent="0.25">
      <c r="A18" s="15" t="s">
        <v>88</v>
      </c>
      <c r="B18" s="15" t="s">
        <v>89</v>
      </c>
      <c r="C18" s="23">
        <v>2480</v>
      </c>
      <c r="D18" s="23">
        <v>1660</v>
      </c>
      <c r="E18" s="23">
        <v>1800</v>
      </c>
      <c r="F18" s="23">
        <v>1080</v>
      </c>
      <c r="G18" s="23">
        <v>1620</v>
      </c>
      <c r="H18" s="23">
        <v>820</v>
      </c>
      <c r="I18" s="26">
        <v>1300</v>
      </c>
      <c r="J18" s="23">
        <v>1260</v>
      </c>
      <c r="K18" s="23">
        <v>920</v>
      </c>
      <c r="L18" s="23">
        <v>1140</v>
      </c>
      <c r="M18" s="23">
        <v>1080</v>
      </c>
      <c r="N18" s="23">
        <v>660</v>
      </c>
      <c r="O18" s="24">
        <f>C18+D18+E18+F18+G18+H18+I18+J18+K18+L18+M18+N18</f>
        <v>15820</v>
      </c>
    </row>
    <row r="19" spans="1:19" x14ac:dyDescent="0.25">
      <c r="C19" s="35"/>
      <c r="D19" s="35"/>
      <c r="E19" s="35"/>
      <c r="F19" s="35"/>
      <c r="G19" s="35"/>
      <c r="H19" s="35"/>
      <c r="I19" s="35"/>
      <c r="J19" s="35"/>
      <c r="K19" s="35"/>
      <c r="L19" s="35"/>
      <c r="M19" s="35"/>
      <c r="N19" s="35"/>
      <c r="O19" s="35"/>
      <c r="R19" s="43"/>
      <c r="S19" s="43"/>
    </row>
    <row r="20" spans="1:19" ht="15.75" thickBot="1" x14ac:dyDescent="0.3">
      <c r="R20" s="38"/>
      <c r="S20" s="38"/>
    </row>
    <row r="21" spans="1:19" ht="16.5" thickBot="1" x14ac:dyDescent="0.3">
      <c r="A21" s="110" t="s">
        <v>98</v>
      </c>
      <c r="B21" s="111" t="s">
        <v>99</v>
      </c>
      <c r="C21" s="37" t="s">
        <v>145</v>
      </c>
      <c r="D21" s="37" t="s">
        <v>99</v>
      </c>
      <c r="E21" s="37" t="s">
        <v>145</v>
      </c>
      <c r="H21" s="27" t="s">
        <v>90</v>
      </c>
      <c r="I21" s="27" t="s">
        <v>91</v>
      </c>
      <c r="R21" s="42"/>
      <c r="S21" s="42"/>
    </row>
    <row r="22" spans="1:19" ht="15.75" thickBot="1" x14ac:dyDescent="0.3">
      <c r="A22" s="30" t="s">
        <v>100</v>
      </c>
      <c r="B22" s="31">
        <v>0.51</v>
      </c>
      <c r="C22" s="39">
        <f>$O$15*B22</f>
        <v>1373161.74</v>
      </c>
      <c r="D22" s="37" t="s">
        <v>146</v>
      </c>
      <c r="E22" s="37" t="s">
        <v>146</v>
      </c>
      <c r="H22" s="28" t="s">
        <v>92</v>
      </c>
      <c r="I22" s="29" t="s">
        <v>93</v>
      </c>
    </row>
    <row r="23" spans="1:19" ht="15.75" thickBot="1" x14ac:dyDescent="0.3">
      <c r="A23" s="30" t="s">
        <v>101</v>
      </c>
      <c r="B23" s="31">
        <v>7.0000000000000007E-2</v>
      </c>
      <c r="C23" s="39">
        <f>$O$15*B23</f>
        <v>188473.18000000002</v>
      </c>
      <c r="D23" s="44">
        <v>0.14285714285714299</v>
      </c>
      <c r="E23" s="39">
        <f>D23*$O$17</f>
        <v>60430.817142857195</v>
      </c>
      <c r="H23" s="28" t="s">
        <v>94</v>
      </c>
      <c r="I23" s="29" t="s">
        <v>95</v>
      </c>
    </row>
    <row r="24" spans="1:19" ht="15.75" thickBot="1" x14ac:dyDescent="0.3">
      <c r="A24" s="30" t="s">
        <v>102</v>
      </c>
      <c r="B24" s="31">
        <v>0.09</v>
      </c>
      <c r="C24" s="39">
        <f t="shared" ref="C24:C27" si="1">$O$15*B24</f>
        <v>242322.66</v>
      </c>
      <c r="D24" s="44">
        <v>0.183673469387755</v>
      </c>
      <c r="E24" s="39">
        <f t="shared" ref="E24:E27" si="2">D24*$O$17</f>
        <v>77696.764897959132</v>
      </c>
      <c r="H24" s="28" t="s">
        <v>96</v>
      </c>
      <c r="I24" s="29" t="s">
        <v>97</v>
      </c>
    </row>
    <row r="25" spans="1:19" ht="15.75" thickBot="1" x14ac:dyDescent="0.3">
      <c r="A25" s="30" t="s">
        <v>103</v>
      </c>
      <c r="B25" s="31">
        <v>0.2</v>
      </c>
      <c r="C25" s="39">
        <f t="shared" si="1"/>
        <v>538494.80000000005</v>
      </c>
      <c r="D25" s="44">
        <v>0.40816326530612201</v>
      </c>
      <c r="E25" s="39">
        <f t="shared" si="2"/>
        <v>172659.47755102022</v>
      </c>
    </row>
    <row r="26" spans="1:19" ht="15.75" thickBot="1" x14ac:dyDescent="0.3">
      <c r="A26" s="30" t="s">
        <v>104</v>
      </c>
      <c r="B26" s="31">
        <v>0.09</v>
      </c>
      <c r="C26" s="39">
        <f t="shared" si="1"/>
        <v>242322.66</v>
      </c>
      <c r="D26" s="44">
        <v>0.183673469387755</v>
      </c>
      <c r="E26" s="39">
        <f t="shared" si="2"/>
        <v>77696.764897959132</v>
      </c>
    </row>
    <row r="27" spans="1:19" ht="15.75" thickBot="1" x14ac:dyDescent="0.3">
      <c r="A27" s="30" t="s">
        <v>105</v>
      </c>
      <c r="B27" s="31">
        <v>0.04</v>
      </c>
      <c r="C27" s="39">
        <f t="shared" si="1"/>
        <v>107698.96</v>
      </c>
      <c r="D27" s="44">
        <v>8.1632653061224497E-2</v>
      </c>
      <c r="E27" s="39">
        <f t="shared" si="2"/>
        <v>34531.895510204085</v>
      </c>
      <c r="H27" s="188" t="s">
        <v>258</v>
      </c>
      <c r="I27" s="188"/>
    </row>
    <row r="28" spans="1:19" ht="15.75" thickBot="1" x14ac:dyDescent="0.3">
      <c r="A28" s="112" t="s">
        <v>106</v>
      </c>
      <c r="B28" s="113">
        <v>1</v>
      </c>
      <c r="C28" s="39">
        <f>SUM(C22:C27)</f>
        <v>2692474</v>
      </c>
      <c r="D28" s="44">
        <f>SUM(D23:D27)</f>
        <v>0.99999999999999944</v>
      </c>
      <c r="E28" s="39">
        <f>SUM(E23:E27)</f>
        <v>423015.71999999974</v>
      </c>
      <c r="H28" s="77" t="s">
        <v>259</v>
      </c>
      <c r="I28" s="78">
        <v>1</v>
      </c>
    </row>
    <row r="29" spans="1:19" x14ac:dyDescent="0.25">
      <c r="H29" s="79" t="s">
        <v>260</v>
      </c>
      <c r="I29" s="78">
        <v>2.5</v>
      </c>
    </row>
    <row r="30" spans="1:19" x14ac:dyDescent="0.25">
      <c r="H30" s="78" t="s">
        <v>261</v>
      </c>
      <c r="I30" s="81" t="s">
        <v>262</v>
      </c>
    </row>
    <row r="31" spans="1:19" x14ac:dyDescent="0.25">
      <c r="A31" s="1" t="s">
        <v>142</v>
      </c>
      <c r="H31" s="78" t="s">
        <v>263</v>
      </c>
      <c r="I31" s="80">
        <v>7363</v>
      </c>
    </row>
    <row r="32" spans="1:19" x14ac:dyDescent="0.25">
      <c r="H32" s="37"/>
      <c r="I32" s="37"/>
    </row>
    <row r="33" spans="8:9" x14ac:dyDescent="0.25">
      <c r="H33" s="37"/>
      <c r="I33" s="37"/>
    </row>
  </sheetData>
  <sheetProtection password="B056" sheet="1" objects="1" scenarios="1"/>
  <mergeCells count="4">
    <mergeCell ref="B2:C2"/>
    <mergeCell ref="A12:B12"/>
    <mergeCell ref="R15:S15"/>
    <mergeCell ref="H27:I27"/>
  </mergeCells>
  <pageMargins left="0.511811024" right="0.511811024" top="0.78740157499999996" bottom="0.78740157499999996" header="0.31496062000000002" footer="0.31496062000000002"/>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40"/>
  <sheetViews>
    <sheetView zoomScaleNormal="100" workbookViewId="0">
      <selection activeCell="I23" sqref="I23"/>
    </sheetView>
  </sheetViews>
  <sheetFormatPr defaultRowHeight="15" x14ac:dyDescent="0.25"/>
  <cols>
    <col min="1" max="1" width="20.7109375" customWidth="1"/>
    <col min="2" max="2" width="14.140625" customWidth="1"/>
    <col min="3" max="3" width="12.85546875" customWidth="1"/>
    <col min="4" max="4" width="13.42578125" customWidth="1"/>
    <col min="5" max="6" width="10.7109375" customWidth="1"/>
    <col min="8" max="8" width="20.7109375" customWidth="1"/>
    <col min="9" max="9" width="10.7109375" customWidth="1"/>
    <col min="10" max="13" width="9.7109375" customWidth="1"/>
    <col min="15" max="15" width="20.7109375" customWidth="1"/>
    <col min="16" max="16" width="10.7109375" customWidth="1"/>
    <col min="17" max="20" width="9.7109375" customWidth="1"/>
  </cols>
  <sheetData>
    <row r="1" spans="1:20" x14ac:dyDescent="0.25">
      <c r="A1" s="3" t="s">
        <v>151</v>
      </c>
      <c r="B1" s="38"/>
      <c r="C1" s="38"/>
      <c r="D1" s="38"/>
      <c r="E1" s="38"/>
      <c r="F1" s="38"/>
      <c r="G1" s="38"/>
      <c r="H1" s="38"/>
      <c r="I1" s="38"/>
      <c r="J1" s="38"/>
      <c r="K1" s="38"/>
      <c r="L1" s="38"/>
      <c r="M1" s="38"/>
      <c r="N1" s="38"/>
      <c r="O1" s="38"/>
      <c r="P1" s="38"/>
      <c r="Q1" s="38"/>
      <c r="R1" s="38"/>
      <c r="S1" s="38"/>
      <c r="T1" s="38"/>
    </row>
    <row r="2" spans="1:20" x14ac:dyDescent="0.25">
      <c r="A2" s="189" t="s">
        <v>15</v>
      </c>
      <c r="B2" s="189"/>
      <c r="C2" s="189"/>
      <c r="D2" s="189"/>
      <c r="E2" s="189"/>
      <c r="F2" s="189"/>
      <c r="G2" s="38"/>
      <c r="H2" s="189" t="s">
        <v>16</v>
      </c>
      <c r="I2" s="189"/>
      <c r="J2" s="189"/>
      <c r="K2" s="189"/>
      <c r="L2" s="189"/>
      <c r="M2" s="189"/>
      <c r="N2" s="38"/>
      <c r="O2" s="189" t="s">
        <v>17</v>
      </c>
      <c r="P2" s="189"/>
      <c r="Q2" s="189"/>
      <c r="R2" s="189"/>
      <c r="S2" s="189"/>
      <c r="T2" s="189"/>
    </row>
    <row r="3" spans="1:20" x14ac:dyDescent="0.25">
      <c r="A3" s="190" t="s">
        <v>18</v>
      </c>
      <c r="B3" s="191"/>
      <c r="C3" s="191"/>
      <c r="D3" s="191"/>
      <c r="E3" s="191"/>
      <c r="F3" s="192"/>
      <c r="G3" s="38"/>
      <c r="H3" s="190" t="s">
        <v>18</v>
      </c>
      <c r="I3" s="191"/>
      <c r="J3" s="191"/>
      <c r="K3" s="191"/>
      <c r="L3" s="191"/>
      <c r="M3" s="192"/>
      <c r="N3" s="38"/>
      <c r="O3" s="190" t="s">
        <v>18</v>
      </c>
      <c r="P3" s="191"/>
      <c r="Q3" s="191"/>
      <c r="R3" s="191"/>
      <c r="S3" s="191"/>
      <c r="T3" s="192"/>
    </row>
    <row r="4" spans="1:20" x14ac:dyDescent="0.25">
      <c r="A4" s="193" t="s">
        <v>3</v>
      </c>
      <c r="B4" s="193" t="s">
        <v>4</v>
      </c>
      <c r="C4" s="193" t="s">
        <v>5</v>
      </c>
      <c r="D4" s="193"/>
      <c r="E4" s="193"/>
      <c r="F4" s="193" t="s">
        <v>6</v>
      </c>
      <c r="G4" s="38"/>
      <c r="H4" s="193" t="s">
        <v>3</v>
      </c>
      <c r="I4" s="193" t="s">
        <v>4</v>
      </c>
      <c r="J4" s="193" t="s">
        <v>5</v>
      </c>
      <c r="K4" s="193"/>
      <c r="L4" s="193"/>
      <c r="M4" s="193" t="s">
        <v>6</v>
      </c>
      <c r="N4" s="38"/>
      <c r="O4" s="193" t="s">
        <v>3</v>
      </c>
      <c r="P4" s="193" t="s">
        <v>4</v>
      </c>
      <c r="Q4" s="193" t="s">
        <v>5</v>
      </c>
      <c r="R4" s="193"/>
      <c r="S4" s="193"/>
      <c r="T4" s="193" t="s">
        <v>6</v>
      </c>
    </row>
    <row r="5" spans="1:20" x14ac:dyDescent="0.25">
      <c r="A5" s="193"/>
      <c r="B5" s="193"/>
      <c r="C5" s="98">
        <v>1</v>
      </c>
      <c r="D5" s="98">
        <v>2</v>
      </c>
      <c r="E5" s="98">
        <v>3</v>
      </c>
      <c r="F5" s="193"/>
      <c r="G5" s="38"/>
      <c r="H5" s="193"/>
      <c r="I5" s="193"/>
      <c r="J5" s="98">
        <v>1</v>
      </c>
      <c r="K5" s="98">
        <v>2</v>
      </c>
      <c r="L5" s="98">
        <v>3</v>
      </c>
      <c r="M5" s="193"/>
      <c r="N5" s="38"/>
      <c r="O5" s="193"/>
      <c r="P5" s="193"/>
      <c r="Q5" s="98">
        <v>1</v>
      </c>
      <c r="R5" s="98">
        <v>2</v>
      </c>
      <c r="S5" s="98">
        <v>3</v>
      </c>
      <c r="T5" s="193"/>
    </row>
    <row r="6" spans="1:20" x14ac:dyDescent="0.25">
      <c r="A6" s="12" t="s">
        <v>19</v>
      </c>
      <c r="B6" s="98" t="s">
        <v>7</v>
      </c>
      <c r="C6" s="13">
        <v>80.150000000000006</v>
      </c>
      <c r="D6" s="13">
        <v>69.87</v>
      </c>
      <c r="E6" s="13">
        <v>73.98</v>
      </c>
      <c r="F6" s="13">
        <f t="shared" ref="F6:F7" si="0">AVERAGE(C6:E6)</f>
        <v>74.666666666666671</v>
      </c>
      <c r="G6" s="38"/>
      <c r="H6" s="12" t="s">
        <v>19</v>
      </c>
      <c r="I6" s="98" t="s">
        <v>7</v>
      </c>
      <c r="J6" s="13">
        <v>54.73</v>
      </c>
      <c r="K6" s="13">
        <v>50.67</v>
      </c>
      <c r="L6" s="13">
        <v>61.74</v>
      </c>
      <c r="M6" s="13">
        <f t="shared" ref="M6:M7" si="1">AVERAGE(J6:L6)</f>
        <v>55.713333333333338</v>
      </c>
      <c r="N6" s="38"/>
      <c r="O6" s="12" t="s">
        <v>19</v>
      </c>
      <c r="P6" s="98" t="s">
        <v>7</v>
      </c>
      <c r="Q6" s="13">
        <v>70.63</v>
      </c>
      <c r="R6" s="13">
        <v>72.12</v>
      </c>
      <c r="S6" s="13">
        <v>74.709999999999994</v>
      </c>
      <c r="T6" s="13">
        <f t="shared" ref="T6:T7" si="2">AVERAGE(Q6:S6)</f>
        <v>72.486666666666665</v>
      </c>
    </row>
    <row r="7" spans="1:20" x14ac:dyDescent="0.25">
      <c r="A7" s="12" t="s">
        <v>9</v>
      </c>
      <c r="B7" s="98" t="s">
        <v>8</v>
      </c>
      <c r="C7" s="13">
        <v>107</v>
      </c>
      <c r="D7" s="13">
        <v>97</v>
      </c>
      <c r="E7" s="13">
        <v>99</v>
      </c>
      <c r="F7" s="13">
        <f t="shared" si="0"/>
        <v>101</v>
      </c>
      <c r="G7" s="38"/>
      <c r="H7" s="12" t="s">
        <v>9</v>
      </c>
      <c r="I7" s="98" t="s">
        <v>8</v>
      </c>
      <c r="J7" s="13">
        <v>110</v>
      </c>
      <c r="K7" s="13">
        <v>103</v>
      </c>
      <c r="L7" s="13">
        <v>108</v>
      </c>
      <c r="M7" s="13">
        <f t="shared" si="1"/>
        <v>107</v>
      </c>
      <c r="N7" s="38"/>
      <c r="O7" s="12" t="s">
        <v>9</v>
      </c>
      <c r="P7" s="98" t="s">
        <v>8</v>
      </c>
      <c r="Q7" s="13">
        <v>154.69999999999999</v>
      </c>
      <c r="R7" s="13">
        <v>154.9</v>
      </c>
      <c r="S7" s="13">
        <v>155</v>
      </c>
      <c r="T7" s="13">
        <f t="shared" si="2"/>
        <v>154.86666666666667</v>
      </c>
    </row>
    <row r="8" spans="1:20" x14ac:dyDescent="0.25">
      <c r="A8" s="97" t="s">
        <v>20</v>
      </c>
      <c r="B8" s="118"/>
      <c r="C8" s="119"/>
      <c r="D8" s="118"/>
      <c r="E8" s="118"/>
      <c r="F8" s="118"/>
      <c r="G8" s="38"/>
      <c r="H8" s="97" t="s">
        <v>20</v>
      </c>
      <c r="I8" s="118"/>
      <c r="J8" s="119"/>
      <c r="K8" s="118"/>
      <c r="L8" s="118"/>
      <c r="M8" s="118"/>
      <c r="N8" s="38"/>
      <c r="O8" s="97" t="s">
        <v>20</v>
      </c>
      <c r="P8" s="118"/>
      <c r="Q8" s="119"/>
      <c r="R8" s="118"/>
      <c r="S8" s="118"/>
      <c r="T8" s="118"/>
    </row>
    <row r="9" spans="1:20" x14ac:dyDescent="0.25">
      <c r="A9" s="97" t="s">
        <v>21</v>
      </c>
      <c r="B9" s="97">
        <v>0.5</v>
      </c>
      <c r="C9" s="2"/>
      <c r="D9" s="2"/>
      <c r="E9" s="2"/>
      <c r="F9" s="2"/>
      <c r="G9" s="38"/>
      <c r="H9" s="97" t="s">
        <v>21</v>
      </c>
      <c r="I9" s="97">
        <v>0.5</v>
      </c>
      <c r="J9" s="2"/>
      <c r="K9" s="2"/>
      <c r="L9" s="2"/>
      <c r="M9" s="2"/>
      <c r="N9" s="38"/>
      <c r="O9" s="97" t="s">
        <v>21</v>
      </c>
      <c r="P9" s="97">
        <v>0.5</v>
      </c>
      <c r="Q9" s="2"/>
      <c r="R9" s="2"/>
      <c r="S9" s="2"/>
      <c r="T9" s="2"/>
    </row>
    <row r="10" spans="1:20" x14ac:dyDescent="0.25">
      <c r="A10" s="97" t="s">
        <v>22</v>
      </c>
      <c r="B10" s="2"/>
      <c r="C10" s="2"/>
      <c r="D10" s="2"/>
      <c r="E10" s="2"/>
      <c r="F10" s="2"/>
      <c r="G10" s="38"/>
      <c r="H10" s="97" t="s">
        <v>22</v>
      </c>
      <c r="I10" s="2"/>
      <c r="J10" s="2"/>
      <c r="K10" s="2"/>
      <c r="L10" s="2"/>
      <c r="M10" s="2"/>
      <c r="N10" s="38"/>
      <c r="O10" s="97" t="s">
        <v>22</v>
      </c>
      <c r="P10" s="2"/>
      <c r="Q10" s="2"/>
      <c r="R10" s="2"/>
      <c r="S10" s="2"/>
      <c r="T10" s="2"/>
    </row>
    <row r="11" spans="1:20" x14ac:dyDescent="0.25">
      <c r="A11" s="97"/>
      <c r="B11" s="2"/>
      <c r="C11" s="2"/>
      <c r="D11" s="2"/>
      <c r="E11" s="2"/>
      <c r="F11" s="2"/>
      <c r="G11" s="38"/>
      <c r="H11" s="97"/>
      <c r="I11" s="2"/>
      <c r="J11" s="2"/>
      <c r="K11" s="2"/>
      <c r="L11" s="2"/>
      <c r="M11" s="2"/>
      <c r="N11" s="38"/>
      <c r="O11" s="97"/>
      <c r="P11" s="2"/>
      <c r="Q11" s="2"/>
      <c r="R11" s="2"/>
      <c r="S11" s="2"/>
      <c r="T11" s="2"/>
    </row>
    <row r="12" spans="1:20" x14ac:dyDescent="0.25">
      <c r="A12" s="190" t="s">
        <v>23</v>
      </c>
      <c r="B12" s="191"/>
      <c r="C12" s="191"/>
      <c r="D12" s="191"/>
      <c r="E12" s="191"/>
      <c r="F12" s="192"/>
      <c r="G12" s="38"/>
      <c r="H12" s="190" t="s">
        <v>23</v>
      </c>
      <c r="I12" s="191"/>
      <c r="J12" s="191"/>
      <c r="K12" s="191"/>
      <c r="L12" s="191"/>
      <c r="M12" s="192"/>
      <c r="N12" s="38"/>
      <c r="O12" s="190" t="s">
        <v>23</v>
      </c>
      <c r="P12" s="191"/>
      <c r="Q12" s="191"/>
      <c r="R12" s="191"/>
      <c r="S12" s="191"/>
      <c r="T12" s="192"/>
    </row>
    <row r="13" spans="1:20" x14ac:dyDescent="0.25">
      <c r="A13" s="193" t="s">
        <v>3</v>
      </c>
      <c r="B13" s="193" t="s">
        <v>4</v>
      </c>
      <c r="C13" s="193" t="s">
        <v>5</v>
      </c>
      <c r="D13" s="193"/>
      <c r="E13" s="193"/>
      <c r="F13" s="193" t="s">
        <v>6</v>
      </c>
      <c r="G13" s="38"/>
      <c r="H13" s="193" t="s">
        <v>3</v>
      </c>
      <c r="I13" s="193" t="s">
        <v>4</v>
      </c>
      <c r="J13" s="193" t="s">
        <v>5</v>
      </c>
      <c r="K13" s="193"/>
      <c r="L13" s="193"/>
      <c r="M13" s="193" t="s">
        <v>6</v>
      </c>
      <c r="N13" s="38"/>
      <c r="O13" s="193" t="s">
        <v>3</v>
      </c>
      <c r="P13" s="193" t="s">
        <v>4</v>
      </c>
      <c r="Q13" s="193" t="s">
        <v>5</v>
      </c>
      <c r="R13" s="193"/>
      <c r="S13" s="193"/>
      <c r="T13" s="193" t="s">
        <v>6</v>
      </c>
    </row>
    <row r="14" spans="1:20" x14ac:dyDescent="0.25">
      <c r="A14" s="193"/>
      <c r="B14" s="193"/>
      <c r="C14" s="98">
        <v>1</v>
      </c>
      <c r="D14" s="98">
        <v>2</v>
      </c>
      <c r="E14" s="98">
        <v>3</v>
      </c>
      <c r="F14" s="193"/>
      <c r="G14" s="38"/>
      <c r="H14" s="193"/>
      <c r="I14" s="193"/>
      <c r="J14" s="98">
        <v>1</v>
      </c>
      <c r="K14" s="98">
        <v>2</v>
      </c>
      <c r="L14" s="98">
        <v>3</v>
      </c>
      <c r="M14" s="193"/>
      <c r="N14" s="38"/>
      <c r="O14" s="193"/>
      <c r="P14" s="193"/>
      <c r="Q14" s="98">
        <v>1</v>
      </c>
      <c r="R14" s="98">
        <v>2</v>
      </c>
      <c r="S14" s="98">
        <v>3</v>
      </c>
      <c r="T14" s="193"/>
    </row>
    <row r="15" spans="1:20" x14ac:dyDescent="0.25">
      <c r="A15" s="12" t="s">
        <v>19</v>
      </c>
      <c r="B15" s="98" t="s">
        <v>7</v>
      </c>
      <c r="C15" s="13">
        <v>76.040000000000006</v>
      </c>
      <c r="D15" s="13">
        <v>67.819999999999993</v>
      </c>
      <c r="E15" s="13">
        <v>63.71</v>
      </c>
      <c r="F15" s="13">
        <f>AVERAGE(C15:E15)</f>
        <v>69.190000000000012</v>
      </c>
      <c r="G15" s="38"/>
      <c r="H15" s="12" t="s">
        <v>19</v>
      </c>
      <c r="I15" s="98" t="s">
        <v>7</v>
      </c>
      <c r="J15" s="13">
        <v>73.89</v>
      </c>
      <c r="K15" s="13">
        <v>73.19</v>
      </c>
      <c r="L15" s="13">
        <v>82</v>
      </c>
      <c r="M15" s="13">
        <f t="shared" ref="M15:M16" si="3">AVERAGE(J15:L15)</f>
        <v>76.36</v>
      </c>
      <c r="N15" s="38"/>
      <c r="O15" s="12" t="s">
        <v>19</v>
      </c>
      <c r="P15" s="98" t="s">
        <v>7</v>
      </c>
      <c r="Q15" s="13">
        <v>112.93</v>
      </c>
      <c r="R15" s="13">
        <v>110.66</v>
      </c>
      <c r="S15" s="13">
        <v>95.79</v>
      </c>
      <c r="T15" s="13">
        <f t="shared" ref="T15:T16" si="4">AVERAGE(Q15:S15)</f>
        <v>106.46</v>
      </c>
    </row>
    <row r="16" spans="1:20" x14ac:dyDescent="0.25">
      <c r="A16" s="12" t="s">
        <v>9</v>
      </c>
      <c r="B16" s="98" t="s">
        <v>8</v>
      </c>
      <c r="C16" s="13">
        <v>110</v>
      </c>
      <c r="D16" s="13">
        <v>104.7</v>
      </c>
      <c r="E16" s="13">
        <v>104.4</v>
      </c>
      <c r="F16" s="13">
        <f>AVERAGE(C16:E16)</f>
        <v>106.36666666666667</v>
      </c>
      <c r="G16" s="38"/>
      <c r="H16" s="12" t="s">
        <v>9</v>
      </c>
      <c r="I16" s="98" t="s">
        <v>8</v>
      </c>
      <c r="J16" s="13">
        <v>115</v>
      </c>
      <c r="K16" s="13">
        <v>117</v>
      </c>
      <c r="L16" s="13">
        <v>113</v>
      </c>
      <c r="M16" s="13">
        <f t="shared" si="3"/>
        <v>115</v>
      </c>
      <c r="N16" s="38"/>
      <c r="O16" s="12" t="s">
        <v>9</v>
      </c>
      <c r="P16" s="98" t="s">
        <v>8</v>
      </c>
      <c r="Q16" s="13">
        <v>119.9</v>
      </c>
      <c r="R16" s="13">
        <v>115</v>
      </c>
      <c r="S16" s="13">
        <v>120.9</v>
      </c>
      <c r="T16" s="13">
        <f t="shared" si="4"/>
        <v>118.60000000000001</v>
      </c>
    </row>
    <row r="17" spans="1:20" x14ac:dyDescent="0.25">
      <c r="A17" s="97" t="s">
        <v>20</v>
      </c>
      <c r="B17" s="118"/>
      <c r="C17" s="119"/>
      <c r="D17" s="118"/>
      <c r="E17" s="118"/>
      <c r="F17" s="118"/>
      <c r="G17" s="38"/>
      <c r="H17" s="97" t="s">
        <v>20</v>
      </c>
      <c r="I17" s="118"/>
      <c r="J17" s="119"/>
      <c r="K17" s="118"/>
      <c r="L17" s="118"/>
      <c r="M17" s="118"/>
      <c r="N17" s="38"/>
      <c r="O17" s="97" t="s">
        <v>20</v>
      </c>
      <c r="P17" s="118"/>
      <c r="Q17" s="119"/>
      <c r="R17" s="118"/>
      <c r="S17" s="118"/>
      <c r="T17" s="118"/>
    </row>
    <row r="18" spans="1:20" x14ac:dyDescent="0.25">
      <c r="A18" s="97" t="s">
        <v>21</v>
      </c>
      <c r="B18" s="97">
        <v>0.5</v>
      </c>
      <c r="C18" s="2"/>
      <c r="D18" s="2"/>
      <c r="E18" s="2"/>
      <c r="F18" s="2"/>
      <c r="G18" s="38"/>
      <c r="H18" s="97" t="s">
        <v>21</v>
      </c>
      <c r="I18" s="97">
        <v>0.5</v>
      </c>
      <c r="J18" s="2"/>
      <c r="K18" s="2"/>
      <c r="L18" s="2"/>
      <c r="M18" s="2"/>
      <c r="N18" s="38"/>
      <c r="O18" s="97" t="s">
        <v>21</v>
      </c>
      <c r="P18" s="97">
        <v>0.5</v>
      </c>
      <c r="Q18" s="2"/>
      <c r="R18" s="2"/>
      <c r="S18" s="2"/>
      <c r="T18" s="2"/>
    </row>
    <row r="19" spans="1:20" x14ac:dyDescent="0.25">
      <c r="A19" s="97" t="s">
        <v>22</v>
      </c>
      <c r="B19" s="2"/>
      <c r="C19" s="2"/>
      <c r="D19" s="2"/>
      <c r="E19" s="2"/>
      <c r="F19" s="2"/>
      <c r="G19" s="38"/>
      <c r="H19" s="97" t="s">
        <v>22</v>
      </c>
      <c r="I19" s="2"/>
      <c r="J19" s="2"/>
      <c r="K19" s="2"/>
      <c r="L19" s="2"/>
      <c r="M19" s="2"/>
      <c r="N19" s="38"/>
      <c r="O19" s="97" t="s">
        <v>22</v>
      </c>
      <c r="P19" s="2"/>
      <c r="Q19" s="2"/>
      <c r="R19" s="2"/>
      <c r="S19" s="2"/>
      <c r="T19" s="2"/>
    </row>
    <row r="20" spans="1:20" x14ac:dyDescent="0.25">
      <c r="A20" s="38"/>
      <c r="B20" s="38"/>
      <c r="C20" s="38"/>
      <c r="D20" s="38"/>
      <c r="E20" s="38"/>
      <c r="F20" s="38"/>
      <c r="G20" s="38"/>
      <c r="H20" s="38"/>
      <c r="I20" s="38"/>
      <c r="J20" s="38"/>
      <c r="K20" s="38"/>
      <c r="L20" s="38"/>
      <c r="M20" s="38"/>
      <c r="N20" s="38"/>
      <c r="O20" s="38"/>
      <c r="P20" s="38"/>
      <c r="Q20" s="38"/>
      <c r="R20" s="38"/>
      <c r="S20" s="38"/>
      <c r="T20" s="38"/>
    </row>
    <row r="21" spans="1:20" x14ac:dyDescent="0.25">
      <c r="A21" s="38"/>
      <c r="B21" s="38"/>
      <c r="C21" s="38"/>
      <c r="D21" s="38"/>
      <c r="E21" s="38"/>
      <c r="F21" s="38"/>
      <c r="G21" s="38"/>
      <c r="H21" s="38"/>
      <c r="I21" s="38"/>
      <c r="J21" s="38"/>
      <c r="K21" s="38"/>
      <c r="L21" s="38"/>
      <c r="M21" s="38"/>
      <c r="N21" s="38"/>
      <c r="O21" s="38"/>
      <c r="P21" s="38"/>
      <c r="Q21" s="38"/>
      <c r="R21" s="38"/>
      <c r="S21" s="38"/>
      <c r="T21" s="38"/>
    </row>
    <row r="22" spans="1:20" x14ac:dyDescent="0.25">
      <c r="A22" s="38"/>
      <c r="B22" s="38"/>
      <c r="C22" s="38"/>
      <c r="D22" s="38"/>
      <c r="E22" s="38"/>
      <c r="F22" s="38"/>
      <c r="G22" s="38"/>
      <c r="H22" s="38"/>
      <c r="I22" s="38"/>
      <c r="J22" s="38"/>
      <c r="K22" s="38"/>
      <c r="L22" s="38"/>
      <c r="M22" s="38"/>
      <c r="N22" s="38"/>
      <c r="O22" s="38"/>
      <c r="P22" s="38"/>
      <c r="Q22" s="38"/>
      <c r="R22" s="38"/>
      <c r="S22" s="38"/>
      <c r="T22" s="38"/>
    </row>
    <row r="23" spans="1:20" ht="32.25" customHeight="1" x14ac:dyDescent="0.25">
      <c r="A23" s="115" t="s">
        <v>3</v>
      </c>
      <c r="B23" s="116" t="s">
        <v>18</v>
      </c>
      <c r="C23" s="116" t="s">
        <v>23</v>
      </c>
      <c r="D23" s="115" t="s">
        <v>4</v>
      </c>
      <c r="E23" s="38"/>
      <c r="F23" s="38"/>
      <c r="G23" s="38"/>
      <c r="H23" s="38"/>
      <c r="I23" s="38"/>
      <c r="J23" s="38"/>
      <c r="K23" s="38"/>
      <c r="L23" s="38"/>
      <c r="M23" s="38"/>
      <c r="N23" s="38"/>
      <c r="O23" s="38"/>
      <c r="P23" s="38"/>
      <c r="Q23" s="38"/>
      <c r="R23" s="38"/>
      <c r="S23" s="38"/>
      <c r="T23" s="38"/>
    </row>
    <row r="24" spans="1:20" x14ac:dyDescent="0.25">
      <c r="A24" s="120" t="s">
        <v>24</v>
      </c>
      <c r="B24" s="117">
        <f>AVERAGE(F6,M6,T6)</f>
        <v>67.62222222222222</v>
      </c>
      <c r="C24" s="117">
        <f>AVERAGE(F15,M15,T15)</f>
        <v>84.00333333333333</v>
      </c>
      <c r="D24" s="120" t="s">
        <v>7</v>
      </c>
      <c r="E24" s="38"/>
      <c r="F24" s="38"/>
      <c r="G24" s="38"/>
      <c r="H24" s="38"/>
      <c r="I24" s="38"/>
      <c r="J24" s="38"/>
      <c r="K24" s="38"/>
      <c r="L24" s="38"/>
      <c r="M24" s="38"/>
      <c r="N24" s="38"/>
      <c r="O24" s="38"/>
      <c r="P24" s="38"/>
      <c r="Q24" s="38"/>
      <c r="R24" s="38"/>
      <c r="S24" s="38"/>
      <c r="T24" s="38"/>
    </row>
    <row r="25" spans="1:20" x14ac:dyDescent="0.25">
      <c r="A25" s="120" t="s">
        <v>25</v>
      </c>
      <c r="B25" s="117">
        <f>AVERAGE(F7,M7,T7)</f>
        <v>120.95555555555556</v>
      </c>
      <c r="C25" s="117">
        <f>AVERAGE(F16,M16,T16)</f>
        <v>113.32222222222224</v>
      </c>
      <c r="D25" s="120" t="s">
        <v>8</v>
      </c>
      <c r="E25" s="38"/>
      <c r="F25" s="38"/>
      <c r="G25" s="38"/>
      <c r="H25" s="38"/>
      <c r="I25" s="38"/>
      <c r="J25" s="38"/>
      <c r="K25" s="38"/>
      <c r="L25" s="38"/>
      <c r="M25" s="38"/>
      <c r="N25" s="38"/>
      <c r="O25" s="38"/>
      <c r="P25" s="38"/>
      <c r="Q25" s="38"/>
      <c r="R25" s="38"/>
      <c r="S25" s="38"/>
      <c r="T25" s="38"/>
    </row>
    <row r="26" spans="1:20" x14ac:dyDescent="0.25">
      <c r="A26" s="38"/>
      <c r="B26" s="38"/>
      <c r="C26" s="38"/>
      <c r="D26" s="38"/>
      <c r="E26" s="38"/>
      <c r="F26" s="38"/>
      <c r="G26" s="38"/>
      <c r="H26" s="38"/>
      <c r="I26" s="38"/>
      <c r="J26" s="38"/>
      <c r="K26" s="38"/>
      <c r="L26" s="38"/>
      <c r="M26" s="38"/>
      <c r="N26" s="38"/>
      <c r="O26" s="38"/>
      <c r="P26" s="38"/>
      <c r="Q26" s="38"/>
      <c r="R26" s="38"/>
      <c r="S26" s="38"/>
      <c r="T26" s="38"/>
    </row>
    <row r="27" spans="1:20" x14ac:dyDescent="0.25">
      <c r="A27" s="38"/>
      <c r="B27" s="38"/>
      <c r="C27" s="38"/>
      <c r="D27" s="38"/>
      <c r="E27" s="38"/>
      <c r="F27" s="38"/>
      <c r="G27" s="38"/>
      <c r="H27" s="38"/>
      <c r="I27" s="38"/>
      <c r="J27" s="38"/>
      <c r="K27" s="38"/>
      <c r="L27" s="38"/>
      <c r="M27" s="38"/>
      <c r="N27" s="38"/>
      <c r="O27" s="38"/>
      <c r="P27" s="38"/>
      <c r="Q27" s="38"/>
      <c r="R27" s="38"/>
      <c r="S27" s="38"/>
      <c r="T27" s="38"/>
    </row>
    <row r="28" spans="1:20" x14ac:dyDescent="0.25">
      <c r="A28" s="38"/>
      <c r="B28" s="38"/>
      <c r="C28" s="38"/>
      <c r="D28" s="38"/>
      <c r="E28" s="38"/>
      <c r="F28" s="38"/>
      <c r="G28" s="38"/>
      <c r="H28" s="38"/>
      <c r="I28" s="38"/>
      <c r="J28" s="38"/>
      <c r="K28" s="38"/>
      <c r="L28" s="38"/>
      <c r="M28" s="38"/>
      <c r="N28" s="38"/>
      <c r="O28" s="38"/>
      <c r="P28" s="38"/>
      <c r="Q28" s="38"/>
      <c r="R28" s="38"/>
      <c r="S28" s="38"/>
      <c r="T28" s="38"/>
    </row>
    <row r="29" spans="1:20" x14ac:dyDescent="0.25">
      <c r="A29" s="38"/>
      <c r="B29" s="38"/>
      <c r="C29" s="38"/>
      <c r="D29" s="38"/>
      <c r="E29" s="38"/>
      <c r="F29" s="38"/>
      <c r="G29" s="38"/>
      <c r="H29" s="38"/>
      <c r="I29" s="38"/>
      <c r="J29" s="38"/>
      <c r="K29" s="38"/>
      <c r="L29" s="38"/>
      <c r="M29" s="38"/>
      <c r="N29" s="38"/>
      <c r="O29" s="38"/>
      <c r="P29" s="38"/>
      <c r="Q29" s="38"/>
      <c r="R29" s="38"/>
      <c r="S29" s="38"/>
      <c r="T29" s="38"/>
    </row>
    <row r="30" spans="1:20" x14ac:dyDescent="0.25">
      <c r="A30" s="38"/>
      <c r="B30" s="38"/>
      <c r="C30" s="38"/>
      <c r="D30" s="38"/>
      <c r="E30" s="38"/>
      <c r="F30" s="38"/>
      <c r="G30" s="38"/>
      <c r="H30" s="38"/>
      <c r="I30" s="38"/>
      <c r="J30" s="38"/>
      <c r="K30" s="38"/>
      <c r="L30" s="38"/>
      <c r="M30" s="38"/>
      <c r="N30" s="38"/>
      <c r="O30" s="38"/>
      <c r="P30" s="38"/>
      <c r="Q30" s="38"/>
      <c r="R30" s="38"/>
      <c r="S30" s="38"/>
      <c r="T30" s="38"/>
    </row>
    <row r="31" spans="1:20" x14ac:dyDescent="0.25">
      <c r="A31" s="38"/>
      <c r="B31" s="38"/>
      <c r="C31" s="38"/>
      <c r="D31" s="38"/>
      <c r="E31" s="38"/>
      <c r="F31" s="38"/>
      <c r="G31" s="38"/>
      <c r="H31" s="38"/>
      <c r="I31" s="38"/>
      <c r="J31" s="38"/>
      <c r="K31" s="38"/>
      <c r="L31" s="38"/>
      <c r="M31" s="38"/>
      <c r="N31" s="38"/>
      <c r="O31" s="38"/>
      <c r="P31" s="38"/>
      <c r="Q31" s="38"/>
      <c r="R31" s="38"/>
      <c r="S31" s="38"/>
      <c r="T31" s="38"/>
    </row>
    <row r="32" spans="1:20" x14ac:dyDescent="0.25">
      <c r="A32" s="38"/>
      <c r="B32" s="38"/>
      <c r="C32" s="38"/>
      <c r="D32" s="38"/>
      <c r="E32" s="38"/>
      <c r="F32" s="38"/>
      <c r="G32" s="38"/>
      <c r="H32" s="38"/>
      <c r="I32" s="38"/>
      <c r="J32" s="38"/>
      <c r="K32" s="38"/>
      <c r="L32" s="38"/>
      <c r="M32" s="38"/>
      <c r="N32" s="38"/>
      <c r="O32" s="38"/>
      <c r="P32" s="38"/>
      <c r="Q32" s="38"/>
      <c r="R32" s="38"/>
      <c r="S32" s="38"/>
      <c r="T32" s="38"/>
    </row>
    <row r="33" spans="1:20" x14ac:dyDescent="0.25">
      <c r="A33" s="38"/>
      <c r="B33" s="38"/>
      <c r="C33" s="38"/>
      <c r="D33" s="38"/>
      <c r="E33" s="38"/>
      <c r="F33" s="38"/>
      <c r="G33" s="38"/>
      <c r="H33" s="38"/>
      <c r="I33" s="38"/>
      <c r="J33" s="38"/>
      <c r="K33" s="38"/>
      <c r="L33" s="38"/>
      <c r="M33" s="38"/>
      <c r="N33" s="38"/>
      <c r="O33" s="38"/>
      <c r="P33" s="38"/>
      <c r="Q33" s="38"/>
      <c r="R33" s="38"/>
      <c r="S33" s="38"/>
      <c r="T33" s="38"/>
    </row>
    <row r="34" spans="1:20" x14ac:dyDescent="0.25">
      <c r="A34" s="38"/>
      <c r="B34" s="38"/>
      <c r="C34" s="38"/>
      <c r="D34" s="38"/>
      <c r="E34" s="38"/>
      <c r="F34" s="38"/>
      <c r="G34" s="38"/>
      <c r="H34" s="38"/>
      <c r="I34" s="38"/>
      <c r="J34" s="38"/>
      <c r="K34" s="38"/>
      <c r="L34" s="38"/>
      <c r="M34" s="38"/>
      <c r="N34" s="38"/>
      <c r="O34" s="38"/>
      <c r="P34" s="38"/>
      <c r="Q34" s="38"/>
      <c r="R34" s="38"/>
      <c r="S34" s="38"/>
      <c r="T34" s="38"/>
    </row>
    <row r="35" spans="1:20" x14ac:dyDescent="0.25">
      <c r="A35" s="38"/>
      <c r="B35" s="38"/>
      <c r="C35" s="38"/>
      <c r="D35" s="38"/>
      <c r="E35" s="38"/>
      <c r="F35" s="38"/>
      <c r="G35" s="38"/>
      <c r="H35" s="38"/>
      <c r="I35" s="38"/>
      <c r="J35" s="38"/>
      <c r="K35" s="38"/>
      <c r="L35" s="38"/>
      <c r="M35" s="38"/>
      <c r="N35" s="38"/>
      <c r="O35" s="38"/>
      <c r="P35" s="38"/>
      <c r="Q35" s="38"/>
      <c r="R35" s="38"/>
      <c r="S35" s="38"/>
      <c r="T35" s="38"/>
    </row>
    <row r="36" spans="1:20" x14ac:dyDescent="0.25">
      <c r="A36" s="38"/>
      <c r="B36" s="38"/>
      <c r="C36" s="38"/>
      <c r="D36" s="38"/>
      <c r="E36" s="38"/>
      <c r="F36" s="38"/>
      <c r="G36" s="38"/>
      <c r="H36" s="38"/>
      <c r="I36" s="38"/>
      <c r="J36" s="38"/>
      <c r="K36" s="38"/>
      <c r="L36" s="38"/>
      <c r="M36" s="38"/>
      <c r="N36" s="38"/>
      <c r="O36" s="38"/>
      <c r="P36" s="38"/>
      <c r="Q36" s="38"/>
      <c r="R36" s="38"/>
      <c r="S36" s="38"/>
      <c r="T36" s="38"/>
    </row>
    <row r="37" spans="1:20" x14ac:dyDescent="0.25">
      <c r="A37" s="38"/>
      <c r="B37" s="38"/>
      <c r="C37" s="38"/>
      <c r="D37" s="38"/>
      <c r="E37" s="38"/>
      <c r="F37" s="38"/>
      <c r="G37" s="38"/>
      <c r="H37" s="38"/>
      <c r="I37" s="38"/>
      <c r="J37" s="38"/>
      <c r="K37" s="38"/>
      <c r="L37" s="38"/>
      <c r="M37" s="38"/>
      <c r="N37" s="38"/>
      <c r="O37" s="38"/>
      <c r="P37" s="38"/>
      <c r="Q37" s="38"/>
      <c r="R37" s="38"/>
      <c r="S37" s="38"/>
      <c r="T37" s="38"/>
    </row>
    <row r="38" spans="1:20" x14ac:dyDescent="0.25">
      <c r="A38" s="38"/>
      <c r="B38" s="38"/>
      <c r="C38" s="38"/>
      <c r="D38" s="38"/>
      <c r="E38" s="38"/>
      <c r="F38" s="38"/>
      <c r="G38" s="38"/>
      <c r="H38" s="38"/>
      <c r="I38" s="38"/>
      <c r="J38" s="38"/>
      <c r="K38" s="38"/>
      <c r="L38" s="38"/>
      <c r="M38" s="38"/>
      <c r="N38" s="38"/>
      <c r="O38" s="38"/>
      <c r="P38" s="38"/>
      <c r="Q38" s="38"/>
      <c r="R38" s="38"/>
      <c r="S38" s="38"/>
      <c r="T38" s="38"/>
    </row>
    <row r="39" spans="1:20" x14ac:dyDescent="0.25">
      <c r="A39" s="38"/>
      <c r="B39" s="38"/>
      <c r="C39" s="38"/>
      <c r="D39" s="38"/>
      <c r="E39" s="38"/>
      <c r="F39" s="38"/>
      <c r="G39" s="38"/>
      <c r="H39" s="38"/>
      <c r="I39" s="38"/>
      <c r="J39" s="38"/>
      <c r="K39" s="38"/>
      <c r="L39" s="38"/>
      <c r="M39" s="38"/>
      <c r="N39" s="38"/>
      <c r="O39" s="38"/>
      <c r="P39" s="38"/>
      <c r="Q39" s="38"/>
      <c r="R39" s="38"/>
      <c r="S39" s="38"/>
      <c r="T39" s="38"/>
    </row>
    <row r="40" spans="1:20" x14ac:dyDescent="0.25">
      <c r="A40" s="38"/>
      <c r="B40" s="38"/>
      <c r="C40" s="38"/>
      <c r="D40" s="38"/>
      <c r="E40" s="38"/>
      <c r="F40" s="38"/>
      <c r="G40" s="38"/>
      <c r="H40" s="38"/>
      <c r="I40" s="38"/>
      <c r="J40" s="38"/>
      <c r="K40" s="38"/>
      <c r="L40" s="38"/>
      <c r="M40" s="38"/>
      <c r="N40" s="38"/>
      <c r="O40" s="38"/>
      <c r="P40" s="38"/>
      <c r="Q40" s="38"/>
      <c r="R40" s="38"/>
      <c r="S40" s="38"/>
      <c r="T40" s="38"/>
    </row>
  </sheetData>
  <sheetProtection password="B056" sheet="1" objects="1" scenarios="1"/>
  <mergeCells count="33">
    <mergeCell ref="A12:F12"/>
    <mergeCell ref="H12:M12"/>
    <mergeCell ref="O12:T12"/>
    <mergeCell ref="A13:A14"/>
    <mergeCell ref="B13:B14"/>
    <mergeCell ref="C13:E13"/>
    <mergeCell ref="F13:F14"/>
    <mergeCell ref="H13:H14"/>
    <mergeCell ref="I13:I14"/>
    <mergeCell ref="J13:L13"/>
    <mergeCell ref="M13:M14"/>
    <mergeCell ref="O13:O14"/>
    <mergeCell ref="P13:P14"/>
    <mergeCell ref="Q13:S13"/>
    <mergeCell ref="T13:T14"/>
    <mergeCell ref="O2:T2"/>
    <mergeCell ref="O3:T3"/>
    <mergeCell ref="O4:O5"/>
    <mergeCell ref="P4:P5"/>
    <mergeCell ref="Q4:S4"/>
    <mergeCell ref="T4:T5"/>
    <mergeCell ref="A2:F2"/>
    <mergeCell ref="H2:M2"/>
    <mergeCell ref="A3:F3"/>
    <mergeCell ref="H3:M3"/>
    <mergeCell ref="A4:A5"/>
    <mergeCell ref="B4:B5"/>
    <mergeCell ref="C4:E4"/>
    <mergeCell ref="F4:F5"/>
    <mergeCell ref="H4:H5"/>
    <mergeCell ref="I4:I5"/>
    <mergeCell ref="J4:L4"/>
    <mergeCell ref="M4:M5"/>
  </mergeCells>
  <pageMargins left="0.511811024" right="0.511811024" top="0.78740157499999996" bottom="0.78740157499999996" header="0.31496062000000002" footer="0.31496062000000002"/>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23"/>
  <sheetViews>
    <sheetView topLeftCell="M1" zoomScaleNormal="100" workbookViewId="0">
      <selection activeCell="W21" sqref="W21"/>
    </sheetView>
  </sheetViews>
  <sheetFormatPr defaultRowHeight="15" customHeight="1" x14ac:dyDescent="0.2"/>
  <cols>
    <col min="1" max="1" width="27.5703125" style="1" bestFit="1" customWidth="1"/>
    <col min="2" max="2" width="17.42578125" style="1" customWidth="1"/>
    <col min="3" max="3" width="18.140625" style="1" customWidth="1"/>
    <col min="4" max="5" width="15.7109375" style="1" customWidth="1"/>
    <col min="6" max="6" width="11.28515625" style="1" bestFit="1" customWidth="1"/>
    <col min="7" max="7" width="12.140625" style="1" customWidth="1"/>
    <col min="8" max="8" width="14.28515625" style="1" bestFit="1" customWidth="1"/>
    <col min="9" max="17" width="9.140625" style="1"/>
    <col min="18" max="18" width="9.140625" style="1" customWidth="1"/>
    <col min="19" max="16384" width="9.140625" style="1"/>
  </cols>
  <sheetData>
    <row r="1" spans="1:23" ht="15" customHeight="1" x14ac:dyDescent="0.2">
      <c r="A1" s="3" t="s">
        <v>140</v>
      </c>
      <c r="B1" s="36" t="s">
        <v>141</v>
      </c>
    </row>
    <row r="2" spans="1:23" ht="15" customHeight="1" x14ac:dyDescent="0.2">
      <c r="A2" s="2" t="s">
        <v>239</v>
      </c>
      <c r="B2" s="5">
        <v>0.18</v>
      </c>
    </row>
    <row r="3" spans="1:23" ht="15" customHeight="1" x14ac:dyDescent="0.2">
      <c r="A3" s="2"/>
      <c r="B3" s="5"/>
    </row>
    <row r="4" spans="1:23" ht="15" customHeight="1" x14ac:dyDescent="0.2">
      <c r="A4" s="3" t="s">
        <v>151</v>
      </c>
      <c r="B4" s="2"/>
      <c r="C4" s="2"/>
    </row>
    <row r="5" spans="1:23" ht="15" customHeight="1" x14ac:dyDescent="0.2">
      <c r="A5" s="195" t="s">
        <v>0</v>
      </c>
      <c r="B5" s="195" t="s">
        <v>264</v>
      </c>
      <c r="C5" s="195" t="s">
        <v>150</v>
      </c>
      <c r="D5" s="195" t="s">
        <v>277</v>
      </c>
      <c r="E5" s="195" t="s">
        <v>278</v>
      </c>
      <c r="F5" s="195" t="s">
        <v>279</v>
      </c>
      <c r="G5" s="195" t="s">
        <v>280</v>
      </c>
      <c r="H5" s="195" t="s">
        <v>281</v>
      </c>
      <c r="I5" s="195" t="s">
        <v>282</v>
      </c>
      <c r="J5" s="195" t="s">
        <v>269</v>
      </c>
      <c r="K5" s="195"/>
      <c r="L5" s="195"/>
      <c r="M5" s="195"/>
      <c r="N5" s="195"/>
      <c r="O5" s="195"/>
      <c r="P5" s="195"/>
      <c r="Q5" s="194" t="s">
        <v>1</v>
      </c>
      <c r="R5" s="194"/>
      <c r="S5" s="194"/>
      <c r="T5" s="194"/>
      <c r="U5" s="194"/>
      <c r="V5" s="194"/>
      <c r="W5" s="194"/>
    </row>
    <row r="6" spans="1:23" ht="15" customHeight="1" x14ac:dyDescent="0.2">
      <c r="A6" s="195"/>
      <c r="B6" s="195"/>
      <c r="C6" s="195"/>
      <c r="D6" s="195"/>
      <c r="E6" s="195"/>
      <c r="F6" s="195"/>
      <c r="G6" s="195"/>
      <c r="H6" s="195"/>
      <c r="I6" s="195"/>
      <c r="J6" s="129" t="s">
        <v>2</v>
      </c>
      <c r="K6" s="129" t="s">
        <v>13</v>
      </c>
      <c r="L6" s="129" t="s">
        <v>14</v>
      </c>
      <c r="M6" s="130" t="s">
        <v>108</v>
      </c>
      <c r="N6" s="130" t="s">
        <v>109</v>
      </c>
      <c r="O6" s="130" t="s">
        <v>107</v>
      </c>
      <c r="P6" s="130" t="s">
        <v>136</v>
      </c>
      <c r="Q6" s="129" t="s">
        <v>2</v>
      </c>
      <c r="R6" s="129" t="s">
        <v>13</v>
      </c>
      <c r="S6" s="129" t="s">
        <v>14</v>
      </c>
      <c r="T6" s="130" t="s">
        <v>108</v>
      </c>
      <c r="U6" s="130" t="s">
        <v>109</v>
      </c>
      <c r="V6" s="130" t="s">
        <v>107</v>
      </c>
      <c r="W6" s="130" t="s">
        <v>136</v>
      </c>
    </row>
    <row r="7" spans="1:23" ht="15" customHeight="1" x14ac:dyDescent="0.2">
      <c r="A7" s="121" t="s">
        <v>32</v>
      </c>
      <c r="B7" s="122" t="s">
        <v>92</v>
      </c>
      <c r="C7" s="123">
        <f>Dados!R17/(365*24)</f>
        <v>113.99105515981735</v>
      </c>
      <c r="D7" s="124">
        <v>-20.339448000000001</v>
      </c>
      <c r="E7" s="125">
        <v>-40.309418999999998</v>
      </c>
      <c r="F7" s="126">
        <v>0.5</v>
      </c>
      <c r="G7" s="33">
        <f>(1083*(273.15+H7))/273.15</f>
        <v>1562.5711757886388</v>
      </c>
      <c r="H7" s="127">
        <f>Monitoramento!B25</f>
        <v>120.95555555555556</v>
      </c>
      <c r="I7" s="5">
        <v>9.5</v>
      </c>
      <c r="J7" s="33">
        <f>'FE-Combustão'!$K$8</f>
        <v>121.6</v>
      </c>
      <c r="K7" s="33" t="s">
        <v>146</v>
      </c>
      <c r="L7" s="33" t="s">
        <v>146</v>
      </c>
      <c r="M7" s="5" t="s">
        <v>146</v>
      </c>
      <c r="N7" s="33">
        <f>'FE-Combustão'!$K$11</f>
        <v>9.6</v>
      </c>
      <c r="O7" s="33">
        <f>'FE-Combustão'!$F$12</f>
        <v>1344</v>
      </c>
      <c r="P7" s="33">
        <f>'FE-Combustão'!$K$14</f>
        <v>88</v>
      </c>
      <c r="Q7" s="128">
        <f>J7*('Emissão Chaminés'!C7)/1000000</f>
        <v>1.3861312307433789E-2</v>
      </c>
      <c r="R7" s="128">
        <f>Q7</f>
        <v>1.3861312307433789E-2</v>
      </c>
      <c r="S7" s="128">
        <f>Q7</f>
        <v>1.3861312307433789E-2</v>
      </c>
      <c r="T7" s="34">
        <f>(Monitoramento!B24*1083)/1000000</f>
        <v>7.3234866666666662E-2</v>
      </c>
      <c r="U7" s="34">
        <f>N7*('Emissão Chaminés'!C7)/1000000</f>
        <v>1.0943141295342467E-3</v>
      </c>
      <c r="V7" s="34">
        <f>O7*('Emissão Chaminés'!C7)/1000000</f>
        <v>0.1532039781347945</v>
      </c>
      <c r="W7" s="34">
        <f>P7*('Emissão Chaminés'!C7)/1000000</f>
        <v>1.0031212854063927E-2</v>
      </c>
    </row>
    <row r="8" spans="1:23" ht="15" customHeight="1" x14ac:dyDescent="0.2">
      <c r="A8" s="46" t="s">
        <v>39</v>
      </c>
      <c r="B8" s="85" t="s">
        <v>92</v>
      </c>
      <c r="C8" s="45">
        <f>Dados!S17/(365*24)</f>
        <v>145.07952474885843</v>
      </c>
      <c r="D8" s="73">
        <v>-20.339414999999999</v>
      </c>
      <c r="E8" s="73">
        <v>-40.309375000000003</v>
      </c>
      <c r="F8" s="5">
        <v>0.5</v>
      </c>
      <c r="G8" s="33">
        <f>(2509*(273.15+H8))/273.15</f>
        <v>3549.9132548253915</v>
      </c>
      <c r="H8" s="33">
        <f>Monitoramento!C25</f>
        <v>113.32222222222224</v>
      </c>
      <c r="I8" s="5">
        <v>9.5</v>
      </c>
      <c r="J8" s="33">
        <f>'FE-Combustão'!$K$8</f>
        <v>121.6</v>
      </c>
      <c r="K8" s="33" t="s">
        <v>146</v>
      </c>
      <c r="L8" s="33" t="s">
        <v>146</v>
      </c>
      <c r="M8" s="5" t="s">
        <v>146</v>
      </c>
      <c r="N8" s="33">
        <f>'FE-Combustão'!$K$11</f>
        <v>9.6</v>
      </c>
      <c r="O8" s="33">
        <f>'FE-Combustão'!$F$12</f>
        <v>1344</v>
      </c>
      <c r="P8" s="33">
        <f>'FE-Combustão'!$K$14</f>
        <v>88</v>
      </c>
      <c r="Q8" s="9">
        <f>J8*('Emissão Chaminés'!C8)/1000000</f>
        <v>1.7641670209461183E-2</v>
      </c>
      <c r="R8" s="9">
        <f t="shared" ref="R8:R13" si="0">Q8</f>
        <v>1.7641670209461183E-2</v>
      </c>
      <c r="S8" s="9">
        <f t="shared" ref="S8:S13" si="1">Q8</f>
        <v>1.7641670209461183E-2</v>
      </c>
      <c r="T8" s="34">
        <f>(Monitoramento!C24*2509)/1000000</f>
        <v>0.21076436333333332</v>
      </c>
      <c r="U8" s="34">
        <f>N8*('Emissão Chaminés'!C8)/1000000</f>
        <v>1.3927634375890409E-3</v>
      </c>
      <c r="V8" s="34">
        <f>O8*('Emissão Chaminés'!C8)/1000000</f>
        <v>0.19498688126246572</v>
      </c>
      <c r="W8" s="34">
        <f>P8*('Emissão Chaminés'!C8)/1000000</f>
        <v>1.2766998177899542E-2</v>
      </c>
    </row>
    <row r="9" spans="1:23" ht="15" customHeight="1" x14ac:dyDescent="0.2">
      <c r="A9" s="46" t="s">
        <v>42</v>
      </c>
      <c r="B9" s="85" t="s">
        <v>92</v>
      </c>
      <c r="C9" s="45">
        <f>Dados!E23/(365*24)</f>
        <v>6.8984951076321002</v>
      </c>
      <c r="D9" s="73">
        <v>-20.338550000000001</v>
      </c>
      <c r="E9" s="73">
        <v>-40.307744</v>
      </c>
      <c r="F9" s="5">
        <v>0.5</v>
      </c>
      <c r="G9" s="33">
        <v>5500</v>
      </c>
      <c r="H9" s="5">
        <v>33</v>
      </c>
      <c r="I9" s="5">
        <v>20</v>
      </c>
      <c r="J9" s="33">
        <f>'FE-Combustão'!$K$8</f>
        <v>121.6</v>
      </c>
      <c r="K9" s="33" t="s">
        <v>146</v>
      </c>
      <c r="L9" s="33" t="s">
        <v>146</v>
      </c>
      <c r="M9" s="33">
        <f>'FE-Combustão'!$C$12</f>
        <v>800</v>
      </c>
      <c r="N9" s="33">
        <f>'FE-Combustão'!$K$11</f>
        <v>9.6</v>
      </c>
      <c r="O9" s="33">
        <f>'FE-Combustão'!$F$12</f>
        <v>1344</v>
      </c>
      <c r="P9" s="33">
        <f>'FE-Combustão'!$K$14</f>
        <v>88</v>
      </c>
      <c r="Q9" s="9">
        <f>J9*('Emissão Chaminés'!C9)/1000000</f>
        <v>8.3885700508806336E-4</v>
      </c>
      <c r="R9" s="9">
        <f t="shared" si="0"/>
        <v>8.3885700508806336E-4</v>
      </c>
      <c r="S9" s="9">
        <f t="shared" si="1"/>
        <v>8.3885700508806336E-4</v>
      </c>
      <c r="T9" s="34">
        <f>M9*('Emissão Chaminés'!C9)/1000000</f>
        <v>5.5187960861056802E-3</v>
      </c>
      <c r="U9" s="34">
        <f>N9*('Emissão Chaminés'!C9)/1000000</f>
        <v>6.6225553033268157E-5</v>
      </c>
      <c r="V9" s="34">
        <f>O9*('Emissão Chaminés'!C9)/1000000</f>
        <v>9.2715774246575414E-3</v>
      </c>
      <c r="W9" s="34">
        <f>P9*('Emissão Chaminés'!C9)/1000000</f>
        <v>6.0706756947162478E-4</v>
      </c>
    </row>
    <row r="10" spans="1:23" ht="15" customHeight="1" x14ac:dyDescent="0.2">
      <c r="A10" s="46" t="s">
        <v>47</v>
      </c>
      <c r="B10" s="85" t="s">
        <v>92</v>
      </c>
      <c r="C10" s="45">
        <f>Dados!E24/(365*24)</f>
        <v>8.8694937098126871</v>
      </c>
      <c r="D10" s="73">
        <v>-20.338550000000001</v>
      </c>
      <c r="E10" s="73">
        <v>-40.307744</v>
      </c>
      <c r="F10" s="5">
        <v>0.5</v>
      </c>
      <c r="G10" s="33">
        <v>5500</v>
      </c>
      <c r="H10" s="5">
        <v>118</v>
      </c>
      <c r="I10" s="5">
        <v>20.3</v>
      </c>
      <c r="J10" s="33">
        <f>'FE-Combustão'!$K$8</f>
        <v>121.6</v>
      </c>
      <c r="K10" s="33" t="s">
        <v>146</v>
      </c>
      <c r="L10" s="33" t="s">
        <v>146</v>
      </c>
      <c r="M10" s="33">
        <f>'FE-Combustão'!$C$12</f>
        <v>800</v>
      </c>
      <c r="N10" s="33">
        <f>'FE-Combustão'!$K$11</f>
        <v>9.6</v>
      </c>
      <c r="O10" s="33">
        <f>'FE-Combustão'!$F$12</f>
        <v>1344</v>
      </c>
      <c r="P10" s="33">
        <f>'FE-Combustão'!$K$14</f>
        <v>88</v>
      </c>
      <c r="Q10" s="9">
        <f>J10*('Emissão Chaminés'!C10)/1000000</f>
        <v>1.0785304351132226E-3</v>
      </c>
      <c r="R10" s="9">
        <f t="shared" si="0"/>
        <v>1.0785304351132226E-3</v>
      </c>
      <c r="S10" s="9">
        <f t="shared" si="1"/>
        <v>1.0785304351132226E-3</v>
      </c>
      <c r="T10" s="34">
        <f>M10*('Emissão Chaminés'!C10)/1000000</f>
        <v>7.0955949678501492E-3</v>
      </c>
      <c r="U10" s="34">
        <f>N10*('Emissão Chaminés'!C10)/1000000</f>
        <v>8.5147139614201795E-5</v>
      </c>
      <c r="V10" s="34">
        <f>O10*('Emissão Chaminés'!C10)/1000000</f>
        <v>1.192059954598825E-2</v>
      </c>
      <c r="W10" s="34">
        <f>P10*('Emissão Chaminés'!C10)/1000000</f>
        <v>7.8051544646351651E-4</v>
      </c>
    </row>
    <row r="11" spans="1:23" ht="15" customHeight="1" x14ac:dyDescent="0.2">
      <c r="A11" s="46" t="s">
        <v>50</v>
      </c>
      <c r="B11" s="85" t="s">
        <v>92</v>
      </c>
      <c r="C11" s="45">
        <f>Dados!E25/(365*24)</f>
        <v>19.70998602180596</v>
      </c>
      <c r="D11" s="73">
        <v>-20.338550000000001</v>
      </c>
      <c r="E11" s="73">
        <v>-40.307744</v>
      </c>
      <c r="F11" s="5">
        <v>0.5</v>
      </c>
      <c r="G11" s="33">
        <v>9000</v>
      </c>
      <c r="H11" s="5">
        <v>191</v>
      </c>
      <c r="I11" s="5">
        <v>22</v>
      </c>
      <c r="J11" s="33">
        <f>'FE-Combustão'!$K$8</f>
        <v>121.6</v>
      </c>
      <c r="K11" s="33" t="s">
        <v>146</v>
      </c>
      <c r="L11" s="33" t="s">
        <v>146</v>
      </c>
      <c r="M11" s="33">
        <f>'FE-Combustão'!$C$12</f>
        <v>800</v>
      </c>
      <c r="N11" s="33">
        <f>'FE-Combustão'!$K$11</f>
        <v>9.6</v>
      </c>
      <c r="O11" s="33">
        <f>'FE-Combustão'!$F$12</f>
        <v>1344</v>
      </c>
      <c r="P11" s="33">
        <f>'FE-Combustão'!$K$14</f>
        <v>88</v>
      </c>
      <c r="Q11" s="9">
        <f>J11*('Emissão Chaminés'!C11)/1000000</f>
        <v>2.3967343002516046E-3</v>
      </c>
      <c r="R11" s="9">
        <f t="shared" si="0"/>
        <v>2.3967343002516046E-3</v>
      </c>
      <c r="S11" s="9">
        <f t="shared" si="1"/>
        <v>2.3967343002516046E-3</v>
      </c>
      <c r="T11" s="34">
        <f>M11*('Emissão Chaminés'!C11)/1000000</f>
        <v>1.5767988817444768E-2</v>
      </c>
      <c r="U11" s="34">
        <f>N11*('Emissão Chaminés'!C11)/1000000</f>
        <v>1.8921586580933721E-4</v>
      </c>
      <c r="V11" s="34">
        <f>O11*('Emissão Chaminés'!C11)/1000000</f>
        <v>2.649022121330721E-2</v>
      </c>
      <c r="W11" s="34">
        <f>P11*('Emissão Chaminés'!C11)/1000000</f>
        <v>1.7344787699189246E-3</v>
      </c>
    </row>
    <row r="12" spans="1:23" ht="15" customHeight="1" x14ac:dyDescent="0.2">
      <c r="A12" s="46" t="s">
        <v>54</v>
      </c>
      <c r="B12" s="85" t="s">
        <v>92</v>
      </c>
      <c r="C12" s="45">
        <f>Dados!E26/(365*24)</f>
        <v>8.8694937098126871</v>
      </c>
      <c r="D12" s="73">
        <v>-20.338504</v>
      </c>
      <c r="E12" s="73">
        <v>-40.307718999999999</v>
      </c>
      <c r="F12" s="52">
        <f>SQRT(((800*1200)*4)/PI())/1000</f>
        <v>1.1055812783082735</v>
      </c>
      <c r="G12" s="33">
        <v>17000</v>
      </c>
      <c r="H12" s="5">
        <v>42</v>
      </c>
      <c r="I12" s="5">
        <v>20</v>
      </c>
      <c r="J12" s="33">
        <f>'FE-Combustão'!$K$8</f>
        <v>121.6</v>
      </c>
      <c r="K12" s="33" t="s">
        <v>146</v>
      </c>
      <c r="L12" s="33" t="s">
        <v>146</v>
      </c>
      <c r="M12" s="33">
        <f>'FE-Combustão'!$C$12</f>
        <v>800</v>
      </c>
      <c r="N12" s="33">
        <f>'FE-Combustão'!$K$11</f>
        <v>9.6</v>
      </c>
      <c r="O12" s="33">
        <f>'FE-Combustão'!$F$12</f>
        <v>1344</v>
      </c>
      <c r="P12" s="33">
        <f>'FE-Combustão'!$K$14</f>
        <v>88</v>
      </c>
      <c r="Q12" s="9">
        <f>J12*('Emissão Chaminés'!C12)/1000000</f>
        <v>1.0785304351132226E-3</v>
      </c>
      <c r="R12" s="9">
        <f t="shared" si="0"/>
        <v>1.0785304351132226E-3</v>
      </c>
      <c r="S12" s="9">
        <f t="shared" si="1"/>
        <v>1.0785304351132226E-3</v>
      </c>
      <c r="T12" s="34">
        <f>M12*('Emissão Chaminés'!C12)/1000000</f>
        <v>7.0955949678501492E-3</v>
      </c>
      <c r="U12" s="34">
        <f>N12*('Emissão Chaminés'!C12)/1000000</f>
        <v>8.5147139614201795E-5</v>
      </c>
      <c r="V12" s="34">
        <f>O12*('Emissão Chaminés'!C12)/1000000</f>
        <v>1.192059954598825E-2</v>
      </c>
      <c r="W12" s="34">
        <f>P12*('Emissão Chaminés'!C12)/1000000</f>
        <v>7.8051544646351651E-4</v>
      </c>
    </row>
    <row r="13" spans="1:23" ht="15" customHeight="1" x14ac:dyDescent="0.2">
      <c r="A13" s="46" t="s">
        <v>58</v>
      </c>
      <c r="B13" s="85" t="s">
        <v>92</v>
      </c>
      <c r="C13" s="45">
        <f>Dados!E27/(365*24)</f>
        <v>3.941997204361197</v>
      </c>
      <c r="D13" s="73">
        <v>-20.337906</v>
      </c>
      <c r="E13" s="73">
        <v>-40.309683</v>
      </c>
      <c r="F13" s="52">
        <f>SQRT(((650*650)*4)/PI())/1000</f>
        <v>0.73344645861208324</v>
      </c>
      <c r="G13" s="5">
        <v>12</v>
      </c>
      <c r="H13" s="5">
        <v>34</v>
      </c>
      <c r="I13" s="5">
        <v>20</v>
      </c>
      <c r="J13" s="33">
        <f>'FE-Combustão'!$K$8</f>
        <v>121.6</v>
      </c>
      <c r="K13" s="33" t="s">
        <v>146</v>
      </c>
      <c r="L13" s="33" t="s">
        <v>146</v>
      </c>
      <c r="M13" s="33">
        <f>'FE-Combustão'!$C$12</f>
        <v>800</v>
      </c>
      <c r="N13" s="33">
        <f>'FE-Combustão'!$K$11</f>
        <v>9.6</v>
      </c>
      <c r="O13" s="33">
        <f>'FE-Combustão'!$F$12</f>
        <v>1344</v>
      </c>
      <c r="P13" s="33">
        <f>'FE-Combustão'!$K$14</f>
        <v>88</v>
      </c>
      <c r="Q13" s="9">
        <f>J13*('Emissão Chaminés'!C13)/1000000</f>
        <v>4.7934686005032156E-4</v>
      </c>
      <c r="R13" s="9">
        <f t="shared" si="0"/>
        <v>4.7934686005032156E-4</v>
      </c>
      <c r="S13" s="9">
        <f t="shared" si="1"/>
        <v>4.7934686005032156E-4</v>
      </c>
      <c r="T13" s="34">
        <f>M13*('Emissão Chaminés'!C13)/1000000</f>
        <v>3.1535977634889576E-3</v>
      </c>
      <c r="U13" s="34">
        <f>N13*('Emissão Chaminés'!C13)/1000000</f>
        <v>3.7843173161867491E-5</v>
      </c>
      <c r="V13" s="34">
        <f>O13*('Emissão Chaminés'!C13)/1000000</f>
        <v>5.2980442426614491E-3</v>
      </c>
      <c r="W13" s="34">
        <f>P13*('Emissão Chaminés'!C13)/1000000</f>
        <v>3.468957539837853E-4</v>
      </c>
    </row>
    <row r="14" spans="1:23" ht="15" customHeight="1" x14ac:dyDescent="0.2">
      <c r="A14" s="53" t="s">
        <v>152</v>
      </c>
      <c r="B14" s="86" t="s">
        <v>265</v>
      </c>
      <c r="C14" s="87">
        <f>(0.25/2)/(365*24)</f>
        <v>1.4269406392694063E-5</v>
      </c>
      <c r="D14" s="73">
        <v>-20.338474000000001</v>
      </c>
      <c r="E14" s="73">
        <v>-40.308903000000001</v>
      </c>
      <c r="F14" s="52">
        <f>SQRT(((114*145)*4)/PI())/1000</f>
        <v>0.14507463484176769</v>
      </c>
      <c r="G14" s="5">
        <v>5.4</v>
      </c>
      <c r="H14" s="5">
        <v>76</v>
      </c>
      <c r="I14" s="5">
        <v>10.5</v>
      </c>
      <c r="J14" s="60">
        <f>'FE-Combustão'!$D$108</f>
        <v>0.24</v>
      </c>
      <c r="K14" s="60">
        <f>'FE-Combustão'!$D$102</f>
        <v>0.12</v>
      </c>
      <c r="L14" s="90">
        <f>'FE-Combustão'!$D$104</f>
        <v>0.03</v>
      </c>
      <c r="M14" s="57">
        <f>'FE-Combustão'!$G$42</f>
        <v>2.4</v>
      </c>
      <c r="N14" s="5" t="s">
        <v>146</v>
      </c>
      <c r="O14" s="5">
        <f>'FE-Combustão'!$J$42</f>
        <v>0.6</v>
      </c>
      <c r="P14" s="60">
        <f>'FE-Combustão'!$C$70</f>
        <v>3.024E-2</v>
      </c>
      <c r="Q14" s="88">
        <f>J14*'Emissão Chaminés'!C14</f>
        <v>3.424657534246575E-6</v>
      </c>
      <c r="R14" s="88">
        <f>K14*'Emissão Chaminés'!C14</f>
        <v>1.7123287671232875E-6</v>
      </c>
      <c r="S14" s="88">
        <f>L14*'Emissão Chaminés'!C14</f>
        <v>4.2808219178082188E-7</v>
      </c>
      <c r="T14" s="89">
        <f>M14*'Emissão Chaminés'!C14</f>
        <v>3.4246575342465751E-5</v>
      </c>
      <c r="U14" s="89">
        <f>142*$B$2*0.12*C14</f>
        <v>4.3767123287671226E-5</v>
      </c>
      <c r="V14" s="89">
        <f>O14*'Emissão Chaminés'!C14</f>
        <v>8.5616438356164377E-6</v>
      </c>
      <c r="W14" s="89">
        <f>P14*'Emissão Chaminés'!C14</f>
        <v>4.315068493150685E-7</v>
      </c>
    </row>
    <row r="15" spans="1:23" ht="15" customHeight="1" x14ac:dyDescent="0.2">
      <c r="A15" s="53" t="s">
        <v>153</v>
      </c>
      <c r="B15" s="86" t="s">
        <v>265</v>
      </c>
      <c r="C15" s="87">
        <f>(0.25/2)/1000/(365*24)</f>
        <v>1.4269406392694064E-8</v>
      </c>
      <c r="D15" s="73">
        <v>-20.337959000000001</v>
      </c>
      <c r="E15" s="73">
        <v>-40.309753000000001</v>
      </c>
      <c r="F15" s="52">
        <f>SQRT(((114*145)*4)/PI())/1000</f>
        <v>0.14507463484176769</v>
      </c>
      <c r="G15" s="5">
        <v>5.4</v>
      </c>
      <c r="H15" s="5">
        <v>76</v>
      </c>
      <c r="I15" s="5">
        <v>20</v>
      </c>
      <c r="J15" s="60">
        <f>'FE-Combustão'!$D$108</f>
        <v>0.24</v>
      </c>
      <c r="K15" s="60">
        <f>'FE-Combustão'!$D$102</f>
        <v>0.12</v>
      </c>
      <c r="L15" s="90">
        <f>'FE-Combustão'!$D$104</f>
        <v>0.03</v>
      </c>
      <c r="M15" s="57">
        <f>'FE-Combustão'!$G$42</f>
        <v>2.4</v>
      </c>
      <c r="N15" s="5" t="s">
        <v>146</v>
      </c>
      <c r="O15" s="5">
        <f>'FE-Combustão'!$J$42</f>
        <v>0.6</v>
      </c>
      <c r="P15" s="60">
        <f>'FE-Combustão'!$C$70</f>
        <v>3.024E-2</v>
      </c>
      <c r="Q15" s="88">
        <f>J15*'Emissão Chaminés'!C15</f>
        <v>3.4246575342465753E-9</v>
      </c>
      <c r="R15" s="88">
        <f>K15*'Emissão Chaminés'!C15</f>
        <v>1.7123287671232876E-9</v>
      </c>
      <c r="S15" s="88">
        <f>L15*'Emissão Chaminés'!C15</f>
        <v>4.2808219178082191E-10</v>
      </c>
      <c r="T15" s="89">
        <f>M15*'Emissão Chaminés'!C15</f>
        <v>3.4246575342465753E-8</v>
      </c>
      <c r="U15" s="89">
        <f>142*$B$2*0.12*C15</f>
        <v>4.3767123287671229E-8</v>
      </c>
      <c r="V15" s="89">
        <f>O15*'Emissão Chaminés'!C15</f>
        <v>8.5616438356164382E-9</v>
      </c>
      <c r="W15" s="89">
        <f>P15*'Emissão Chaminés'!C15</f>
        <v>4.3150684931506847E-10</v>
      </c>
    </row>
    <row r="16" spans="1:23" ht="15" customHeight="1" x14ac:dyDescent="0.2">
      <c r="A16" s="196" t="s">
        <v>148</v>
      </c>
      <c r="B16" s="196"/>
      <c r="C16" s="196"/>
      <c r="D16" s="196"/>
      <c r="E16" s="196"/>
      <c r="F16" s="196"/>
      <c r="G16" s="196"/>
      <c r="H16" s="196"/>
      <c r="I16" s="196"/>
      <c r="J16" s="99"/>
      <c r="K16" s="99"/>
      <c r="L16" s="99"/>
      <c r="M16" s="99"/>
      <c r="N16" s="99"/>
      <c r="O16" s="99"/>
      <c r="P16" s="99"/>
      <c r="Q16" s="91">
        <f>SUM(Q7:Q15)</f>
        <v>3.7378409634703187E-2</v>
      </c>
      <c r="R16" s="91">
        <f t="shared" ref="R16:W16" si="2">SUM(R7:R15)</f>
        <v>3.7376695593607297E-2</v>
      </c>
      <c r="S16" s="91">
        <f t="shared" si="2"/>
        <v>3.7375410062785379E-2</v>
      </c>
      <c r="T16" s="91">
        <f t="shared" si="2"/>
        <v>0.32266508342465755</v>
      </c>
      <c r="U16" s="91">
        <f t="shared" si="2"/>
        <v>2.9944673287671231E-3</v>
      </c>
      <c r="V16" s="91">
        <f t="shared" si="2"/>
        <v>0.41310047157534235</v>
      </c>
      <c r="W16" s="91">
        <f t="shared" si="2"/>
        <v>2.7048115956621002E-2</v>
      </c>
    </row>
    <row r="19" spans="1:7" ht="15" customHeight="1" x14ac:dyDescent="0.2">
      <c r="A19" s="72"/>
      <c r="B19" s="72"/>
      <c r="G19" s="7"/>
    </row>
    <row r="20" spans="1:7" ht="15" customHeight="1" x14ac:dyDescent="0.2">
      <c r="A20" s="72"/>
      <c r="B20" s="72"/>
      <c r="G20" s="5"/>
    </row>
    <row r="22" spans="1:7" ht="15" customHeight="1" x14ac:dyDescent="0.2">
      <c r="F22" s="10"/>
    </row>
    <row r="23" spans="1:7" ht="15" customHeight="1" x14ac:dyDescent="0.2">
      <c r="F23" s="11"/>
      <c r="G23" s="11"/>
    </row>
  </sheetData>
  <sheetProtection password="B056" sheet="1" objects="1" scenarios="1"/>
  <mergeCells count="12">
    <mergeCell ref="Q5:W5"/>
    <mergeCell ref="C5:C6"/>
    <mergeCell ref="A16:I16"/>
    <mergeCell ref="H5:H6"/>
    <mergeCell ref="I5:I6"/>
    <mergeCell ref="A5:A6"/>
    <mergeCell ref="D5:D6"/>
    <mergeCell ref="E5:E6"/>
    <mergeCell ref="F5:F6"/>
    <mergeCell ref="G5:G6"/>
    <mergeCell ref="B5:B6"/>
    <mergeCell ref="J5:P5"/>
  </mergeCells>
  <pageMargins left="0.511811024" right="0.511811024" top="0.78740157499999996" bottom="0.78740157499999996" header="0.31496062000000002" footer="0.31496062000000002"/>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
  <sheetViews>
    <sheetView topLeftCell="O4" workbookViewId="0">
      <selection activeCell="AA30" sqref="AA30:AA32"/>
    </sheetView>
  </sheetViews>
  <sheetFormatPr defaultRowHeight="15" customHeight="1" x14ac:dyDescent="0.2"/>
  <cols>
    <col min="1" max="1" width="20.5703125" style="1" customWidth="1"/>
    <col min="2" max="2" width="12.28515625" style="1" customWidth="1"/>
    <col min="3" max="3" width="16.7109375" style="1" customWidth="1"/>
    <col min="4" max="5" width="11.140625" style="1" customWidth="1"/>
    <col min="6" max="6" width="10.42578125" style="1" customWidth="1"/>
    <col min="7" max="7" width="9.140625" style="1" customWidth="1"/>
    <col min="8" max="12" width="9.42578125" style="1" customWidth="1"/>
    <col min="13" max="19" width="8.42578125" style="1" customWidth="1"/>
    <col min="20" max="16384" width="9.140625" style="1"/>
  </cols>
  <sheetData>
    <row r="1" spans="1:19" ht="15" customHeight="1" x14ac:dyDescent="0.2">
      <c r="A1" s="3" t="s">
        <v>151</v>
      </c>
    </row>
    <row r="2" spans="1:19" ht="15" customHeight="1" x14ac:dyDescent="0.2">
      <c r="A2" s="194" t="s">
        <v>0</v>
      </c>
      <c r="B2" s="194" t="s">
        <v>253</v>
      </c>
      <c r="C2" s="194" t="s">
        <v>254</v>
      </c>
      <c r="D2" s="195" t="s">
        <v>277</v>
      </c>
      <c r="E2" s="195" t="s">
        <v>278</v>
      </c>
      <c r="F2" s="194" t="s">
        <v>255</v>
      </c>
      <c r="G2" s="194" t="s">
        <v>256</v>
      </c>
      <c r="H2" s="194" t="s">
        <v>270</v>
      </c>
      <c r="I2" s="194"/>
      <c r="J2" s="194"/>
      <c r="K2" s="194"/>
      <c r="L2" s="194"/>
      <c r="M2" s="194" t="s">
        <v>1</v>
      </c>
      <c r="N2" s="194"/>
      <c r="O2" s="194"/>
      <c r="P2" s="194"/>
      <c r="Q2" s="194"/>
      <c r="R2" s="194"/>
      <c r="S2" s="194"/>
    </row>
    <row r="3" spans="1:19" ht="15" customHeight="1" x14ac:dyDescent="0.2">
      <c r="A3" s="194"/>
      <c r="B3" s="194"/>
      <c r="C3" s="194"/>
      <c r="D3" s="195"/>
      <c r="E3" s="195"/>
      <c r="F3" s="194"/>
      <c r="G3" s="194"/>
      <c r="H3" s="130" t="s">
        <v>2</v>
      </c>
      <c r="I3" s="130" t="s">
        <v>108</v>
      </c>
      <c r="J3" s="130" t="s">
        <v>109</v>
      </c>
      <c r="K3" s="130" t="s">
        <v>107</v>
      </c>
      <c r="L3" s="130" t="s">
        <v>136</v>
      </c>
      <c r="M3" s="130" t="s">
        <v>2</v>
      </c>
      <c r="N3" s="130" t="s">
        <v>13</v>
      </c>
      <c r="O3" s="130" t="s">
        <v>257</v>
      </c>
      <c r="P3" s="130" t="s">
        <v>108</v>
      </c>
      <c r="Q3" s="130" t="s">
        <v>109</v>
      </c>
      <c r="R3" s="130" t="s">
        <v>107</v>
      </c>
      <c r="S3" s="130" t="s">
        <v>136</v>
      </c>
    </row>
    <row r="4" spans="1:19" ht="15" customHeight="1" x14ac:dyDescent="0.2">
      <c r="A4" s="3" t="str">
        <f>Dados!H27</f>
        <v>Empilhadeira</v>
      </c>
      <c r="B4" s="82">
        <v>65</v>
      </c>
      <c r="C4" s="36" t="s">
        <v>249</v>
      </c>
      <c r="D4" s="83">
        <v>-20.339623</v>
      </c>
      <c r="E4" s="83">
        <v>-40.309162999999998</v>
      </c>
      <c r="F4" s="36">
        <v>1</v>
      </c>
      <c r="G4" s="54">
        <f>Dados!$I$31/(365)</f>
        <v>20.172602739726027</v>
      </c>
      <c r="H4" s="83">
        <f>(INDEX(FE_Equip,MATCH($C4,Pot_Equip,0),2))</f>
        <v>1.9432717920016346E-2</v>
      </c>
      <c r="I4" s="83">
        <f>(INDEX(FE_Equip,MATCH($C4,Pot_Equip,0),3))</f>
        <v>0.19770476916405869</v>
      </c>
      <c r="J4" s="83">
        <f>(INDEX(FE_Equip,MATCH($C4,Pot_Equip,0),4))</f>
        <v>1.6614354833010314E-4</v>
      </c>
      <c r="K4" s="83">
        <f>(INDEX(FE_Equip,MATCH($C4,Pot_Equip,0),5))</f>
        <v>0.10602299202233414</v>
      </c>
      <c r="L4" s="83">
        <f>(INDEX(FE_Equip,MATCH($C4,Pot_Equip,0),6))</f>
        <v>3.5663485612068627E-2</v>
      </c>
      <c r="M4" s="83">
        <f>H4*$F4*$G4/(24)</f>
        <v>1.6333687448068533E-2</v>
      </c>
      <c r="N4" s="83">
        <f>M4</f>
        <v>1.6333687448068533E-2</v>
      </c>
      <c r="O4" s="83">
        <f>M4</f>
        <v>1.6333687448068533E-2</v>
      </c>
      <c r="P4" s="83">
        <f>I4*$F4*$G4/(24)</f>
        <v>0.166175823670658</v>
      </c>
      <c r="Q4" s="83">
        <f t="shared" ref="Q4:S4" si="0">J4*$F4*$G4/(24)</f>
        <v>1.3964782492631843E-4</v>
      </c>
      <c r="R4" s="83">
        <f t="shared" si="0"/>
        <v>8.9114987472653687E-2</v>
      </c>
      <c r="S4" s="83">
        <f t="shared" si="0"/>
        <v>2.997605531525814E-2</v>
      </c>
    </row>
    <row r="5" spans="1:19" ht="15" customHeight="1" x14ac:dyDescent="0.2">
      <c r="A5" s="196" t="s">
        <v>148</v>
      </c>
      <c r="B5" s="196"/>
      <c r="C5" s="196"/>
      <c r="D5" s="196"/>
      <c r="E5" s="196"/>
      <c r="F5" s="196"/>
      <c r="G5" s="196"/>
      <c r="H5" s="196"/>
      <c r="I5" s="196"/>
      <c r="J5" s="196"/>
      <c r="K5" s="196"/>
      <c r="L5" s="196"/>
      <c r="M5" s="91">
        <f>SUM(M4:M4)</f>
        <v>1.6333687448068533E-2</v>
      </c>
      <c r="N5" s="91">
        <f t="shared" ref="N5:S5" si="1">SUM(N4:N4)</f>
        <v>1.6333687448068533E-2</v>
      </c>
      <c r="O5" s="91">
        <f t="shared" si="1"/>
        <v>1.6333687448068533E-2</v>
      </c>
      <c r="P5" s="91">
        <f t="shared" si="1"/>
        <v>0.166175823670658</v>
      </c>
      <c r="Q5" s="91">
        <f t="shared" si="1"/>
        <v>1.3964782492631843E-4</v>
      </c>
      <c r="R5" s="91">
        <f t="shared" si="1"/>
        <v>8.9114987472653687E-2</v>
      </c>
      <c r="S5" s="91">
        <f t="shared" si="1"/>
        <v>2.997605531525814E-2</v>
      </c>
    </row>
    <row r="6" spans="1:19" ht="15" customHeight="1" x14ac:dyDescent="0.2">
      <c r="M6" s="68"/>
      <c r="N6" s="68"/>
      <c r="O6" s="68"/>
      <c r="P6" s="68"/>
      <c r="Q6" s="75"/>
      <c r="R6" s="68"/>
      <c r="S6" s="68"/>
    </row>
    <row r="7" spans="1:19" ht="15" customHeight="1" x14ac:dyDescent="0.2">
      <c r="D7" s="76"/>
      <c r="E7" s="76"/>
      <c r="G7" s="76"/>
      <c r="H7" s="76"/>
      <c r="I7" s="76"/>
      <c r="J7" s="76"/>
      <c r="K7" s="76"/>
      <c r="L7" s="76"/>
      <c r="M7" s="76"/>
      <c r="N7" s="76"/>
      <c r="O7" s="76"/>
      <c r="P7" s="76"/>
      <c r="Q7" s="76"/>
      <c r="R7" s="76"/>
      <c r="S7" s="76"/>
    </row>
    <row r="8" spans="1:19" ht="15" customHeight="1" x14ac:dyDescent="0.2">
      <c r="D8" s="76"/>
      <c r="E8" s="76"/>
      <c r="G8" s="76"/>
      <c r="H8" s="76"/>
      <c r="I8" s="76"/>
      <c r="J8" s="76"/>
      <c r="K8" s="76"/>
      <c r="L8" s="76"/>
      <c r="M8" s="76"/>
      <c r="N8" s="76"/>
      <c r="O8" s="76"/>
      <c r="P8" s="76"/>
      <c r="Q8" s="76"/>
      <c r="R8" s="76"/>
      <c r="S8" s="76"/>
    </row>
    <row r="9" spans="1:19" ht="15" customHeight="1" x14ac:dyDescent="0.2">
      <c r="D9" s="76"/>
      <c r="E9" s="76"/>
      <c r="G9" s="76"/>
      <c r="H9" s="76"/>
      <c r="I9" s="76"/>
      <c r="J9" s="76"/>
      <c r="K9" s="76"/>
      <c r="L9" s="76"/>
      <c r="M9" s="76"/>
      <c r="N9" s="76"/>
      <c r="O9" s="76"/>
      <c r="P9" s="76"/>
      <c r="Q9" s="76"/>
      <c r="R9" s="76"/>
      <c r="S9" s="76"/>
    </row>
    <row r="10" spans="1:19" ht="15" customHeight="1" x14ac:dyDescent="0.2">
      <c r="D10" s="76"/>
      <c r="E10" s="76"/>
      <c r="G10" s="76"/>
      <c r="H10" s="76"/>
      <c r="I10" s="76"/>
      <c r="J10" s="76"/>
      <c r="K10" s="76"/>
      <c r="L10" s="76"/>
      <c r="M10" s="76"/>
      <c r="N10" s="76"/>
      <c r="O10" s="76"/>
      <c r="P10" s="76"/>
      <c r="Q10" s="76"/>
      <c r="R10" s="76"/>
      <c r="S10" s="76"/>
    </row>
    <row r="11" spans="1:19" ht="15" customHeight="1" x14ac:dyDescent="0.2">
      <c r="D11" s="76"/>
      <c r="E11" s="76"/>
      <c r="G11" s="76"/>
      <c r="H11" s="76"/>
      <c r="I11" s="76"/>
      <c r="J11" s="76"/>
      <c r="K11" s="76"/>
      <c r="L11" s="76"/>
      <c r="M11" s="76"/>
      <c r="N11" s="76"/>
      <c r="O11" s="76"/>
      <c r="P11" s="76"/>
      <c r="Q11" s="76"/>
      <c r="R11" s="76"/>
      <c r="S11" s="76"/>
    </row>
    <row r="12" spans="1:19" ht="15" customHeight="1" x14ac:dyDescent="0.2">
      <c r="D12" s="76"/>
      <c r="E12" s="76"/>
      <c r="G12" s="76"/>
      <c r="H12" s="76"/>
      <c r="I12" s="76"/>
      <c r="J12" s="76"/>
      <c r="K12" s="76"/>
      <c r="L12" s="76"/>
      <c r="M12" s="76"/>
      <c r="N12" s="76"/>
      <c r="O12" s="76"/>
      <c r="P12" s="76"/>
      <c r="Q12" s="76"/>
      <c r="R12" s="76"/>
      <c r="S12" s="76"/>
    </row>
    <row r="13" spans="1:19" ht="15" customHeight="1" x14ac:dyDescent="0.2">
      <c r="D13" s="76"/>
      <c r="E13" s="76"/>
      <c r="F13" s="84"/>
      <c r="G13" s="76"/>
      <c r="H13" s="76"/>
      <c r="I13" s="76"/>
      <c r="J13" s="76"/>
      <c r="K13" s="76"/>
      <c r="L13" s="76"/>
      <c r="M13" s="76"/>
      <c r="N13" s="76"/>
      <c r="O13" s="76"/>
      <c r="P13" s="76"/>
      <c r="Q13" s="76"/>
      <c r="R13" s="76"/>
      <c r="S13" s="76"/>
    </row>
    <row r="14" spans="1:19" ht="15" customHeight="1" x14ac:dyDescent="0.2">
      <c r="M14" s="68"/>
      <c r="N14" s="68"/>
      <c r="O14" s="68"/>
      <c r="P14" s="68"/>
      <c r="Q14" s="68"/>
      <c r="R14" s="68"/>
      <c r="S14" s="68"/>
    </row>
  </sheetData>
  <sheetProtection password="B056" sheet="1" objects="1" scenarios="1"/>
  <mergeCells count="10">
    <mergeCell ref="A5:L5"/>
    <mergeCell ref="G2:G3"/>
    <mergeCell ref="M2:S2"/>
    <mergeCell ref="A2:A3"/>
    <mergeCell ref="B2:B3"/>
    <mergeCell ref="C2:C3"/>
    <mergeCell ref="F2:F3"/>
    <mergeCell ref="D2:D3"/>
    <mergeCell ref="E2:E3"/>
    <mergeCell ref="H2:L2"/>
  </mergeCells>
  <dataValidations count="1">
    <dataValidation type="list" allowBlank="1" showInputMessage="1" showErrorMessage="1" sqref="C4">
      <formula1>Pot_Equip</formula1>
    </dataValidation>
  </dataValidations>
  <pageMargins left="0.511811024" right="0.511811024" top="0.78740157499999996" bottom="0.78740157499999996" header="0.31496062000000002" footer="0.31496062000000002"/>
  <pageSetup paperSize="9" orientation="portrait" horizontalDpi="0"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abSelected="1" workbookViewId="0">
      <selection activeCell="J22" sqref="J22"/>
    </sheetView>
  </sheetViews>
  <sheetFormatPr defaultRowHeight="15" customHeight="1" x14ac:dyDescent="0.25"/>
  <cols>
    <col min="1" max="1" width="18.7109375" style="2" customWidth="1"/>
    <col min="2" max="2" width="9.140625" style="2" customWidth="1"/>
    <col min="3" max="16384" width="9.140625" style="2"/>
  </cols>
  <sheetData>
    <row r="1" spans="1:12" ht="15" customHeight="1" x14ac:dyDescent="0.25">
      <c r="A1" s="197" t="s">
        <v>0</v>
      </c>
      <c r="B1" s="199" t="s">
        <v>1</v>
      </c>
      <c r="C1" s="199"/>
      <c r="D1" s="199"/>
      <c r="E1" s="199"/>
      <c r="F1" s="199"/>
      <c r="G1" s="199"/>
      <c r="H1" s="199"/>
    </row>
    <row r="2" spans="1:12" ht="15" customHeight="1" x14ac:dyDescent="0.25">
      <c r="A2" s="198"/>
      <c r="B2" s="100" t="s">
        <v>2</v>
      </c>
      <c r="C2" s="100" t="s">
        <v>13</v>
      </c>
      <c r="D2" s="100" t="s">
        <v>257</v>
      </c>
      <c r="E2" s="100" t="s">
        <v>108</v>
      </c>
      <c r="F2" s="100" t="s">
        <v>109</v>
      </c>
      <c r="G2" s="100" t="s">
        <v>107</v>
      </c>
      <c r="H2" s="100" t="s">
        <v>136</v>
      </c>
    </row>
    <row r="3" spans="1:12" ht="15" customHeight="1" x14ac:dyDescent="0.25">
      <c r="A3" s="101" t="s">
        <v>271</v>
      </c>
      <c r="B3" s="102">
        <f>'Emissão Chaminés'!Q16</f>
        <v>3.7378409634703187E-2</v>
      </c>
      <c r="C3" s="102">
        <f>'Emissão Chaminés'!R16</f>
        <v>3.7376695593607297E-2</v>
      </c>
      <c r="D3" s="102">
        <f>'Emissão Chaminés'!S16</f>
        <v>3.7375410062785379E-2</v>
      </c>
      <c r="E3" s="102">
        <f>'Emissão Chaminés'!T16</f>
        <v>0.32266508342465755</v>
      </c>
      <c r="F3" s="132">
        <f>'Emissão Chaminés'!U16</f>
        <v>2.9944673287671231E-3</v>
      </c>
      <c r="G3" s="102">
        <f>'Emissão Chaminés'!V16</f>
        <v>0.41310047157534235</v>
      </c>
      <c r="H3" s="102">
        <f>'Emissão Chaminés'!W16</f>
        <v>2.7048115956621002E-2</v>
      </c>
    </row>
    <row r="4" spans="1:12" ht="15" customHeight="1" x14ac:dyDescent="0.25">
      <c r="A4" s="103" t="s">
        <v>272</v>
      </c>
      <c r="B4" s="102">
        <f>'Emissão Maq e Equip'!M4</f>
        <v>1.6333687448068533E-2</v>
      </c>
      <c r="C4" s="102">
        <f>'Emissão Maq e Equip'!N4</f>
        <v>1.6333687448068533E-2</v>
      </c>
      <c r="D4" s="102">
        <f>'Emissão Maq e Equip'!O4</f>
        <v>1.6333687448068533E-2</v>
      </c>
      <c r="E4" s="102">
        <f>'Emissão Maq e Equip'!P4</f>
        <v>0.166175823670658</v>
      </c>
      <c r="F4" s="132">
        <f>'Emissão Maq e Equip'!Q4</f>
        <v>1.3964782492631843E-4</v>
      </c>
      <c r="G4" s="102">
        <f>'Emissão Maq e Equip'!R4</f>
        <v>8.9114987472653687E-2</v>
      </c>
      <c r="H4" s="102">
        <f>'Emissão Maq e Equip'!S4</f>
        <v>2.997605531525814E-2</v>
      </c>
    </row>
    <row r="5" spans="1:12" ht="15" customHeight="1" x14ac:dyDescent="0.25">
      <c r="A5" s="131" t="s">
        <v>148</v>
      </c>
      <c r="B5" s="131">
        <f t="shared" ref="B5:H5" si="0">SUM(B3:B4)</f>
        <v>5.371209708277172E-2</v>
      </c>
      <c r="C5" s="131">
        <f t="shared" si="0"/>
        <v>5.371038304167583E-2</v>
      </c>
      <c r="D5" s="131">
        <f t="shared" si="0"/>
        <v>5.3709097510853912E-2</v>
      </c>
      <c r="E5" s="131">
        <f t="shared" si="0"/>
        <v>0.48884090709531558</v>
      </c>
      <c r="F5" s="133">
        <f>SUM(F3:F4)</f>
        <v>3.1341151536934415E-3</v>
      </c>
      <c r="G5" s="131">
        <f t="shared" si="0"/>
        <v>0.50221545904799603</v>
      </c>
      <c r="H5" s="131">
        <f t="shared" si="0"/>
        <v>5.7024171271879143E-2</v>
      </c>
    </row>
    <row r="7" spans="1:12" ht="15" customHeight="1" x14ac:dyDescent="0.25">
      <c r="G7" s="134"/>
    </row>
    <row r="9" spans="1:12" ht="15" customHeight="1" x14ac:dyDescent="0.25">
      <c r="B9" s="102"/>
    </row>
    <row r="11" spans="1:12" ht="15" customHeight="1" x14ac:dyDescent="0.25">
      <c r="G11" s="135"/>
    </row>
    <row r="12" spans="1:12" ht="15" customHeight="1" x14ac:dyDescent="0.25">
      <c r="L12" s="2" t="s">
        <v>273</v>
      </c>
    </row>
  </sheetData>
  <sheetProtection password="B056" sheet="1" objects="1" scenarios="1"/>
  <mergeCells count="2">
    <mergeCell ref="A1:A2"/>
    <mergeCell ref="B1:H1"/>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7</vt:i4>
      </vt:variant>
      <vt:variant>
        <vt:lpstr>Intervalos nomeados</vt:lpstr>
      </vt:variant>
      <vt:variant>
        <vt:i4>2</vt:i4>
      </vt:variant>
    </vt:vector>
  </HeadingPairs>
  <TitlesOfParts>
    <vt:vector size="9" baseType="lpstr">
      <vt:lpstr>FE-Combustão</vt:lpstr>
      <vt:lpstr>FE-Maq e Equip</vt:lpstr>
      <vt:lpstr>Dados</vt:lpstr>
      <vt:lpstr>Monitoramento</vt:lpstr>
      <vt:lpstr>Emissão Chaminés</vt:lpstr>
      <vt:lpstr>Emissão Maq e Equip</vt:lpstr>
      <vt:lpstr>Resumo</vt:lpstr>
      <vt:lpstr>FE_Equip</vt:lpstr>
      <vt:lpstr>Pot_Equip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Andrielly Moutinho Knupp</dc:creator>
  <cp:lastModifiedBy>Vanessa Brusco Filete</cp:lastModifiedBy>
  <dcterms:created xsi:type="dcterms:W3CDTF">2016-12-13T12:13:55Z</dcterms:created>
  <dcterms:modified xsi:type="dcterms:W3CDTF">2019-06-07T14:08:19Z</dcterms:modified>
</cp:coreProperties>
</file>