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Cofervil\"/>
    </mc:Choice>
  </mc:AlternateContent>
  <bookViews>
    <workbookView xWindow="0" yWindow="0" windowWidth="24000" windowHeight="9135" tabRatio="775" activeTab="6"/>
  </bookViews>
  <sheets>
    <sheet name="FE-Maq e Equip" sheetId="6" r:id="rId1"/>
    <sheet name="FE-Vias" sheetId="9" r:id="rId2"/>
    <sheet name="Emissão Maq e Equip" sheetId="5" r:id="rId3"/>
    <sheet name="Emissão Corte de Sucata" sheetId="10" r:id="rId4"/>
    <sheet name="Emissão Transferências" sheetId="13" r:id="rId5"/>
    <sheet name=" Emissão Vias " sheetId="8" r:id="rId6"/>
    <sheet name="Resumo" sheetId="12" r:id="rId7"/>
  </sheets>
  <definedNames>
    <definedName name="FE_Equip">'FE-Maq e Equip'!$B$3:$I$24</definedName>
    <definedName name="Pot_Equip">'FE-Maq e Equip'!$B$3:$B$24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0" l="1"/>
  <c r="G4" i="10"/>
  <c r="F4" i="10"/>
  <c r="D4" i="10" l="1"/>
  <c r="L6" i="8" l="1"/>
  <c r="K6" i="8"/>
  <c r="J6" i="8"/>
  <c r="H16" i="9"/>
  <c r="K15" i="9"/>
  <c r="K14" i="9"/>
  <c r="K13" i="9"/>
  <c r="K12" i="9"/>
  <c r="K11" i="9"/>
  <c r="K10" i="9"/>
  <c r="K9" i="9"/>
  <c r="K8" i="9"/>
  <c r="K7" i="9"/>
  <c r="K6" i="9"/>
  <c r="K5" i="9"/>
  <c r="K4" i="9"/>
  <c r="G5" i="13" l="1"/>
  <c r="F5" i="13"/>
  <c r="D5" i="13" l="1"/>
  <c r="R6" i="8"/>
  <c r="Q6" i="8"/>
  <c r="H5" i="13" l="1"/>
  <c r="H6" i="13" s="1"/>
  <c r="B4" i="12" s="1"/>
  <c r="I5" i="13"/>
  <c r="I6" i="13" s="1"/>
  <c r="C4" i="12" s="1"/>
  <c r="J5" i="13"/>
  <c r="J6" i="13" s="1"/>
  <c r="D4" i="12" s="1"/>
  <c r="C8" i="10"/>
  <c r="F6" i="8"/>
  <c r="N6" i="8" l="1"/>
  <c r="O6" i="8"/>
  <c r="P6" i="8"/>
  <c r="S6" i="8"/>
  <c r="M6" i="8"/>
  <c r="E4" i="10" l="1"/>
  <c r="F5" i="10" l="1"/>
  <c r="B5" i="12" s="1"/>
  <c r="G5" i="10"/>
  <c r="C5" i="12" s="1"/>
  <c r="H5" i="10"/>
  <c r="D5" i="12" s="1"/>
  <c r="G6" i="8" l="1"/>
  <c r="X6" i="8" s="1"/>
  <c r="X7" i="8" l="1"/>
  <c r="F6" i="12" s="1"/>
  <c r="U6" i="8"/>
  <c r="U7" i="8" s="1"/>
  <c r="C6" i="12" s="1"/>
  <c r="Y6" i="8"/>
  <c r="Y7" i="8" s="1"/>
  <c r="G6" i="12" s="1"/>
  <c r="Z6" i="8"/>
  <c r="Z7" i="8" s="1"/>
  <c r="H6" i="12" s="1"/>
  <c r="T6" i="8"/>
  <c r="T7" i="8" s="1"/>
  <c r="B6" i="12" s="1"/>
  <c r="V6" i="8"/>
  <c r="V7" i="8" s="1"/>
  <c r="D6" i="12" s="1"/>
  <c r="W6" i="8"/>
  <c r="W7" i="8" s="1"/>
  <c r="E6" i="12" s="1"/>
  <c r="H6" i="5"/>
  <c r="I6" i="5" s="1"/>
  <c r="L6" i="5" l="1"/>
  <c r="K6" i="5"/>
  <c r="M6" i="5"/>
  <c r="N6" i="5"/>
  <c r="J6" i="5"/>
  <c r="L10" i="5"/>
  <c r="M5" i="5"/>
  <c r="M8" i="5" l="1"/>
  <c r="L11" i="5"/>
  <c r="M10" i="5"/>
  <c r="H9" i="5"/>
  <c r="I9" i="5" s="1"/>
  <c r="M9" i="5"/>
  <c r="N11" i="5"/>
  <c r="H11" i="5"/>
  <c r="J11" i="5" s="1"/>
  <c r="K10" i="5"/>
  <c r="L9" i="5"/>
  <c r="K11" i="5"/>
  <c r="M11" i="5"/>
  <c r="N10" i="5"/>
  <c r="H10" i="5"/>
  <c r="I10" i="5" s="1"/>
  <c r="K9" i="5"/>
  <c r="L5" i="5"/>
  <c r="H7" i="5"/>
  <c r="I7" i="5" s="1"/>
  <c r="N9" i="5"/>
  <c r="K5" i="5"/>
  <c r="M7" i="5"/>
  <c r="H5" i="5"/>
  <c r="I5" i="5" s="1"/>
  <c r="K8" i="5"/>
  <c r="N5" i="5"/>
  <c r="L8" i="5"/>
  <c r="L7" i="5"/>
  <c r="N8" i="5"/>
  <c r="H8" i="5"/>
  <c r="I8" i="5" s="1"/>
  <c r="K7" i="5"/>
  <c r="N7" i="5"/>
  <c r="J9" i="5" l="1"/>
  <c r="I11" i="5"/>
  <c r="J7" i="5"/>
  <c r="J10" i="5"/>
  <c r="J8" i="5"/>
  <c r="J5" i="5"/>
  <c r="H4" i="5" l="1"/>
  <c r="H12" i="5" s="1"/>
  <c r="B3" i="12" s="1"/>
  <c r="B7" i="12" s="1"/>
  <c r="K4" i="5" l="1"/>
  <c r="K12" i="5" s="1"/>
  <c r="E3" i="12" s="1"/>
  <c r="E7" i="12" s="1"/>
  <c r="N4" i="5"/>
  <c r="N12" i="5" s="1"/>
  <c r="H3" i="12" s="1"/>
  <c r="H7" i="12" s="1"/>
  <c r="I4" i="5"/>
  <c r="I12" i="5" s="1"/>
  <c r="C3" i="12" s="1"/>
  <c r="C7" i="12" s="1"/>
  <c r="M4" i="5"/>
  <c r="M12" i="5" s="1"/>
  <c r="G3" i="12" s="1"/>
  <c r="G7" i="12" s="1"/>
  <c r="L4" i="5"/>
  <c r="L12" i="5" s="1"/>
  <c r="F3" i="12" s="1"/>
  <c r="F7" i="12" s="1"/>
  <c r="J4" i="5" l="1"/>
  <c r="J12" i="5" s="1"/>
  <c r="D3" i="12" s="1"/>
  <c r="D7" i="12" s="1"/>
</calcChain>
</file>

<file path=xl/comments1.xml><?xml version="1.0" encoding="utf-8"?>
<comments xmlns="http://schemas.openxmlformats.org/spreadsheetml/2006/main">
  <authors>
    <author>Andrielly Moutinho Knupp</author>
    <author>Alinie Rossi dos Santos</author>
    <author>Autor</author>
  </authors>
  <commentList>
    <comment ref="G2" authorId="0" shapeId="0">
      <text>
        <r>
          <rPr>
            <sz val="9"/>
            <color indexed="81"/>
            <rFont val="Segoe UI"/>
            <family val="2"/>
          </rPr>
          <t xml:space="preserve">Fonte: Estação INMET 
ES_A612_Vitoria
</t>
        </r>
      </text>
    </comment>
    <comment ref="B12" authorId="1" shapeId="0">
      <text>
        <r>
          <rPr>
            <sz val="9"/>
            <color indexed="81"/>
            <rFont val="Segoe UI"/>
            <family val="2"/>
          </rPr>
          <t xml:space="preserve">VKT = DMT </t>
        </r>
      </text>
    </comment>
    <comment ref="C21" authorId="2" shapeId="0">
      <text>
        <r>
          <rPr>
            <sz val="9"/>
            <color indexed="81"/>
            <rFont val="Segoe UI"/>
            <family val="2"/>
          </rPr>
          <t>Consideração:
Assumido PM10 = PM</t>
        </r>
      </text>
    </comment>
    <comment ref="D21" authorId="2" shapeId="0">
      <text>
        <r>
          <rPr>
            <sz val="9"/>
            <color indexed="81"/>
            <rFont val="Segoe UI"/>
            <family val="2"/>
          </rPr>
          <t>Consideração:
Assumido PM2.5 = PM</t>
        </r>
      </text>
    </comment>
    <comment ref="H21" authorId="2" shapeId="0">
      <text>
        <r>
          <rPr>
            <sz val="9"/>
            <color indexed="81"/>
            <rFont val="Segoe UI"/>
            <family val="2"/>
          </rPr>
          <t xml:space="preserve">Consideração:
O fator de veículos pesados é expresso em HC e CH4. Contudo, em alguns casos o CH4 é maior que o HC, o que é incoerente. Assim, foi calculado o fator de emissão considerando todos hidrocarbonetos.
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  <author>Alinie Rossi dos Santos</author>
  </authors>
  <commentList>
    <comment ref="I3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J3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L3" authorId="0" shapeId="0">
      <text>
        <r>
          <rPr>
            <sz val="9"/>
            <color indexed="81"/>
            <rFont val="Segoe UI"/>
            <family val="2"/>
          </rPr>
          <t>Devido à inexistência de fator para SO2, foi considerado fator de SOx para SO2.</t>
        </r>
      </text>
    </comment>
    <comment ref="N3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o fator de emissão de ROG. Pois, a maioria dos componentes de ROG são COV (https://www.arb.ca.gov/ei/speciate/voc_rog_dfn_1_09.pdf).</t>
        </r>
      </text>
    </comment>
    <comment ref="B4" authorId="1" shapeId="0">
      <text>
        <r>
          <rPr>
            <sz val="9"/>
            <color indexed="81"/>
            <rFont val="Segoe UI"/>
            <family val="2"/>
          </rPr>
          <t>Como foi informada apenas a marca do equipamento pela empresa, foi considerada uma potência média daquelas estabelecidas na Tabela dos fatores de emissão</t>
        </r>
      </text>
    </comment>
    <comment ref="B5" authorId="1" shapeId="0">
      <text>
        <r>
          <rPr>
            <sz val="9"/>
            <color indexed="81"/>
            <rFont val="Segoe UI"/>
            <family val="2"/>
          </rPr>
          <t>Como foi informada apenas a marca do equipamento pela empresa, foi considerada uma potência média daquelas estabelecidas na Tabela dos fatores de emissão</t>
        </r>
      </text>
    </comment>
    <comment ref="B6" authorId="1" shapeId="0">
      <text>
        <r>
          <rPr>
            <sz val="9"/>
            <color indexed="81"/>
            <rFont val="Segoe UI"/>
            <family val="2"/>
          </rPr>
          <t>Como foi informada apenas a marca do equipamento pela empresa, foi considerada uma potência média daquelas estabelecidas na Tabela dos fatores de emissão</t>
        </r>
      </text>
    </comment>
    <comment ref="B7" authorId="1" shapeId="0">
      <text>
        <r>
          <rPr>
            <sz val="9"/>
            <color indexed="81"/>
            <rFont val="Segoe UI"/>
            <family val="2"/>
          </rPr>
          <t xml:space="preserve">Como foi informada apenas a marca do equipamento pela empresa, foi considerada uma potência média daquelas estabelecidas na Tabela dos fatores de emissão
</t>
        </r>
      </text>
    </comment>
    <comment ref="B8" authorId="1" shapeId="0">
      <text>
        <r>
          <rPr>
            <sz val="9"/>
            <color indexed="81"/>
            <rFont val="Segoe UI"/>
            <family val="2"/>
          </rPr>
          <t>Como foi informada apenas a marca do equipamento pela empresa, foi considerada uma potência média daquelas estabelecidas na Tabela dos fatores de emissão</t>
        </r>
      </text>
    </comment>
    <comment ref="B9" authorId="1" shapeId="0">
      <text>
        <r>
          <rPr>
            <sz val="9"/>
            <color indexed="81"/>
            <rFont val="Segoe UI"/>
            <family val="2"/>
          </rPr>
          <t>Modelo: Case W36. Como não foi encontrado catálogo desse modelo, e não foi informada a potência do equipamento pela empresa, foi considerada a potência de um modelo similar.</t>
        </r>
      </text>
    </comment>
    <comment ref="B10" authorId="1" shapeId="0">
      <text>
        <r>
          <rPr>
            <sz val="9"/>
            <color indexed="81"/>
            <rFont val="Segoe UI"/>
            <family val="2"/>
          </rPr>
          <t>Modelo: Michigan 55C. Potência descrita no catálago deste modelo.</t>
        </r>
      </text>
    </comment>
    <comment ref="B11" authorId="1" shapeId="0">
      <text>
        <r>
          <rPr>
            <sz val="9"/>
            <color indexed="81"/>
            <rFont val="Segoe UI"/>
            <family val="2"/>
          </rPr>
          <t>Modelo: Michigan 85C. Como não foi encontrado catálogo desse modelo, e não foi informada a potência do equipamento pela empresa, foi considerada a potência de um modelo similar</t>
        </r>
      </text>
    </comment>
  </commentList>
</comments>
</file>

<file path=xl/comments3.xml><?xml version="1.0" encoding="utf-8"?>
<comments xmlns="http://schemas.openxmlformats.org/spreadsheetml/2006/main">
  <authors>
    <author>Alinie Rossi dos Santos</author>
  </authors>
  <commentList>
    <comment ref="D2" authorId="0" shapeId="0">
      <text>
        <r>
          <rPr>
            <sz val="9"/>
            <color indexed="81"/>
            <rFont val="Segoe UI"/>
            <family val="2"/>
          </rPr>
          <t>Como não foi informado a quantidade de material envolvido no processo, foi considerado, de forma conservadora,  todo o material produzido.</t>
        </r>
      </text>
    </comment>
    <comment ref="E2" authorId="0" shapeId="0">
      <text>
        <r>
          <rPr>
            <sz val="9"/>
            <color indexed="81"/>
            <rFont val="Segoe UI"/>
            <family val="2"/>
          </rPr>
          <t>Fonte: USEPA (2009) Section 12.5.1 Steel Minimills - Table 12.5.1-1 (Billet cutting torches)
PM emission factor:  Unit of lb/ton is lb/ton of steel produced</t>
        </r>
      </text>
    </comment>
    <comment ref="G3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H3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</commentList>
</comments>
</file>

<file path=xl/comments4.xml><?xml version="1.0" encoding="utf-8"?>
<comments xmlns="http://schemas.openxmlformats.org/spreadsheetml/2006/main">
  <authors>
    <author>Alinie Rossi dos Santos</author>
  </authors>
  <commentList>
    <comment ref="E3" authorId="0" shapeId="0">
      <text>
        <r>
          <rPr>
            <sz val="9"/>
            <color indexed="81"/>
            <rFont val="Segoe UI"/>
            <family val="2"/>
          </rPr>
          <t>(USEPA, 2003) - AP42 12.10 Gray Iron Foundries - Table 12.10-6 
Fonte: https://www3.epa.gov/ttn/chief/ap42/ch12/final/c12s10.pdf</t>
        </r>
      </text>
    </comment>
    <comment ref="F4" authorId="0" shapeId="0">
      <text>
        <r>
          <rPr>
            <sz val="9"/>
            <color indexed="81"/>
            <rFont val="Segoe UI"/>
            <family val="2"/>
          </rPr>
          <t>PM10/PM=0,5 
Fonte: USEPA (1986)
Section 12.5 - Iron and Steel Production - Table 12.5-4
https://www3.epa.gov/ttn/chief/ap42/ch12/final/c12s05.pdf</t>
        </r>
      </text>
    </comment>
    <comment ref="G4" authorId="0" shapeId="0">
      <text>
        <r>
          <rPr>
            <sz val="9"/>
            <color indexed="81"/>
            <rFont val="Segoe UI"/>
            <family val="2"/>
          </rPr>
          <t xml:space="preserve">PM2.5/PM=0,18
Fonte: USEPA (1986)
Section 12.5 - Iron and Steel Production - Table 12.5-4
https://www3.epa.gov/ttn/chief/ap42/ch12/final/c12s05.pdf
</t>
        </r>
      </text>
    </comment>
  </commentList>
</comments>
</file>

<file path=xl/comments5.xml><?xml version="1.0" encoding="utf-8"?>
<comments xmlns="http://schemas.openxmlformats.org/spreadsheetml/2006/main">
  <authors>
    <author>Alinie Rossi dos Santos</author>
    <author>Vanessa Brusco Filete</author>
  </authors>
  <commentList>
    <comment ref="I4" authorId="0" shapeId="0">
      <text>
        <r>
          <rPr>
            <sz val="9"/>
            <color indexed="81"/>
            <rFont val="Segoe UI"/>
            <family val="2"/>
          </rPr>
          <t>Como não foi informado peso, nem mesmo o modelo dos caminhões utilizados, foi considerado o peso médio de um caminhão caçamba/basculante.
http://www1.dnit.gov.br/Pesagem/sis_sgpv/QFV/QFV%202008%20Divulga%C3%A7%C3%A3o.pdf</t>
        </r>
      </text>
    </comment>
    <comment ref="S5" authorId="1" shapeId="0">
      <text>
        <r>
          <rPr>
            <sz val="9"/>
            <color indexed="81"/>
            <rFont val="Segoe UI"/>
            <family val="2"/>
          </rPr>
          <t xml:space="preserve">Fora considerado o Fator de Emissão de HCT, devido à ausência de fator específico para VOC.
</t>
        </r>
      </text>
    </comment>
    <comment ref="H6" authorId="0" shapeId="0">
      <text>
        <r>
          <rPr>
            <sz val="9"/>
            <color indexed="81"/>
            <rFont val="Segoe UI"/>
            <family val="2"/>
          </rPr>
          <t>Fonte: USEPA (2006) - Section 13.2.2 - Unpaved Roads - Table13.2.2-1 (Iron and Steel Production)</t>
        </r>
      </text>
    </comment>
  </commentList>
</comments>
</file>

<file path=xl/sharedStrings.xml><?xml version="1.0" encoding="utf-8"?>
<sst xmlns="http://schemas.openxmlformats.org/spreadsheetml/2006/main" count="204" uniqueCount="134">
  <si>
    <t>Fonte Emissora</t>
  </si>
  <si>
    <t>Taxa de Emissão [kg/h]</t>
  </si>
  <si>
    <t>PM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</si>
  <si>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</si>
  <si>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t>CO</t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</si>
  <si>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</si>
  <si>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</si>
  <si>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t>Equipment</t>
  </si>
  <si>
    <t>MaxHP</t>
  </si>
  <si>
    <t>PM [kg/h]</t>
  </si>
  <si>
    <r>
      <t>NO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 xml:space="preserve"> [kg/h]</t>
    </r>
  </si>
  <si>
    <r>
      <t>SO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 xml:space="preserve"> [kg/h]</t>
    </r>
  </si>
  <si>
    <t>CO [kg/h]</t>
  </si>
  <si>
    <t>ROG [kg/h]</t>
  </si>
  <si>
    <r>
      <t>CO</t>
    </r>
    <r>
      <rPr>
        <vertAlign val="subscript"/>
        <sz val="8"/>
        <rFont val="Arial"/>
        <family val="2"/>
      </rPr>
      <t xml:space="preserve">2 </t>
    </r>
    <r>
      <rPr>
        <sz val="8"/>
        <rFont val="Arial"/>
        <family val="2"/>
      </rPr>
      <t>[kg/h]</t>
    </r>
  </si>
  <si>
    <r>
      <t>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[kg/h]</t>
    </r>
  </si>
  <si>
    <t>Potência [hp]</t>
  </si>
  <si>
    <t>Equipamento [hp]</t>
  </si>
  <si>
    <t>Quantidade</t>
  </si>
  <si>
    <t>Horas/dia</t>
  </si>
  <si>
    <r>
      <t>PM</t>
    </r>
    <r>
      <rPr>
        <b/>
        <vertAlign val="subscript"/>
        <sz val="8"/>
        <color theme="0"/>
        <rFont val="Arial"/>
        <family val="2"/>
      </rPr>
      <t>2.5</t>
    </r>
  </si>
  <si>
    <t>Guindaste</t>
  </si>
  <si>
    <t>Escavadeira</t>
  </si>
  <si>
    <t>Pá Carregadeira</t>
  </si>
  <si>
    <t>Cranes - 50</t>
  </si>
  <si>
    <t>Cranes - 120</t>
  </si>
  <si>
    <t>Cranes - 175</t>
  </si>
  <si>
    <t>Cranes - 250</t>
  </si>
  <si>
    <t>Cranes - 500</t>
  </si>
  <si>
    <t>Cranes - 750</t>
  </si>
  <si>
    <t>Cranes - 9999</t>
  </si>
  <si>
    <t>Cranes 
(Guindastes)</t>
  </si>
  <si>
    <t>Excavators (Escavadeiras)</t>
  </si>
  <si>
    <t>Excavator - 25</t>
  </si>
  <si>
    <t>Excavator - 250</t>
  </si>
  <si>
    <t>Excavator - 50</t>
  </si>
  <si>
    <t>Excavator - 120</t>
  </si>
  <si>
    <t>Excavator - 175</t>
  </si>
  <si>
    <t>Excavator - 500</t>
  </si>
  <si>
    <t>Excavator - 750</t>
  </si>
  <si>
    <t>Rubber Tired Loader 
(Pá Carrregadeira)</t>
  </si>
  <si>
    <t>Rubber Tired Loader - 25</t>
  </si>
  <si>
    <t>Rubber Tired Loader - 50</t>
  </si>
  <si>
    <t>Rubber Tired Loader - 120</t>
  </si>
  <si>
    <t>Rubber Tired Loader - 175</t>
  </si>
  <si>
    <t>Rubber Tired Loader - 250</t>
  </si>
  <si>
    <t>Rubber Tired Loader - 500</t>
  </si>
  <si>
    <t>Rubber Tired Loader - 750</t>
  </si>
  <si>
    <t>Rubber Tired Loader - 1000</t>
  </si>
  <si>
    <t xml:space="preserve">Fonte Emissora </t>
  </si>
  <si>
    <t>Tipo</t>
  </si>
  <si>
    <t>Não Pavimentada</t>
  </si>
  <si>
    <t>Table 13.2.2-2 Constants for Equations 1a and 1b</t>
  </si>
  <si>
    <t>Constant</t>
  </si>
  <si>
    <t>Industrial Roads (Equation 1a)</t>
  </si>
  <si>
    <t>PM2.5</t>
  </si>
  <si>
    <t>PM10</t>
  </si>
  <si>
    <t>PM30</t>
  </si>
  <si>
    <t>k (lb/VMT)</t>
  </si>
  <si>
    <t>a</t>
  </si>
  <si>
    <t>b</t>
  </si>
  <si>
    <t>Equation</t>
  </si>
  <si>
    <t>1 lb/VMT</t>
  </si>
  <si>
    <t>g/VKT</t>
  </si>
  <si>
    <t>(t/ano)</t>
  </si>
  <si>
    <t>(t/h)</t>
  </si>
  <si>
    <t xml:space="preserve">Produção </t>
  </si>
  <si>
    <t>Via de Tráfego</t>
  </si>
  <si>
    <t>Oxicorte</t>
  </si>
  <si>
    <t>Classe de Veículo</t>
  </si>
  <si>
    <t>Fator de emissão médio da frota veicular da RGV [g/km]</t>
  </si>
  <si>
    <t>Escapamento</t>
  </si>
  <si>
    <r>
      <t>PM</t>
    </r>
    <r>
      <rPr>
        <vertAlign val="subscript"/>
        <sz val="8"/>
        <color theme="1"/>
        <rFont val="Arial"/>
        <family val="2"/>
      </rPr>
      <t>10</t>
    </r>
  </si>
  <si>
    <r>
      <t>PM</t>
    </r>
    <r>
      <rPr>
        <vertAlign val="subscript"/>
        <sz val="8"/>
        <color theme="1"/>
        <rFont val="Arial"/>
        <family val="2"/>
      </rPr>
      <t>25</t>
    </r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</si>
  <si>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</si>
  <si>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</si>
  <si>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HCT</t>
  </si>
  <si>
    <t>Veículos Pesados</t>
  </si>
  <si>
    <t>Equação Geral:</t>
  </si>
  <si>
    <t>Onde:
E - emissão (lb/dia)
n - número de equipamentos de cada categoria
H - número de horas diárias de operação do equipamento
EF - fator de emissão (lb/h)</t>
  </si>
  <si>
    <t>Ano 2015</t>
  </si>
  <si>
    <t xml:space="preserve">Mês </t>
  </si>
  <si>
    <t>Precipitação Acumulada (mm)</t>
  </si>
  <si>
    <t>Número de Dias com Precipitação &gt; 0,254 mm</t>
  </si>
  <si>
    <t>N° dias no mês</t>
  </si>
  <si>
    <t>Fator de Ajuste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</si>
  <si>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</si>
  <si>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</si>
  <si>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</si>
  <si>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</si>
  <si>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</si>
  <si>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</si>
  <si>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</si>
  <si>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</si>
  <si>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</si>
  <si>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</si>
  <si>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</si>
  <si>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</si>
  <si>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Fator Ajuste:</t>
  </si>
  <si>
    <t>Obs: Como não foi informado o ano dos equipamentos, de forma conservadora foi considerado que o equipamento seria de 2007</t>
  </si>
  <si>
    <t>Fontes Emissoras</t>
  </si>
  <si>
    <t>Máquinas e Equipamentos</t>
  </si>
  <si>
    <t>Corte de sucata</t>
  </si>
  <si>
    <t>Vias de tráfego</t>
  </si>
  <si>
    <t>-</t>
  </si>
  <si>
    <t xml:space="preserve">PM </t>
  </si>
  <si>
    <r>
      <t>PM</t>
    </r>
    <r>
      <rPr>
        <b/>
        <vertAlign val="subscript"/>
        <sz val="8"/>
        <color theme="0"/>
        <rFont val="Arial"/>
        <family val="2"/>
      </rPr>
      <t>10</t>
    </r>
    <r>
      <rPr>
        <b/>
        <sz val="8"/>
        <color theme="0"/>
        <rFont val="Arial"/>
        <family val="2"/>
      </rPr>
      <t xml:space="preserve"> </t>
    </r>
  </si>
  <si>
    <r>
      <t>PM</t>
    </r>
    <r>
      <rPr>
        <b/>
        <vertAlign val="subscript"/>
        <sz val="8"/>
        <color theme="0"/>
        <rFont val="Arial"/>
        <family val="2"/>
      </rPr>
      <t>2,5</t>
    </r>
    <r>
      <rPr>
        <b/>
        <sz val="8"/>
        <color theme="0"/>
        <rFont val="Arial"/>
        <family val="2"/>
      </rPr>
      <t xml:space="preserve"> </t>
    </r>
  </si>
  <si>
    <t>TR - Movimentação sucata</t>
  </si>
  <si>
    <t>Movimentação sucata</t>
  </si>
  <si>
    <t>Onde:
FE - fator de emissão de material particulado (lb/VMT)
k - constante de tamanho da partícula (lb/VMT)
sL - teor de silt na superfície de rodagem (%)
W - peso médio dos veículos que trafegam na via (t)
P - número de dias onde a precipitação durante o período observado foi no mínimo 0,254 mm</t>
  </si>
  <si>
    <t>Fonte: AQMD (2016) - http://www.aqmd.gov/home/regulations/ceqa/air-quality-analysis-handbook/off-road-mobile-source-emission-factors</t>
  </si>
  <si>
    <t>AP-42 - 13.2.2 Unpaved Roads</t>
  </si>
  <si>
    <t>Fonte: AP-42 (USEPA, 2006) - https://www3.epa.gov/ttn/chief/ap42/ch13/final/c13s0202.pdf</t>
  </si>
  <si>
    <t>VOC</t>
  </si>
  <si>
    <t>Latitude [º]</t>
  </si>
  <si>
    <t>Longitude [º]</t>
  </si>
  <si>
    <t>TOTAL</t>
  </si>
  <si>
    <t>Produção [t/h]</t>
  </si>
  <si>
    <t>Fator de Emissão [lb/ton]</t>
  </si>
  <si>
    <t>Movimentação sucata [t/h]</t>
  </si>
  <si>
    <t>Fator de Emissão [g/kg]</t>
  </si>
  <si>
    <t>Comprimento [m]</t>
  </si>
  <si>
    <r>
      <t>Nº de Caminhões por Hora [h</t>
    </r>
    <r>
      <rPr>
        <b/>
        <vertAlign val="superscript"/>
        <sz val="8"/>
        <color theme="0"/>
        <rFont val="Arial"/>
        <family val="2"/>
      </rPr>
      <t>-1</t>
    </r>
    <r>
      <rPr>
        <b/>
        <sz val="8"/>
        <color theme="0"/>
        <rFont val="Arial"/>
        <family val="2"/>
      </rPr>
      <t>]</t>
    </r>
  </si>
  <si>
    <t>DMT  [km/h]</t>
  </si>
  <si>
    <t>Teor de Silte [%]</t>
  </si>
  <si>
    <t>Peso Médio dos Caminhões [t]</t>
  </si>
  <si>
    <t>Fator de Emissão - Ressuspensão [kg/VKT]</t>
  </si>
  <si>
    <t>Fator de Emissão - Gases Escapamento [kg/km]</t>
  </si>
  <si>
    <t xml:space="preserve">Nota: Como não foram fornecidas informações dos tanques existentes na empresa, não foram consideradas as emissões por tancagem </t>
  </si>
  <si>
    <t>Matéria-prima (t):</t>
  </si>
  <si>
    <t>Tráfego médio diário de caminhões:</t>
  </si>
  <si>
    <t>Fonte: Informações enviadas pelo empreendimento através do Ofício IEMA N° 462/2016 - DP</t>
  </si>
  <si>
    <t>Fonte: Informações enviadas pelo empreendimento através dos Ofícios IEMA N° 462/2016 - DP e 020/2017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</si>
</sst>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"/>
    <numFmt numFmtId="165" formatCode="0.000"/>
    <numFmt numFmtId="166" formatCode="#,##0.0"/>
    <numFmt numFmtId="167" formatCode="[&gt;=0.005]\ #,##0.00;[&lt;0.005]&quot;&lt;0,01&quot;"/>
    <numFmt numFmtId="168" formatCode="#,##0.000000"/>
    <numFmt numFmtId="169" formatCode="0.00000"/>
    <numFmt numFmtId="170" formatCode="0.0"/>
    <numFmt numFmtId="171" formatCode="0.000000"/>
    <numFmt numFmtId="172" formatCode="#,##0.00_ ;\-#,##0.00\ "/>
  </numFmts>
  <fonts count="1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indexed="81"/>
      <name val="Segoe UI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vertAlign val="subscript"/>
      <sz val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b/>
      <vertAlign val="superscript"/>
      <sz val="8"/>
      <color theme="0"/>
      <name val="Arial"/>
      <family val="2"/>
    </font>
    <font>
      <b/>
      <i/>
      <sz val="8"/>
      <color theme="1"/>
      <name val="Arial"/>
      <family val="2"/>
    </font>
    <font>
      <sz val="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1" fillId="0" borderId="0" xfId="0" applyNumberFormat="1" applyFont="1"/>
    <xf numFmtId="1" fontId="1" fillId="0" borderId="0" xfId="0" applyNumberFormat="1" applyFont="1" applyFill="1" applyAlignment="1">
      <alignment horizontal="center" vertical="center"/>
    </xf>
    <xf numFmtId="1" fontId="1" fillId="0" borderId="0" xfId="0" applyNumberFormat="1" applyFont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2" fontId="8" fillId="0" borderId="0" xfId="0" applyNumberFormat="1" applyFont="1" applyFill="1" applyBorder="1" applyAlignment="1">
      <alignment horizontal="center"/>
    </xf>
    <xf numFmtId="164" fontId="1" fillId="0" borderId="5" xfId="0" applyNumberFormat="1" applyFont="1" applyFill="1" applyBorder="1" applyAlignment="1">
      <alignment horizontal="left" vertical="center"/>
    </xf>
    <xf numFmtId="0" fontId="0" fillId="0" borderId="0" xfId="0" applyFill="1" applyBorder="1"/>
    <xf numFmtId="167" fontId="1" fillId="0" borderId="0" xfId="0" applyNumberFormat="1" applyFont="1" applyFill="1" applyAlignment="1">
      <alignment horizontal="center" vertical="center"/>
    </xf>
    <xf numFmtId="0" fontId="6" fillId="0" borderId="0" xfId="0" applyFont="1"/>
    <xf numFmtId="0" fontId="6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9" fillId="0" borderId="1" xfId="0" applyFont="1" applyFill="1" applyBorder="1" applyAlignment="1">
      <alignment horizontal="left" vertical="center"/>
    </xf>
    <xf numFmtId="164" fontId="9" fillId="0" borderId="5" xfId="0" applyNumberFormat="1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center" vertical="center"/>
    </xf>
    <xf numFmtId="167" fontId="1" fillId="3" borderId="0" xfId="0" applyNumberFormat="1" applyFont="1" applyFill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0" fontId="1" fillId="0" borderId="0" xfId="0" applyFont="1" applyFill="1"/>
    <xf numFmtId="0" fontId="1" fillId="0" borderId="4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7" fontId="1" fillId="0" borderId="1" xfId="0" applyNumberFormat="1" applyFont="1" applyFill="1" applyBorder="1" applyAlignment="1">
      <alignment horizontal="center" vertical="center"/>
    </xf>
    <xf numFmtId="167" fontId="1" fillId="3" borderId="1" xfId="0" applyNumberFormat="1" applyFont="1" applyFill="1" applyBorder="1" applyAlignment="1">
      <alignment horizontal="center" vertical="center"/>
    </xf>
    <xf numFmtId="16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6" fillId="0" borderId="0" xfId="0" applyNumberFormat="1" applyFont="1" applyAlignment="1">
      <alignment horizontal="left" vertical="center"/>
    </xf>
    <xf numFmtId="2" fontId="1" fillId="0" borderId="1" xfId="0" applyNumberFormat="1" applyFont="1" applyFill="1" applyBorder="1" applyAlignment="1">
      <alignment horizontal="center" vertical="center"/>
    </xf>
    <xf numFmtId="170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right" vertical="center"/>
    </xf>
    <xf numFmtId="164" fontId="5" fillId="0" borderId="0" xfId="0" applyNumberFormat="1" applyFont="1" applyFill="1" applyBorder="1" applyAlignment="1">
      <alignment horizontal="right" vertical="center"/>
    </xf>
    <xf numFmtId="164" fontId="1" fillId="0" borderId="0" xfId="0" applyNumberFormat="1" applyFont="1" applyFill="1" applyBorder="1" applyAlignment="1">
      <alignment horizontal="right" vertical="center"/>
    </xf>
    <xf numFmtId="164" fontId="9" fillId="0" borderId="0" xfId="0" applyNumberFormat="1" applyFont="1" applyFill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0" fillId="0" borderId="0" xfId="0" applyFill="1"/>
    <xf numFmtId="0" fontId="8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0" fontId="9" fillId="0" borderId="0" xfId="0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vertical="center"/>
    </xf>
    <xf numFmtId="164" fontId="1" fillId="0" borderId="0" xfId="0" applyNumberFormat="1" applyFont="1" applyFill="1" applyBorder="1" applyAlignment="1">
      <alignment vertical="center"/>
    </xf>
    <xf numFmtId="164" fontId="9" fillId="0" borderId="0" xfId="0" applyNumberFormat="1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166" fontId="1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71" fontId="1" fillId="0" borderId="1" xfId="0" applyNumberFormat="1" applyFont="1" applyBorder="1" applyAlignment="1">
      <alignment horizontal="center" vertical="center"/>
    </xf>
    <xf numFmtId="172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64" fontId="0" fillId="0" borderId="0" xfId="0" applyNumberFormat="1"/>
    <xf numFmtId="171" fontId="1" fillId="0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169" fontId="1" fillId="0" borderId="4" xfId="0" applyNumberFormat="1" applyFont="1" applyFill="1" applyBorder="1" applyAlignment="1">
      <alignment horizontal="center" vertical="center"/>
    </xf>
    <xf numFmtId="4" fontId="1" fillId="0" borderId="0" xfId="0" applyNumberFormat="1" applyFont="1" applyAlignment="1">
      <alignment horizontal="center"/>
    </xf>
    <xf numFmtId="0" fontId="1" fillId="0" borderId="7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2" fillId="4" borderId="8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1" fillId="4" borderId="15" xfId="0" applyFont="1" applyFill="1" applyBorder="1" applyAlignment="1">
      <alignment horizontal="left" vertical="center" wrapText="1"/>
    </xf>
    <xf numFmtId="0" fontId="1" fillId="4" borderId="16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1" fillId="4" borderId="17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1" fillId="4" borderId="14" xfId="0" applyFont="1" applyFill="1" applyBorder="1" applyAlignment="1">
      <alignment horizontal="left" vertical="center" wrapText="1"/>
    </xf>
    <xf numFmtId="0" fontId="1" fillId="4" borderId="18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  <color rgb="FFD9D9D9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676275</xdr:colOff>
      <xdr:row>26</xdr:row>
      <xdr:rowOff>14287</xdr:rowOff>
    </xdr:from>
    <xdr:ext cx="16097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/>
            <xdr:cNvSpPr txBox="1"/>
          </xdr:nvSpPr>
          <xdr:spPr>
            <a:xfrm>
              <a:off x="1971675" y="49672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/>
            <xdr:cNvSpPr txBox="1"/>
          </xdr:nvSpPr>
          <xdr:spPr>
            <a:xfrm>
              <a:off x="1971675" y="49672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𝐸=𝑛 𝑥 𝐻 𝑥 𝐸𝐹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695325</xdr:colOff>
      <xdr:row>9</xdr:row>
      <xdr:rowOff>66675</xdr:rowOff>
    </xdr:from>
    <xdr:to>
      <xdr:col>3</xdr:col>
      <xdr:colOff>828675</xdr:colOff>
      <xdr:row>10</xdr:row>
      <xdr:rowOff>247651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2486025" y="1924050"/>
          <a:ext cx="1028700" cy="314326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oneCellAnchor>
    <xdr:from>
      <xdr:col>0</xdr:col>
      <xdr:colOff>628650</xdr:colOff>
      <xdr:row>9</xdr:row>
      <xdr:rowOff>19050</xdr:rowOff>
    </xdr:from>
    <xdr:ext cx="3381375" cy="361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xmlns="" id="{00000000-0008-0000-0400-000002000000}"/>
                </a:ext>
              </a:extLst>
            </xdr:cNvPr>
            <xdr:cNvSpPr txBox="1"/>
          </xdr:nvSpPr>
          <xdr:spPr>
            <a:xfrm>
              <a:off x="628650" y="1876425"/>
              <a:ext cx="3381375" cy="361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00" b="0" i="1">
                        <a:latin typeface="Cambria Math" panose="02040503050406030204" pitchFamily="18" charset="0"/>
                      </a:rPr>
                      <m:t>𝐹𝐸</m:t>
                    </m:r>
                    <m:r>
                      <a:rPr lang="pt-BR" sz="10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pt-BR" sz="1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. </m:t>
                            </m:r>
                            <m:sSup>
                              <m:sSupPr>
                                <m:ctrlP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𝑠</m:t>
                                        </m:r>
                                      </m:num>
                                      <m:den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12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sup>
                            </m:sSup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.  </m:t>
                            </m:r>
                            <m:sSup>
                              <m:sSupPr>
                                <m:ctrlP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𝑊</m:t>
                                        </m:r>
                                      </m:num>
                                      <m:den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3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sup>
                            </m:sSup>
                          </m:e>
                        </m:d>
                        <m:r>
                          <a:rPr lang="pt-B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. (</m:t>
                        </m:r>
                        <m:d>
                          <m:dPr>
                            <m:ctrlP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365−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)/365)</m:t>
                            </m:r>
                          </m:e>
                        </m:d>
                      </m:e>
                    </m:d>
                    <m:r>
                      <a:rPr lang="pt-BR" sz="10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0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400-000002000000}"/>
                </a:ext>
              </a:extLst>
            </xdr:cNvPr>
            <xdr:cNvSpPr txBox="1"/>
          </xdr:nvSpPr>
          <xdr:spPr>
            <a:xfrm>
              <a:off x="628650" y="1876425"/>
              <a:ext cx="3381375" cy="361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000" b="0" i="0">
                  <a:latin typeface="Cambria Math" panose="02040503050406030204" pitchFamily="18" charset="0"/>
                </a:rPr>
                <a:t>𝐹𝐸=[</a:t>
              </a:r>
              <a:r>
                <a:rPr lang="pt-BR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(𝑘 . (𝑠/12)^𝑎.  (𝑊/3)^𝑏 )  . ((365−𝑃)/365))] </a:t>
              </a:r>
              <a:r>
                <a:rPr lang="pt-BR" sz="1000" b="0" i="0">
                  <a:latin typeface="Cambria Math" panose="02040503050406030204" pitchFamily="18" charset="0"/>
                </a:rPr>
                <a:t> </a:t>
              </a:r>
              <a:endParaRPr lang="pt-BR" sz="1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J24" sqref="J24"/>
    </sheetView>
  </sheetViews>
  <sheetFormatPr defaultRowHeight="15" x14ac:dyDescent="0.25"/>
  <cols>
    <col min="1" max="1" width="19.42578125" bestFit="1" customWidth="1"/>
    <col min="2" max="2" width="21.85546875" customWidth="1"/>
    <col min="3" max="6" width="9.42578125" bestFit="1" customWidth="1"/>
    <col min="7" max="7" width="9.7109375" bestFit="1" customWidth="1"/>
    <col min="8" max="8" width="10" bestFit="1" customWidth="1"/>
    <col min="9" max="9" width="9.42578125" bestFit="1" customWidth="1"/>
    <col min="13" max="14" width="9.28515625" bestFit="1" customWidth="1"/>
    <col min="15" max="15" width="10.42578125" bestFit="1" customWidth="1"/>
    <col min="16" max="19" width="9.28515625" bestFit="1" customWidth="1"/>
  </cols>
  <sheetData>
    <row r="1" spans="1:19" x14ac:dyDescent="0.25">
      <c r="A1" s="2" t="s">
        <v>111</v>
      </c>
      <c r="B1" s="78"/>
      <c r="C1" s="78"/>
      <c r="D1" s="78"/>
      <c r="E1" s="78"/>
      <c r="F1" s="78"/>
      <c r="G1" s="78"/>
      <c r="H1" s="78"/>
      <c r="I1" s="78"/>
      <c r="J1" s="78"/>
    </row>
    <row r="2" spans="1:19" x14ac:dyDescent="0.25">
      <c r="A2" s="74" t="s">
        <v>7</v>
      </c>
      <c r="B2" s="74" t="s">
        <v>8</v>
      </c>
      <c r="C2" s="74" t="s">
        <v>9</v>
      </c>
      <c r="D2" s="74" t="s">
        <v>10</v>
      </c>
      <c r="E2" s="74" t="s">
        <v>11</v>
      </c>
      <c r="F2" s="74" t="s">
        <v>12</v>
      </c>
      <c r="G2" s="74" t="s">
        <v>13</v>
      </c>
      <c r="H2" s="74" t="s">
        <v>14</v>
      </c>
      <c r="I2" s="74" t="s">
        <v>15</v>
      </c>
      <c r="J2" s="78"/>
    </row>
    <row r="3" spans="1:19" x14ac:dyDescent="0.25">
      <c r="A3" s="86" t="s">
        <v>31</v>
      </c>
      <c r="B3" s="15" t="s">
        <v>24</v>
      </c>
      <c r="C3" s="46">
        <v>1.5170261132105924E-2</v>
      </c>
      <c r="D3" s="46">
        <v>0.12090602488353881</v>
      </c>
      <c r="E3" s="46">
        <v>1.3596242309705308E-4</v>
      </c>
      <c r="F3" s="46">
        <v>0.15670198319003961</v>
      </c>
      <c r="G3" s="46">
        <v>7.0513561448611858E-2</v>
      </c>
      <c r="H3" s="46">
        <v>10.517298353837848</v>
      </c>
      <c r="I3" s="46">
        <v>6.3623260948461376E-3</v>
      </c>
      <c r="J3" s="78"/>
    </row>
    <row r="4" spans="1:19" x14ac:dyDescent="0.25">
      <c r="A4" s="87"/>
      <c r="B4" s="15" t="s">
        <v>25</v>
      </c>
      <c r="C4" s="47">
        <v>3.1450077922275839E-2</v>
      </c>
      <c r="D4" s="47">
        <v>0.3477842591091701</v>
      </c>
      <c r="E4" s="47">
        <v>2.6683064743948968E-4</v>
      </c>
      <c r="F4" s="47">
        <v>0.17484355640909954</v>
      </c>
      <c r="G4" s="47">
        <v>6.0675650460468786E-2</v>
      </c>
      <c r="H4" s="47">
        <v>22.746718560480101</v>
      </c>
      <c r="I4" s="47">
        <v>5.4746671130328963E-3</v>
      </c>
      <c r="J4" s="78"/>
    </row>
    <row r="5" spans="1:19" x14ac:dyDescent="0.25">
      <c r="A5" s="87"/>
      <c r="B5" s="15" t="s">
        <v>26</v>
      </c>
      <c r="C5" s="48">
        <v>2.7884407664468203E-2</v>
      </c>
      <c r="D5" s="48">
        <v>0.49934000918466154</v>
      </c>
      <c r="E5" s="48">
        <v>4.1005372131084207E-4</v>
      </c>
      <c r="F5" s="48">
        <v>0.22564930784205095</v>
      </c>
      <c r="G5" s="46">
        <v>6.4295255493779249E-2</v>
      </c>
      <c r="H5" s="48">
        <v>36.443665178164139</v>
      </c>
      <c r="I5" s="48">
        <v>5.8012575177646755E-3</v>
      </c>
      <c r="J5" s="78"/>
    </row>
    <row r="6" spans="1:19" x14ac:dyDescent="0.25">
      <c r="A6" s="87"/>
      <c r="B6" s="26" t="s">
        <v>27</v>
      </c>
      <c r="C6" s="49">
        <v>2.5897455243749198E-2</v>
      </c>
      <c r="D6" s="49">
        <v>0.66517064787851554</v>
      </c>
      <c r="E6" s="49">
        <v>5.7242406322174488E-4</v>
      </c>
      <c r="F6" s="49">
        <v>0.18683152696532357</v>
      </c>
      <c r="G6" s="50">
        <v>6.7039754434552359E-2</v>
      </c>
      <c r="H6" s="49">
        <v>50.874374431572036</v>
      </c>
      <c r="I6" s="49">
        <v>6.0488899851658335E-3</v>
      </c>
      <c r="J6" s="78"/>
      <c r="K6" s="54"/>
      <c r="L6" s="55"/>
      <c r="M6" s="57"/>
      <c r="Q6" s="57"/>
      <c r="R6" s="57"/>
      <c r="S6" s="57"/>
    </row>
    <row r="7" spans="1:19" x14ac:dyDescent="0.25">
      <c r="A7" s="87"/>
      <c r="B7" s="15" t="s">
        <v>28</v>
      </c>
      <c r="C7" s="48">
        <v>3.7138792516272966E-2</v>
      </c>
      <c r="D7" s="48">
        <v>0.95478182086470209</v>
      </c>
      <c r="E7" s="48">
        <v>8.0183868816433382E-4</v>
      </c>
      <c r="F7" s="48">
        <v>0.38480383406526514</v>
      </c>
      <c r="G7" s="48">
        <v>9.6227929791575698E-2</v>
      </c>
      <c r="H7" s="48">
        <v>81.692515485875276</v>
      </c>
      <c r="I7" s="48">
        <v>8.6824922371241259E-3</v>
      </c>
      <c r="J7" s="78"/>
      <c r="K7" s="54"/>
      <c r="L7" s="55"/>
      <c r="M7" s="56"/>
      <c r="Q7" s="56"/>
      <c r="R7" s="56"/>
      <c r="S7" s="56"/>
    </row>
    <row r="8" spans="1:19" x14ac:dyDescent="0.25">
      <c r="A8" s="87"/>
      <c r="B8" s="15" t="s">
        <v>29</v>
      </c>
      <c r="C8" s="48">
        <v>6.3011704998255175E-2</v>
      </c>
      <c r="D8" s="48">
        <v>1.6418624857671682</v>
      </c>
      <c r="E8" s="48">
        <v>1.3821084740379291E-3</v>
      </c>
      <c r="F8" s="48">
        <v>0.64469912411930808</v>
      </c>
      <c r="G8" s="48">
        <v>0.16327907040414899</v>
      </c>
      <c r="H8" s="48">
        <v>137.45862849183945</v>
      </c>
      <c r="I8" s="48">
        <v>1.4732409546589952E-2</v>
      </c>
      <c r="J8" s="78"/>
      <c r="K8" s="54"/>
      <c r="L8" s="54"/>
      <c r="M8" s="54"/>
      <c r="Q8" s="54"/>
      <c r="R8" s="54"/>
      <c r="S8" s="54"/>
    </row>
    <row r="9" spans="1:19" x14ac:dyDescent="0.25">
      <c r="A9" s="88"/>
      <c r="B9" s="15" t="s">
        <v>30</v>
      </c>
      <c r="C9" s="48">
        <v>0.1970659156325946</v>
      </c>
      <c r="D9" s="48">
        <v>6.1536369963483475</v>
      </c>
      <c r="E9" s="48">
        <v>4.4266833407443883E-3</v>
      </c>
      <c r="F9" s="48">
        <v>2.3711746868071617</v>
      </c>
      <c r="G9" s="48">
        <v>0.57995762972403597</v>
      </c>
      <c r="H9" s="48">
        <v>440.25899293107631</v>
      </c>
      <c r="I9" s="48">
        <v>5.2328641514703823E-2</v>
      </c>
      <c r="J9" s="78"/>
      <c r="K9" s="54"/>
      <c r="L9" s="57"/>
      <c r="M9" s="54"/>
      <c r="Q9" s="54"/>
      <c r="R9" s="54"/>
      <c r="S9" s="54"/>
    </row>
    <row r="10" spans="1:19" x14ac:dyDescent="0.25">
      <c r="A10" s="86" t="s">
        <v>32</v>
      </c>
      <c r="B10" s="15" t="s">
        <v>33</v>
      </c>
      <c r="C10" s="47">
        <v>3.9890165496478201E-3</v>
      </c>
      <c r="D10" s="47">
        <v>6.1369251319822266E-2</v>
      </c>
      <c r="E10" s="47">
        <v>9.4616446621996876E-5</v>
      </c>
      <c r="F10" s="47">
        <v>3.0704922620167548E-2</v>
      </c>
      <c r="G10" s="47">
        <v>9.325230578523698E-3</v>
      </c>
      <c r="H10" s="47">
        <v>7.4570981157761267</v>
      </c>
      <c r="I10" s="47">
        <v>8.4140057334345904E-4</v>
      </c>
      <c r="J10" s="78"/>
      <c r="K10" s="54"/>
      <c r="L10" s="54"/>
      <c r="M10" s="54"/>
      <c r="Q10" s="54"/>
      <c r="R10" s="54"/>
      <c r="S10" s="54"/>
    </row>
    <row r="11" spans="1:19" x14ac:dyDescent="0.25">
      <c r="A11" s="87"/>
      <c r="B11" s="15" t="s">
        <v>35</v>
      </c>
      <c r="C11" s="48">
        <v>1.5482138027073926E-2</v>
      </c>
      <c r="D11" s="48">
        <v>0.12602279653815557</v>
      </c>
      <c r="E11" s="48">
        <v>1.4669823419588148E-4</v>
      </c>
      <c r="F11" s="48">
        <v>0.15992567973540345</v>
      </c>
      <c r="G11" s="48">
        <v>6.8514240153494874E-2</v>
      </c>
      <c r="H11" s="48">
        <v>11.347760681124397</v>
      </c>
      <c r="I11" s="48">
        <v>6.1819292303150449E-3</v>
      </c>
      <c r="J11" s="78"/>
      <c r="K11" s="54"/>
      <c r="L11" s="53"/>
      <c r="M11" s="54"/>
      <c r="Q11" s="54"/>
      <c r="R11" s="54"/>
      <c r="S11" s="54"/>
    </row>
    <row r="12" spans="1:19" x14ac:dyDescent="0.25">
      <c r="A12" s="87"/>
      <c r="B12" s="15" t="s">
        <v>36</v>
      </c>
      <c r="C12" s="48">
        <v>4.3689955953397884E-2</v>
      </c>
      <c r="D12" s="48">
        <v>0.46744735992116221</v>
      </c>
      <c r="E12" s="48">
        <v>3.9173850602458582E-4</v>
      </c>
      <c r="F12" s="48">
        <v>0.24966648844319658</v>
      </c>
      <c r="G12" s="48">
        <v>8.1017998911048009E-2</v>
      </c>
      <c r="H12" s="48">
        <v>33.394826528703661</v>
      </c>
      <c r="I12" s="48">
        <v>7.3101241308548672E-3</v>
      </c>
      <c r="J12" s="78"/>
      <c r="K12" s="54"/>
      <c r="L12" s="54"/>
      <c r="M12" s="54"/>
      <c r="Q12" s="54"/>
      <c r="R12" s="54"/>
      <c r="S12" s="54"/>
    </row>
    <row r="13" spans="1:19" x14ac:dyDescent="0.25">
      <c r="A13" s="87"/>
      <c r="B13" s="26" t="s">
        <v>37</v>
      </c>
      <c r="C13" s="49">
        <v>3.6023154684608628E-2</v>
      </c>
      <c r="D13" s="49">
        <v>0.63034815463312366</v>
      </c>
      <c r="E13" s="49">
        <v>5.7274397999067218E-4</v>
      </c>
      <c r="F13" s="49">
        <v>0.30652652990664653</v>
      </c>
      <c r="G13" s="49">
        <v>8.1297557226803041E-2</v>
      </c>
      <c r="H13" s="49">
        <v>50.902804870404331</v>
      </c>
      <c r="I13" s="49">
        <v>7.3353490732738606E-3</v>
      </c>
      <c r="J13" s="78"/>
      <c r="K13" s="54"/>
      <c r="L13" s="54"/>
      <c r="M13" s="54"/>
      <c r="Q13" s="54"/>
      <c r="R13" s="54"/>
      <c r="S13" s="54"/>
    </row>
    <row r="14" spans="1:19" x14ac:dyDescent="0.25">
      <c r="A14" s="87"/>
      <c r="B14" s="15" t="s">
        <v>34</v>
      </c>
      <c r="C14" s="48">
        <v>2.9088427954342536E-2</v>
      </c>
      <c r="D14" s="48">
        <v>0.84182054273419638</v>
      </c>
      <c r="E14" s="48">
        <v>8.0986730271663749E-4</v>
      </c>
      <c r="F14" s="48">
        <v>0.21055843242538708</v>
      </c>
      <c r="G14" s="48">
        <v>7.8277754706101627E-2</v>
      </c>
      <c r="H14" s="48">
        <v>71.977225347554125</v>
      </c>
      <c r="I14" s="48">
        <v>7.0628741220007361E-3</v>
      </c>
      <c r="J14" s="78"/>
      <c r="K14" s="18"/>
      <c r="L14" s="18"/>
      <c r="M14" s="18"/>
      <c r="R14" s="18"/>
      <c r="S14" s="18"/>
    </row>
    <row r="15" spans="1:19" x14ac:dyDescent="0.25">
      <c r="A15" s="87"/>
      <c r="B15" s="15" t="s">
        <v>38</v>
      </c>
      <c r="C15" s="48">
        <v>3.8897927506608358E-2</v>
      </c>
      <c r="D15" s="48">
        <v>1.0799749312549003</v>
      </c>
      <c r="E15" s="48">
        <v>1.0406255490298018E-3</v>
      </c>
      <c r="F15" s="48">
        <v>0.34712417522482392</v>
      </c>
      <c r="G15" s="48">
        <v>0.1040828387327908</v>
      </c>
      <c r="H15" s="48">
        <v>106.02050023214386</v>
      </c>
      <c r="I15" s="48">
        <v>9.3912260611923714E-3</v>
      </c>
      <c r="J15" s="78"/>
      <c r="K15" s="51"/>
      <c r="L15" s="52"/>
      <c r="M15" s="16"/>
      <c r="N15" s="16"/>
      <c r="O15" s="16"/>
      <c r="P15" s="16"/>
      <c r="Q15" s="16"/>
      <c r="R15" s="16"/>
      <c r="S15" s="16"/>
    </row>
    <row r="16" spans="1:19" x14ac:dyDescent="0.25">
      <c r="A16" s="87"/>
      <c r="B16" s="15" t="s">
        <v>39</v>
      </c>
      <c r="C16" s="48">
        <v>6.5509575064624348E-2</v>
      </c>
      <c r="D16" s="48">
        <v>1.848764979398662</v>
      </c>
      <c r="E16" s="48">
        <v>1.7668986494167919E-3</v>
      </c>
      <c r="F16" s="48">
        <v>0.57357271429451673</v>
      </c>
      <c r="G16" s="48">
        <v>0.17421540945270575</v>
      </c>
      <c r="H16" s="48">
        <v>175.7281803441501</v>
      </c>
      <c r="I16" s="48">
        <v>1.5719177508701557E-2</v>
      </c>
      <c r="J16" s="78"/>
      <c r="K16" s="51"/>
      <c r="L16" s="18"/>
      <c r="M16" s="51"/>
      <c r="N16" s="51"/>
      <c r="O16" s="51"/>
      <c r="P16" s="51"/>
      <c r="Q16" s="51"/>
      <c r="R16" s="18"/>
      <c r="S16" s="51"/>
    </row>
    <row r="17" spans="1:19" x14ac:dyDescent="0.25">
      <c r="A17" s="84" t="s">
        <v>40</v>
      </c>
      <c r="B17" s="17" t="s">
        <v>41</v>
      </c>
      <c r="C17" s="58">
        <v>4.1647481574952775E-3</v>
      </c>
      <c r="D17" s="58">
        <v>6.5318933034944765E-2</v>
      </c>
      <c r="E17" s="58">
        <v>9.7431139391112798E-5</v>
      </c>
      <c r="F17" s="58">
        <v>3.2117661168667613E-2</v>
      </c>
      <c r="G17" s="58">
        <v>1.0013560541894806E-2</v>
      </c>
      <c r="H17" s="59">
        <v>7.6789363702976381</v>
      </c>
      <c r="I17" s="58">
        <v>9.0350737078986789E-4</v>
      </c>
      <c r="J17" s="78"/>
      <c r="K17" s="51"/>
      <c r="L17" s="51"/>
      <c r="M17" s="51"/>
      <c r="N17" s="51"/>
      <c r="O17" s="51"/>
      <c r="P17" s="51"/>
      <c r="Q17" s="51"/>
      <c r="R17" s="51"/>
      <c r="S17" s="51"/>
    </row>
    <row r="18" spans="1:19" x14ac:dyDescent="0.25">
      <c r="A18" s="85"/>
      <c r="B18" s="17" t="s">
        <v>42</v>
      </c>
      <c r="C18" s="58">
        <v>1.9389461005136124E-2</v>
      </c>
      <c r="D18" s="58">
        <v>0.15850781980120351</v>
      </c>
      <c r="E18" s="58">
        <v>1.8265581631205882E-4</v>
      </c>
      <c r="F18" s="58">
        <v>0.19953638186759515</v>
      </c>
      <c r="G18" s="58">
        <v>8.7889870552575564E-2</v>
      </c>
      <c r="H18" s="58">
        <v>14.129238189499569</v>
      </c>
      <c r="I18" s="58">
        <v>7.9301638618412291E-3</v>
      </c>
      <c r="J18" s="78"/>
      <c r="K18" s="51"/>
      <c r="L18" s="51"/>
      <c r="M18" s="51"/>
      <c r="N18" s="51"/>
      <c r="O18" s="51"/>
      <c r="P18" s="51"/>
      <c r="Q18" s="51"/>
      <c r="R18" s="51"/>
      <c r="S18" s="51"/>
    </row>
    <row r="19" spans="1:19" x14ac:dyDescent="0.25">
      <c r="A19" s="85"/>
      <c r="B19" s="27" t="s">
        <v>43</v>
      </c>
      <c r="C19" s="60">
        <v>3.5159649405128737E-2</v>
      </c>
      <c r="D19" s="60">
        <v>0.39013010201093185</v>
      </c>
      <c r="E19" s="60">
        <v>3.1347091665644508E-4</v>
      </c>
      <c r="F19" s="60">
        <v>0.2004419223709539</v>
      </c>
      <c r="G19" s="60">
        <v>6.7138814469940591E-2</v>
      </c>
      <c r="H19" s="60">
        <v>26.722695910514073</v>
      </c>
      <c r="I19" s="60">
        <v>6.0578280967871325E-3</v>
      </c>
      <c r="J19" s="78"/>
      <c r="K19" s="51"/>
      <c r="L19" s="51"/>
      <c r="M19" s="51"/>
      <c r="N19" s="51"/>
      <c r="O19" s="51"/>
      <c r="P19" s="51"/>
      <c r="Q19" s="51"/>
      <c r="R19" s="51"/>
      <c r="S19" s="51"/>
    </row>
    <row r="20" spans="1:19" x14ac:dyDescent="0.25">
      <c r="A20" s="85"/>
      <c r="B20" s="27" t="s">
        <v>44</v>
      </c>
      <c r="C20" s="60">
        <v>3.4873730864910753E-2</v>
      </c>
      <c r="D20" s="60">
        <v>0.62819014565488085</v>
      </c>
      <c r="E20" s="60">
        <v>5.4259968788077681E-4</v>
      </c>
      <c r="F20" s="60">
        <v>0.29143683660988179</v>
      </c>
      <c r="G20" s="60">
        <v>7.9806989940830519E-2</v>
      </c>
      <c r="H20" s="60">
        <v>48.223729179933819</v>
      </c>
      <c r="I20" s="60">
        <v>7.2008552575325378E-3</v>
      </c>
      <c r="J20" s="78"/>
      <c r="K20" s="51"/>
      <c r="L20" s="51"/>
      <c r="M20" s="51"/>
      <c r="N20" s="51"/>
      <c r="O20" s="51"/>
      <c r="P20" s="51"/>
      <c r="Q20" s="51"/>
      <c r="R20" s="51"/>
      <c r="S20" s="51"/>
    </row>
    <row r="21" spans="1:19" x14ac:dyDescent="0.25">
      <c r="A21" s="85"/>
      <c r="B21" s="17" t="s">
        <v>45</v>
      </c>
      <c r="C21" s="58">
        <v>3.101083119228833E-2</v>
      </c>
      <c r="D21" s="58">
        <v>0.83698143551687265</v>
      </c>
      <c r="E21" s="58">
        <v>7.6033040375300068E-4</v>
      </c>
      <c r="F21" s="58">
        <v>0.22495851814724077</v>
      </c>
      <c r="G21" s="58">
        <v>8.0781384871570633E-2</v>
      </c>
      <c r="H21" s="58">
        <v>67.57462749683539</v>
      </c>
      <c r="I21" s="58">
        <v>7.2887737155482657E-3</v>
      </c>
      <c r="J21" s="78"/>
      <c r="K21" s="51"/>
      <c r="L21" s="51"/>
      <c r="M21" s="51"/>
      <c r="N21" s="51"/>
      <c r="O21" s="51"/>
      <c r="P21" s="51"/>
      <c r="Q21" s="51"/>
      <c r="R21" s="51"/>
      <c r="S21" s="51"/>
    </row>
    <row r="22" spans="1:19" x14ac:dyDescent="0.25">
      <c r="A22" s="85"/>
      <c r="B22" s="17" t="s">
        <v>46</v>
      </c>
      <c r="C22" s="58">
        <v>4.4312637095619792E-2</v>
      </c>
      <c r="D22" s="58">
        <v>1.1811178567160983</v>
      </c>
      <c r="E22" s="58">
        <v>1.0551972934755545E-3</v>
      </c>
      <c r="F22" s="58">
        <v>0.44023160723795168</v>
      </c>
      <c r="G22" s="58">
        <v>0.11468313954524458</v>
      </c>
      <c r="H22" s="58">
        <v>107.50511325477065</v>
      </c>
      <c r="I22" s="58">
        <v>1.0347677695252593E-2</v>
      </c>
      <c r="J22" s="78"/>
      <c r="K22" s="51"/>
      <c r="L22" s="51"/>
      <c r="M22" s="51"/>
      <c r="N22" s="51"/>
      <c r="O22" s="51"/>
      <c r="P22" s="51"/>
      <c r="Q22" s="51"/>
      <c r="R22" s="51"/>
      <c r="S22" s="51"/>
    </row>
    <row r="23" spans="1:19" x14ac:dyDescent="0.25">
      <c r="A23" s="85"/>
      <c r="B23" s="17" t="s">
        <v>47</v>
      </c>
      <c r="C23" s="58">
        <v>9.1699292295937748E-2</v>
      </c>
      <c r="D23" s="58">
        <v>2.4816495823931239</v>
      </c>
      <c r="E23" s="58">
        <v>2.2143711863278365E-3</v>
      </c>
      <c r="F23" s="58">
        <v>0.8977989810489746</v>
      </c>
      <c r="G23" s="58">
        <v>0.2376690359121682</v>
      </c>
      <c r="H23" s="58">
        <v>220.23193257962103</v>
      </c>
      <c r="I23" s="58">
        <v>2.1444490325478866E-2</v>
      </c>
      <c r="J23" s="78"/>
      <c r="K23" s="51"/>
      <c r="L23" s="51"/>
      <c r="M23" s="51"/>
      <c r="N23" s="51"/>
      <c r="O23" s="51"/>
      <c r="P23" s="51"/>
      <c r="Q23" s="51"/>
      <c r="R23" s="51"/>
      <c r="S23" s="51"/>
    </row>
    <row r="24" spans="1:19" x14ac:dyDescent="0.25">
      <c r="A24" s="85"/>
      <c r="B24" s="17" t="s">
        <v>48</v>
      </c>
      <c r="C24" s="58">
        <v>0.11281698418835924</v>
      </c>
      <c r="D24" s="58">
        <v>3.6320533542247149</v>
      </c>
      <c r="E24" s="58">
        <v>2.708513011176045E-3</v>
      </c>
      <c r="F24" s="58">
        <v>1.2834306373108464</v>
      </c>
      <c r="G24" s="58">
        <v>0.33188731556128104</v>
      </c>
      <c r="H24" s="58">
        <v>269.37717766866973</v>
      </c>
      <c r="I24" s="58">
        <v>2.9945664738985911E-2</v>
      </c>
      <c r="J24" s="78"/>
    </row>
    <row r="25" spans="1:19" x14ac:dyDescent="0.25">
      <c r="A25" s="2" t="s">
        <v>99</v>
      </c>
      <c r="B25" s="78"/>
      <c r="C25" s="78"/>
      <c r="D25" s="78"/>
      <c r="E25" s="78"/>
      <c r="F25" s="78"/>
      <c r="G25" s="78"/>
      <c r="H25" s="78"/>
      <c r="I25" s="78"/>
      <c r="J25" s="78"/>
    </row>
    <row r="26" spans="1:19" ht="15" customHeight="1" x14ac:dyDescent="0.25">
      <c r="A26" s="89" t="s">
        <v>78</v>
      </c>
      <c r="B26" s="92"/>
      <c r="C26" s="93"/>
      <c r="D26" s="93"/>
      <c r="E26" s="94"/>
      <c r="F26" s="78"/>
      <c r="G26" s="78"/>
      <c r="H26" s="78"/>
      <c r="I26" s="78"/>
      <c r="J26" s="78"/>
    </row>
    <row r="27" spans="1:19" x14ac:dyDescent="0.25">
      <c r="A27" s="90"/>
      <c r="B27" s="95"/>
      <c r="C27" s="96"/>
      <c r="D27" s="96"/>
      <c r="E27" s="97"/>
      <c r="F27" s="78"/>
      <c r="G27" s="78"/>
      <c r="H27" s="78"/>
      <c r="I27" s="78"/>
      <c r="J27" s="78"/>
    </row>
    <row r="28" spans="1:19" x14ac:dyDescent="0.25">
      <c r="A28" s="90"/>
      <c r="B28" s="98"/>
      <c r="C28" s="99"/>
      <c r="D28" s="99"/>
      <c r="E28" s="100"/>
      <c r="F28" s="78"/>
      <c r="G28" s="78"/>
      <c r="H28" s="78"/>
      <c r="I28" s="78"/>
      <c r="J28" s="78"/>
    </row>
    <row r="29" spans="1:19" x14ac:dyDescent="0.25">
      <c r="A29" s="90"/>
      <c r="B29" s="101" t="s">
        <v>79</v>
      </c>
      <c r="C29" s="102"/>
      <c r="D29" s="102"/>
      <c r="E29" s="103"/>
      <c r="F29" s="78"/>
      <c r="G29" s="78"/>
      <c r="H29" s="78"/>
      <c r="I29" s="78"/>
      <c r="J29" s="78"/>
    </row>
    <row r="30" spans="1:19" x14ac:dyDescent="0.25">
      <c r="A30" s="90"/>
      <c r="B30" s="104"/>
      <c r="C30" s="105"/>
      <c r="D30" s="105"/>
      <c r="E30" s="106"/>
      <c r="F30" s="78"/>
      <c r="G30" s="78"/>
      <c r="H30" s="78"/>
      <c r="I30" s="78"/>
      <c r="J30" s="78"/>
    </row>
    <row r="31" spans="1:19" x14ac:dyDescent="0.25">
      <c r="A31" s="90"/>
      <c r="B31" s="104"/>
      <c r="C31" s="105"/>
      <c r="D31" s="105"/>
      <c r="E31" s="106"/>
      <c r="F31" s="78"/>
      <c r="G31" s="78"/>
      <c r="H31" s="78"/>
      <c r="I31" s="78"/>
      <c r="J31" s="78"/>
    </row>
    <row r="32" spans="1:19" x14ac:dyDescent="0.25">
      <c r="A32" s="91"/>
      <c r="B32" s="107"/>
      <c r="C32" s="108"/>
      <c r="D32" s="108"/>
      <c r="E32" s="109"/>
      <c r="F32" s="78"/>
      <c r="G32" s="78"/>
      <c r="H32" s="78"/>
      <c r="I32" s="78"/>
      <c r="J32" s="78"/>
    </row>
  </sheetData>
  <sheetProtection algorithmName="SHA-512" hashValue="AOSsh8SbPXefSHBPWp9OamYGLAXLstjykC6EiKujmpSFSEaC1bOgwY/goGpaJn7V2RE81phqc9qU1Gi6GxDDFw==" saltValue="7h++4mc421DOt/3/BDJn2g==" spinCount="100000" sheet="1" objects="1" scenarios="1"/>
  <mergeCells count="6">
    <mergeCell ref="A17:A24"/>
    <mergeCell ref="A3:A9"/>
    <mergeCell ref="A10:A16"/>
    <mergeCell ref="A26:A32"/>
    <mergeCell ref="B26:E28"/>
    <mergeCell ref="B29:E3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"/>
  <sheetViews>
    <sheetView workbookViewId="0">
      <selection activeCell="I19" sqref="I19"/>
    </sheetView>
  </sheetViews>
  <sheetFormatPr defaultColWidth="11.140625" defaultRowHeight="15" customHeight="1" x14ac:dyDescent="0.25"/>
  <cols>
    <col min="1" max="4" width="13.5703125" customWidth="1"/>
    <col min="8" max="8" width="12.5703125" customWidth="1"/>
    <col min="9" max="9" width="18.28515625" customWidth="1"/>
    <col min="10" max="11" width="13.5703125" customWidth="1"/>
    <col min="12" max="12" width="12.42578125" customWidth="1"/>
  </cols>
  <sheetData>
    <row r="1" spans="1:11" s="2" customFormat="1" ht="15" customHeight="1" x14ac:dyDescent="0.25">
      <c r="A1" s="2" t="s">
        <v>113</v>
      </c>
    </row>
    <row r="2" spans="1:11" x14ac:dyDescent="0.25">
      <c r="A2" s="113" t="s">
        <v>112</v>
      </c>
      <c r="B2" s="113"/>
      <c r="C2" s="113"/>
      <c r="D2" s="113"/>
      <c r="G2" s="110" t="s">
        <v>80</v>
      </c>
      <c r="H2" s="110"/>
      <c r="I2" s="110"/>
      <c r="J2" s="110"/>
      <c r="K2" s="110"/>
    </row>
    <row r="3" spans="1:11" ht="25.5" customHeight="1" x14ac:dyDescent="0.25">
      <c r="A3" s="110" t="s">
        <v>52</v>
      </c>
      <c r="B3" s="110"/>
      <c r="C3" s="110"/>
      <c r="D3" s="110"/>
      <c r="G3" s="68" t="s">
        <v>81</v>
      </c>
      <c r="H3" s="71" t="s">
        <v>82</v>
      </c>
      <c r="I3" s="71" t="s">
        <v>83</v>
      </c>
      <c r="J3" s="68" t="s">
        <v>84</v>
      </c>
      <c r="K3" s="68" t="s">
        <v>85</v>
      </c>
    </row>
    <row r="4" spans="1:11" ht="15" customHeight="1" x14ac:dyDescent="0.25">
      <c r="A4" s="114" t="s">
        <v>53</v>
      </c>
      <c r="B4" s="114" t="s">
        <v>54</v>
      </c>
      <c r="C4" s="114"/>
      <c r="D4" s="114"/>
      <c r="G4" s="69" t="s">
        <v>86</v>
      </c>
      <c r="H4" s="69">
        <v>0</v>
      </c>
      <c r="I4" s="69">
        <v>0</v>
      </c>
      <c r="J4" s="69">
        <v>31</v>
      </c>
      <c r="K4" s="44">
        <f>(J4-I4)/J4</f>
        <v>1</v>
      </c>
    </row>
    <row r="5" spans="1:11" ht="15" customHeight="1" x14ac:dyDescent="0.25">
      <c r="A5" s="114"/>
      <c r="B5" s="33" t="s">
        <v>55</v>
      </c>
      <c r="C5" s="33" t="s">
        <v>56</v>
      </c>
      <c r="D5" s="33" t="s">
        <v>57</v>
      </c>
      <c r="G5" s="69" t="s">
        <v>87</v>
      </c>
      <c r="H5" s="69">
        <v>52</v>
      </c>
      <c r="I5" s="69">
        <v>7</v>
      </c>
      <c r="J5" s="69">
        <v>28</v>
      </c>
      <c r="K5" s="44">
        <f t="shared" ref="K5:K15" si="0">(J5-I5)/J5</f>
        <v>0.75</v>
      </c>
    </row>
    <row r="6" spans="1:11" ht="15" customHeight="1" x14ac:dyDescent="0.25">
      <c r="A6" s="34" t="s">
        <v>58</v>
      </c>
      <c r="B6" s="34">
        <v>0.15</v>
      </c>
      <c r="C6" s="34">
        <v>1.5</v>
      </c>
      <c r="D6" s="34">
        <v>4.9000000000000004</v>
      </c>
      <c r="G6" s="69" t="s">
        <v>88</v>
      </c>
      <c r="H6" s="69">
        <v>69</v>
      </c>
      <c r="I6" s="69">
        <v>7</v>
      </c>
      <c r="J6" s="69">
        <v>31</v>
      </c>
      <c r="K6" s="44">
        <f t="shared" si="0"/>
        <v>0.77419354838709675</v>
      </c>
    </row>
    <row r="7" spans="1:11" ht="15" customHeight="1" x14ac:dyDescent="0.25">
      <c r="A7" s="34" t="s">
        <v>59</v>
      </c>
      <c r="B7" s="34">
        <v>0.9</v>
      </c>
      <c r="C7" s="34">
        <v>0.9</v>
      </c>
      <c r="D7" s="34">
        <v>0.7</v>
      </c>
      <c r="G7" s="69" t="s">
        <v>89</v>
      </c>
      <c r="H7" s="69">
        <v>44</v>
      </c>
      <c r="I7" s="69">
        <v>8</v>
      </c>
      <c r="J7" s="69">
        <v>30</v>
      </c>
      <c r="K7" s="44">
        <f t="shared" si="0"/>
        <v>0.73333333333333328</v>
      </c>
    </row>
    <row r="8" spans="1:11" ht="15" customHeight="1" x14ac:dyDescent="0.25">
      <c r="A8" s="34" t="s">
        <v>60</v>
      </c>
      <c r="B8" s="34">
        <v>0.45</v>
      </c>
      <c r="C8" s="34">
        <v>0.45</v>
      </c>
      <c r="D8" s="34">
        <v>0.45</v>
      </c>
      <c r="G8" s="69" t="s">
        <v>90</v>
      </c>
      <c r="H8" s="69">
        <v>185.8</v>
      </c>
      <c r="I8" s="69">
        <v>16</v>
      </c>
      <c r="J8" s="69">
        <v>31</v>
      </c>
      <c r="K8" s="44">
        <f t="shared" si="0"/>
        <v>0.4838709677419355</v>
      </c>
    </row>
    <row r="9" spans="1:11" ht="15" customHeight="1" x14ac:dyDescent="0.25">
      <c r="A9" s="34" t="s">
        <v>62</v>
      </c>
      <c r="B9" s="35">
        <v>281.89999999999998</v>
      </c>
      <c r="C9" s="34" t="s">
        <v>63</v>
      </c>
      <c r="D9" s="34"/>
      <c r="G9" s="69" t="s">
        <v>91</v>
      </c>
      <c r="H9" s="69">
        <v>119.2</v>
      </c>
      <c r="I9" s="69">
        <v>9</v>
      </c>
      <c r="J9" s="69">
        <v>30</v>
      </c>
      <c r="K9" s="44">
        <f t="shared" si="0"/>
        <v>0.7</v>
      </c>
    </row>
    <row r="10" spans="1:11" ht="15" customHeight="1" x14ac:dyDescent="0.25">
      <c r="A10" s="111" t="s">
        <v>61</v>
      </c>
      <c r="B10" s="111"/>
      <c r="C10" s="111"/>
      <c r="D10" s="111"/>
      <c r="G10" s="69" t="s">
        <v>92</v>
      </c>
      <c r="H10" s="69">
        <v>17.8</v>
      </c>
      <c r="I10" s="69">
        <v>6</v>
      </c>
      <c r="J10" s="69">
        <v>31</v>
      </c>
      <c r="K10" s="44">
        <f t="shared" si="0"/>
        <v>0.80645161290322576</v>
      </c>
    </row>
    <row r="11" spans="1:11" ht="15" customHeight="1" x14ac:dyDescent="0.25">
      <c r="A11" s="111"/>
      <c r="B11" s="111"/>
      <c r="C11" s="111"/>
      <c r="D11" s="111"/>
      <c r="G11" s="69" t="s">
        <v>93</v>
      </c>
      <c r="H11" s="69">
        <v>70.2</v>
      </c>
      <c r="I11" s="69">
        <v>11</v>
      </c>
      <c r="J11" s="69">
        <v>31</v>
      </c>
      <c r="K11" s="44">
        <f t="shared" si="0"/>
        <v>0.64516129032258063</v>
      </c>
    </row>
    <row r="12" spans="1:11" ht="15" customHeight="1" x14ac:dyDescent="0.25">
      <c r="A12" s="111"/>
      <c r="B12" s="112" t="s">
        <v>110</v>
      </c>
      <c r="C12" s="112"/>
      <c r="D12" s="112"/>
      <c r="G12" s="69" t="s">
        <v>94</v>
      </c>
      <c r="H12" s="69">
        <v>25.2</v>
      </c>
      <c r="I12" s="69">
        <v>7</v>
      </c>
      <c r="J12" s="69">
        <v>30</v>
      </c>
      <c r="K12" s="44">
        <f t="shared" si="0"/>
        <v>0.76666666666666672</v>
      </c>
    </row>
    <row r="13" spans="1:11" ht="15" customHeight="1" x14ac:dyDescent="0.25">
      <c r="A13" s="111"/>
      <c r="B13" s="112"/>
      <c r="C13" s="112"/>
      <c r="D13" s="112"/>
      <c r="G13" s="69" t="s">
        <v>95</v>
      </c>
      <c r="H13" s="69">
        <v>54.4</v>
      </c>
      <c r="I13" s="69">
        <v>6</v>
      </c>
      <c r="J13" s="69">
        <v>31</v>
      </c>
      <c r="K13" s="44">
        <f t="shared" si="0"/>
        <v>0.80645161290322576</v>
      </c>
    </row>
    <row r="14" spans="1:11" ht="15" customHeight="1" x14ac:dyDescent="0.25">
      <c r="A14" s="111"/>
      <c r="B14" s="112"/>
      <c r="C14" s="112"/>
      <c r="D14" s="112"/>
      <c r="G14" s="69" t="s">
        <v>96</v>
      </c>
      <c r="H14" s="45">
        <v>48.6</v>
      </c>
      <c r="I14" s="69">
        <v>9</v>
      </c>
      <c r="J14" s="69">
        <v>30</v>
      </c>
      <c r="K14" s="44">
        <f t="shared" si="0"/>
        <v>0.7</v>
      </c>
    </row>
    <row r="15" spans="1:11" ht="15" customHeight="1" x14ac:dyDescent="0.25">
      <c r="A15" s="111"/>
      <c r="B15" s="112"/>
      <c r="C15" s="112"/>
      <c r="D15" s="112"/>
      <c r="G15" s="69" t="s">
        <v>97</v>
      </c>
      <c r="H15" s="69">
        <v>91.4</v>
      </c>
      <c r="I15" s="69">
        <v>6</v>
      </c>
      <c r="J15" s="69">
        <v>31</v>
      </c>
      <c r="K15" s="44">
        <f t="shared" si="0"/>
        <v>0.80645161290322576</v>
      </c>
    </row>
    <row r="16" spans="1:11" ht="15" customHeight="1" x14ac:dyDescent="0.25">
      <c r="A16" s="111"/>
      <c r="B16" s="112"/>
      <c r="C16" s="112"/>
      <c r="D16" s="112"/>
      <c r="G16" s="70" t="s">
        <v>98</v>
      </c>
      <c r="H16" s="23">
        <f>(365-SUM(I4:I15))/365</f>
        <v>0.74794520547945209</v>
      </c>
      <c r="I16" s="2"/>
      <c r="J16" s="22"/>
      <c r="K16" s="2"/>
    </row>
    <row r="17" spans="1:11" ht="15" customHeight="1" x14ac:dyDescent="0.25">
      <c r="A17" s="111"/>
      <c r="B17" s="112"/>
      <c r="C17" s="112"/>
      <c r="D17" s="112"/>
      <c r="I17" s="1"/>
      <c r="J17" s="1"/>
      <c r="K17" s="1"/>
    </row>
    <row r="19" spans="1:11" ht="15" customHeight="1" x14ac:dyDescent="0.25">
      <c r="A19" s="110" t="s">
        <v>69</v>
      </c>
      <c r="B19" s="110" t="s">
        <v>70</v>
      </c>
      <c r="C19" s="110"/>
      <c r="D19" s="110"/>
      <c r="E19" s="110"/>
      <c r="F19" s="110"/>
      <c r="G19" s="110"/>
      <c r="H19" s="110"/>
    </row>
    <row r="20" spans="1:11" ht="15" customHeight="1" x14ac:dyDescent="0.25">
      <c r="A20" s="110"/>
      <c r="B20" s="110" t="s">
        <v>71</v>
      </c>
      <c r="C20" s="110"/>
      <c r="D20" s="110"/>
      <c r="E20" s="110"/>
      <c r="F20" s="110"/>
      <c r="G20" s="110"/>
      <c r="H20" s="110"/>
    </row>
    <row r="21" spans="1:11" ht="15" customHeight="1" x14ac:dyDescent="0.25">
      <c r="A21" s="110"/>
      <c r="B21" s="6" t="s">
        <v>2</v>
      </c>
      <c r="C21" s="6" t="s">
        <v>72</v>
      </c>
      <c r="D21" s="6" t="s">
        <v>73</v>
      </c>
      <c r="E21" s="6" t="s">
        <v>74</v>
      </c>
      <c r="F21" s="6" t="s">
        <v>75</v>
      </c>
      <c r="G21" s="6" t="s">
        <v>4</v>
      </c>
      <c r="H21" s="6" t="s">
        <v>76</v>
      </c>
    </row>
    <row r="22" spans="1:11" ht="15" customHeight="1" x14ac:dyDescent="0.25">
      <c r="A22" s="32" t="s">
        <v>77</v>
      </c>
      <c r="B22" s="82">
        <v>0.17489827604766656</v>
      </c>
      <c r="C22" s="82">
        <v>0.17489827604766656</v>
      </c>
      <c r="D22" s="82">
        <v>0.17489827604766656</v>
      </c>
      <c r="E22" s="82">
        <v>5.4345140567386743</v>
      </c>
      <c r="F22" s="82">
        <v>4.163753615797702E-3</v>
      </c>
      <c r="G22" s="82">
        <v>1.0383730075038093</v>
      </c>
      <c r="H22" s="82">
        <v>0.24766340643796464</v>
      </c>
    </row>
  </sheetData>
  <sheetProtection algorithmName="SHA-512" hashValue="5lFMr9o024qIjGzuAgMfYd42rJ0eHhInMQkAshcSxHRFMrvN88T/hhIxaVqpzFQyh3+ijqXu0kE2La61QgLugg==" saltValue="5hORE4z0ew8XIGytP1zQLg==" spinCount="100000" sheet="1" objects="1" scenarios="1"/>
  <mergeCells count="11">
    <mergeCell ref="G2:K2"/>
    <mergeCell ref="A10:A17"/>
    <mergeCell ref="B12:D17"/>
    <mergeCell ref="A19:A21"/>
    <mergeCell ref="B19:H19"/>
    <mergeCell ref="B20:H20"/>
    <mergeCell ref="A2:D2"/>
    <mergeCell ref="A3:D3"/>
    <mergeCell ref="A4:A5"/>
    <mergeCell ref="B4:D4"/>
    <mergeCell ref="B10:D1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2"/>
  <sheetViews>
    <sheetView workbookViewId="0">
      <selection activeCell="E23" sqref="E23"/>
    </sheetView>
  </sheetViews>
  <sheetFormatPr defaultRowHeight="15" customHeight="1" x14ac:dyDescent="0.2"/>
  <cols>
    <col min="1" max="1" width="30.42578125" style="1" bestFit="1" customWidth="1"/>
    <col min="2" max="2" width="13.7109375" style="1" customWidth="1"/>
    <col min="3" max="3" width="23.7109375" style="1" bestFit="1" customWidth="1"/>
    <col min="4" max="7" width="13.7109375" style="1" customWidth="1"/>
    <col min="8" max="13" width="8.7109375" style="1" customWidth="1"/>
    <col min="14" max="14" width="10.42578125" style="1" bestFit="1" customWidth="1"/>
    <col min="15" max="16384" width="9.140625" style="1"/>
  </cols>
  <sheetData>
    <row r="1" spans="1:14" ht="15" customHeight="1" x14ac:dyDescent="0.2">
      <c r="A1" s="3" t="s">
        <v>133</v>
      </c>
    </row>
    <row r="2" spans="1:14" ht="15" customHeight="1" x14ac:dyDescent="0.2">
      <c r="A2" s="116" t="s">
        <v>0</v>
      </c>
      <c r="B2" s="116" t="s">
        <v>16</v>
      </c>
      <c r="C2" s="116" t="s">
        <v>17</v>
      </c>
      <c r="D2" s="117" t="s">
        <v>115</v>
      </c>
      <c r="E2" s="117" t="s">
        <v>116</v>
      </c>
      <c r="F2" s="116" t="s">
        <v>18</v>
      </c>
      <c r="G2" s="116" t="s">
        <v>19</v>
      </c>
      <c r="H2" s="116" t="s">
        <v>1</v>
      </c>
      <c r="I2" s="116"/>
      <c r="J2" s="116"/>
      <c r="K2" s="116"/>
      <c r="L2" s="116"/>
      <c r="M2" s="116"/>
      <c r="N2" s="116"/>
    </row>
    <row r="3" spans="1:14" ht="15" customHeight="1" x14ac:dyDescent="0.2">
      <c r="A3" s="116"/>
      <c r="B3" s="116"/>
      <c r="C3" s="116"/>
      <c r="D3" s="117"/>
      <c r="E3" s="117"/>
      <c r="F3" s="116"/>
      <c r="G3" s="116"/>
      <c r="H3" s="77" t="s">
        <v>2</v>
      </c>
      <c r="I3" s="77" t="s">
        <v>3</v>
      </c>
      <c r="J3" s="77" t="s">
        <v>20</v>
      </c>
      <c r="K3" s="77" t="s">
        <v>5</v>
      </c>
      <c r="L3" s="77" t="s">
        <v>6</v>
      </c>
      <c r="M3" s="77" t="s">
        <v>4</v>
      </c>
      <c r="N3" s="77" t="s">
        <v>114</v>
      </c>
    </row>
    <row r="4" spans="1:14" ht="15" customHeight="1" x14ac:dyDescent="0.2">
      <c r="A4" s="3" t="s">
        <v>21</v>
      </c>
      <c r="B4" s="11">
        <v>250</v>
      </c>
      <c r="C4" s="3" t="s">
        <v>27</v>
      </c>
      <c r="D4" s="73">
        <v>-20.344255</v>
      </c>
      <c r="E4" s="73">
        <v>-40.402102999999997</v>
      </c>
      <c r="F4" s="5">
        <v>1</v>
      </c>
      <c r="G4" s="7">
        <v>0.4</v>
      </c>
      <c r="H4" s="19">
        <f>(INDEX(FE_Equip,MATCH($C4,Pot_Equip,0),2))*F4*G4/(24)</f>
        <v>4.3162425406248662E-4</v>
      </c>
      <c r="I4" s="19">
        <f>H4</f>
        <v>4.3162425406248662E-4</v>
      </c>
      <c r="J4" s="19">
        <f>H4</f>
        <v>4.3162425406248662E-4</v>
      </c>
      <c r="K4" s="19">
        <f>(INDEX(FE_Equip,MATCH($C4,Pot_Equip,0),3))*F4*G4/(24)</f>
        <v>1.1086177464641927E-2</v>
      </c>
      <c r="L4" s="19">
        <f>(INDEX(FE_Equip,MATCH($C4,Pot_Equip,0),4))*F4*G4/(24)</f>
        <v>9.5404010536957483E-6</v>
      </c>
      <c r="M4" s="19">
        <f>(INDEX(FE_Equip,MATCH($C4,Pot_Equip,0),5))*F4*G4/(24)</f>
        <v>3.1138587827553928E-3</v>
      </c>
      <c r="N4" s="19">
        <f>(INDEX(FE_Equip,MATCH($C4,Pot_Equip,0),6))*F4*G4/(24)</f>
        <v>1.1173292405758726E-3</v>
      </c>
    </row>
    <row r="5" spans="1:14" ht="15" customHeight="1" x14ac:dyDescent="0.2">
      <c r="A5" s="3" t="s">
        <v>21</v>
      </c>
      <c r="B5" s="11">
        <v>250</v>
      </c>
      <c r="C5" s="3" t="s">
        <v>27</v>
      </c>
      <c r="D5" s="73">
        <v>-20.344255</v>
      </c>
      <c r="E5" s="73">
        <v>-40.402102999999997</v>
      </c>
      <c r="F5" s="5">
        <v>1</v>
      </c>
      <c r="G5" s="7">
        <v>0.28999999999999998</v>
      </c>
      <c r="H5" s="19">
        <f>(INDEX(FE_Equip,MATCH($C5,Pot_Equip,0),2))*F5*G5/(24)</f>
        <v>3.1292758419530282E-4</v>
      </c>
      <c r="I5" s="19">
        <f>H5</f>
        <v>3.1292758419530282E-4</v>
      </c>
      <c r="J5" s="19">
        <f>H5</f>
        <v>3.1292758419530282E-4</v>
      </c>
      <c r="K5" s="19">
        <f>(INDEX(FE_Equip,MATCH($C5,Pot_Equip,0),3))*F5*G5/(24)</f>
        <v>8.0374786618653948E-3</v>
      </c>
      <c r="L5" s="19">
        <f>(INDEX(FE_Equip,MATCH($C5,Pot_Equip,0),4))*F5*G5/(24)</f>
        <v>6.9167907639294171E-6</v>
      </c>
      <c r="M5" s="19">
        <f>(INDEX(FE_Equip,MATCH($C5,Pot_Equip,0),5))*F5*G5/(24)</f>
        <v>2.2575476174976597E-3</v>
      </c>
      <c r="N5" s="19">
        <f>(INDEX(FE_Equip,MATCH($C5,Pot_Equip,0),6))*F5*G5/(24)</f>
        <v>8.1006369941750761E-4</v>
      </c>
    </row>
    <row r="6" spans="1:14" ht="15" customHeight="1" x14ac:dyDescent="0.2">
      <c r="A6" s="3" t="s">
        <v>21</v>
      </c>
      <c r="B6" s="11">
        <v>250</v>
      </c>
      <c r="C6" s="3" t="s">
        <v>27</v>
      </c>
      <c r="D6" s="73">
        <v>-20.344255</v>
      </c>
      <c r="E6" s="73">
        <v>-40.402102999999997</v>
      </c>
      <c r="F6" s="5">
        <v>2</v>
      </c>
      <c r="G6" s="11">
        <v>8</v>
      </c>
      <c r="H6" s="19">
        <f>(INDEX(FE_Equip,MATCH($C6,Pot_Equip,0),2))*F6*G6/(24)</f>
        <v>1.7264970162499466E-2</v>
      </c>
      <c r="I6" s="19">
        <f t="shared" ref="I6" si="0">H6</f>
        <v>1.7264970162499466E-2</v>
      </c>
      <c r="J6" s="19">
        <f t="shared" ref="J6" si="1">H6</f>
        <v>1.7264970162499466E-2</v>
      </c>
      <c r="K6" s="19">
        <f>(INDEX(FE_Equip,MATCH($C6,Pot_Equip,0),3))*F6*G6/(24)</f>
        <v>0.44344709858567705</v>
      </c>
      <c r="L6" s="19">
        <f>(INDEX(FE_Equip,MATCH($C6,Pot_Equip,0),4))*F6*G6/(24)</f>
        <v>3.8161604214782992E-4</v>
      </c>
      <c r="M6" s="19">
        <f>(INDEX(FE_Equip,MATCH($C6,Pot_Equip,0),5))*F6*G6/(24)</f>
        <v>0.12455435131021571</v>
      </c>
      <c r="N6" s="19">
        <f>(INDEX(FE_Equip,MATCH($C6,Pot_Equip,0),6))*F6*G6/(24)</f>
        <v>4.4693169623034906E-2</v>
      </c>
    </row>
    <row r="7" spans="1:14" ht="15" customHeight="1" x14ac:dyDescent="0.2">
      <c r="A7" s="3" t="s">
        <v>22</v>
      </c>
      <c r="B7" s="11">
        <v>175</v>
      </c>
      <c r="C7" s="3" t="s">
        <v>37</v>
      </c>
      <c r="D7" s="73">
        <v>-20.344255</v>
      </c>
      <c r="E7" s="73">
        <v>-40.402102999999997</v>
      </c>
      <c r="F7" s="5">
        <v>1</v>
      </c>
      <c r="G7" s="7">
        <v>0.37</v>
      </c>
      <c r="H7" s="19">
        <f t="shared" ref="H7:H11" si="2">(INDEX(FE_Equip,MATCH($C7,Pot_Equip,0),2))*F7*G7/(24)</f>
        <v>5.5535696805438298E-4</v>
      </c>
      <c r="I7" s="19">
        <f t="shared" ref="I7:I11" si="3">H7</f>
        <v>5.5535696805438298E-4</v>
      </c>
      <c r="J7" s="19">
        <f t="shared" ref="J7:J8" si="4">H7</f>
        <v>5.5535696805438298E-4</v>
      </c>
      <c r="K7" s="19">
        <f t="shared" ref="K7:K11" si="5">(INDEX(FE_Equip,MATCH($C7,Pot_Equip,0),3))*F7*G7/(24)</f>
        <v>9.7178673839273238E-3</v>
      </c>
      <c r="L7" s="19">
        <f t="shared" ref="L7:L11" si="6">(INDEX(FE_Equip,MATCH($C7,Pot_Equip,0),4))*F7*G7/(24)</f>
        <v>8.8298030248561967E-6</v>
      </c>
      <c r="M7" s="19">
        <f t="shared" ref="M7:M11" si="7">(INDEX(FE_Equip,MATCH($C7,Pot_Equip,0),5))*F7*G7/(24)</f>
        <v>4.7256173360608004E-3</v>
      </c>
      <c r="N7" s="19">
        <f t="shared" ref="N7:N11" si="8">(INDEX(FE_Equip,MATCH($C7,Pot_Equip,0),6))*F7*G7/(24)</f>
        <v>1.2533373405798803E-3</v>
      </c>
    </row>
    <row r="8" spans="1:14" ht="15" customHeight="1" x14ac:dyDescent="0.2">
      <c r="A8" s="3" t="s">
        <v>22</v>
      </c>
      <c r="B8" s="11">
        <v>175</v>
      </c>
      <c r="C8" s="3" t="s">
        <v>37</v>
      </c>
      <c r="D8" s="73">
        <v>-20.344255</v>
      </c>
      <c r="E8" s="73">
        <v>-40.402102999999997</v>
      </c>
      <c r="F8" s="5">
        <v>2</v>
      </c>
      <c r="G8" s="7">
        <v>0.06</v>
      </c>
      <c r="H8" s="19">
        <f t="shared" si="2"/>
        <v>1.8011577342304315E-4</v>
      </c>
      <c r="I8" s="19">
        <f t="shared" si="3"/>
        <v>1.8011577342304315E-4</v>
      </c>
      <c r="J8" s="19">
        <f t="shared" si="4"/>
        <v>1.8011577342304315E-4</v>
      </c>
      <c r="K8" s="19">
        <f t="shared" si="5"/>
        <v>3.1517407731656184E-3</v>
      </c>
      <c r="L8" s="19">
        <f t="shared" si="6"/>
        <v>2.8637198999533611E-6</v>
      </c>
      <c r="M8" s="19">
        <f t="shared" si="7"/>
        <v>1.5326326495332327E-3</v>
      </c>
      <c r="N8" s="19">
        <f t="shared" si="8"/>
        <v>4.0648778613401517E-4</v>
      </c>
    </row>
    <row r="9" spans="1:14" ht="15" customHeight="1" x14ac:dyDescent="0.2">
      <c r="A9" s="3" t="s">
        <v>23</v>
      </c>
      <c r="B9" s="11">
        <v>187</v>
      </c>
      <c r="C9" s="3" t="s">
        <v>45</v>
      </c>
      <c r="D9" s="73">
        <v>-20.344255</v>
      </c>
      <c r="E9" s="73">
        <v>-40.402102999999997</v>
      </c>
      <c r="F9" s="5">
        <v>1</v>
      </c>
      <c r="G9" s="11">
        <v>10</v>
      </c>
      <c r="H9" s="19">
        <f t="shared" si="2"/>
        <v>1.2921179663453471E-2</v>
      </c>
      <c r="I9" s="19">
        <f t="shared" si="3"/>
        <v>1.2921179663453471E-2</v>
      </c>
      <c r="J9" s="19">
        <f t="shared" ref="J9:J11" si="9">H9</f>
        <v>1.2921179663453471E-2</v>
      </c>
      <c r="K9" s="19">
        <f t="shared" si="5"/>
        <v>0.34874226479869691</v>
      </c>
      <c r="L9" s="19">
        <f t="shared" si="6"/>
        <v>3.168043348970836E-4</v>
      </c>
      <c r="M9" s="19">
        <f t="shared" si="7"/>
        <v>9.3732715894683641E-2</v>
      </c>
      <c r="N9" s="19">
        <f t="shared" si="8"/>
        <v>3.365891036315443E-2</v>
      </c>
    </row>
    <row r="10" spans="1:14" ht="15" customHeight="1" x14ac:dyDescent="0.2">
      <c r="A10" s="3" t="s">
        <v>23</v>
      </c>
      <c r="B10" s="11">
        <v>120</v>
      </c>
      <c r="C10" s="3" t="s">
        <v>43</v>
      </c>
      <c r="D10" s="73">
        <v>-20.344255</v>
      </c>
      <c r="E10" s="73">
        <v>-40.402102999999997</v>
      </c>
      <c r="F10" s="5">
        <v>1</v>
      </c>
      <c r="G10" s="11">
        <v>12</v>
      </c>
      <c r="H10" s="19">
        <f t="shared" si="2"/>
        <v>1.7579824702564369E-2</v>
      </c>
      <c r="I10" s="19">
        <f t="shared" si="3"/>
        <v>1.7579824702564369E-2</v>
      </c>
      <c r="J10" s="19">
        <f t="shared" si="9"/>
        <v>1.7579824702564369E-2</v>
      </c>
      <c r="K10" s="19">
        <f t="shared" si="5"/>
        <v>0.19506505100546592</v>
      </c>
      <c r="L10" s="19">
        <f t="shared" si="6"/>
        <v>1.5673545832822254E-4</v>
      </c>
      <c r="M10" s="19">
        <f t="shared" si="7"/>
        <v>0.10022096118547695</v>
      </c>
      <c r="N10" s="19">
        <f t="shared" si="8"/>
        <v>3.3569407234970296E-2</v>
      </c>
    </row>
    <row r="11" spans="1:14" ht="15" customHeight="1" x14ac:dyDescent="0.2">
      <c r="A11" s="3" t="s">
        <v>23</v>
      </c>
      <c r="B11" s="11">
        <v>154</v>
      </c>
      <c r="C11" s="3" t="s">
        <v>44</v>
      </c>
      <c r="D11" s="73">
        <v>-20.344255</v>
      </c>
      <c r="E11" s="73">
        <v>-40.402102999999997</v>
      </c>
      <c r="F11" s="5">
        <v>1</v>
      </c>
      <c r="G11" s="11">
        <v>12</v>
      </c>
      <c r="H11" s="19">
        <f t="shared" si="2"/>
        <v>1.7436865432455376E-2</v>
      </c>
      <c r="I11" s="19">
        <f t="shared" si="3"/>
        <v>1.7436865432455376E-2</v>
      </c>
      <c r="J11" s="19">
        <f t="shared" si="9"/>
        <v>1.7436865432455376E-2</v>
      </c>
      <c r="K11" s="19">
        <f t="shared" si="5"/>
        <v>0.31409507282744042</v>
      </c>
      <c r="L11" s="19">
        <f t="shared" si="6"/>
        <v>2.712998439403884E-4</v>
      </c>
      <c r="M11" s="19">
        <f t="shared" si="7"/>
        <v>0.14571841830494089</v>
      </c>
      <c r="N11" s="19">
        <f t="shared" si="8"/>
        <v>3.990349497041526E-2</v>
      </c>
    </row>
    <row r="12" spans="1:14" ht="15" customHeight="1" x14ac:dyDescent="0.2">
      <c r="A12" s="115" t="s">
        <v>117</v>
      </c>
      <c r="B12" s="115"/>
      <c r="C12" s="115"/>
      <c r="D12" s="115"/>
      <c r="E12" s="115"/>
      <c r="F12" s="115"/>
      <c r="G12" s="115"/>
      <c r="H12" s="29">
        <f t="shared" ref="H12:N12" si="10">SUM(H4:H11)</f>
        <v>6.6682864540707903E-2</v>
      </c>
      <c r="I12" s="29">
        <f t="shared" si="10"/>
        <v>6.6682864540707903E-2</v>
      </c>
      <c r="J12" s="29">
        <f t="shared" si="10"/>
        <v>6.6682864540707903E-2</v>
      </c>
      <c r="K12" s="29">
        <f t="shared" si="10"/>
        <v>1.3333427515008807</v>
      </c>
      <c r="L12" s="29">
        <f t="shared" si="10"/>
        <v>1.1546063940559592E-3</v>
      </c>
      <c r="M12" s="29">
        <f t="shared" si="10"/>
        <v>0.47585610308116433</v>
      </c>
      <c r="N12" s="29">
        <f t="shared" si="10"/>
        <v>0.15541220025828217</v>
      </c>
    </row>
    <row r="13" spans="1:14" ht="15" customHeight="1" x14ac:dyDescent="0.2">
      <c r="H13" s="43"/>
      <c r="I13" s="8"/>
      <c r="J13" s="8"/>
      <c r="K13" s="8"/>
      <c r="L13" s="9"/>
      <c r="M13" s="8"/>
      <c r="N13" s="8"/>
    </row>
    <row r="14" spans="1:14" ht="15" customHeight="1" x14ac:dyDescent="0.2">
      <c r="A14" s="20"/>
      <c r="D14" s="13"/>
      <c r="E14" s="10"/>
      <c r="G14" s="10"/>
      <c r="H14" s="10"/>
      <c r="I14" s="10"/>
      <c r="J14" s="10"/>
      <c r="K14" s="10"/>
      <c r="L14" s="10"/>
      <c r="M14" s="10"/>
      <c r="N14" s="10"/>
    </row>
    <row r="15" spans="1:14" ht="15" customHeight="1" x14ac:dyDescent="0.2">
      <c r="A15" s="21"/>
      <c r="D15" s="13"/>
      <c r="E15" s="10"/>
      <c r="G15" s="10"/>
      <c r="H15" s="10"/>
      <c r="I15" s="10"/>
      <c r="J15" s="10"/>
      <c r="K15" s="10"/>
      <c r="L15" s="10"/>
      <c r="M15" s="10"/>
      <c r="N15" s="10"/>
    </row>
    <row r="16" spans="1:14" ht="15" customHeight="1" x14ac:dyDescent="0.2">
      <c r="A16" s="2"/>
      <c r="C16" s="31"/>
      <c r="D16" s="14"/>
      <c r="E16" s="10"/>
      <c r="G16" s="10"/>
      <c r="H16" s="10"/>
      <c r="I16" s="10"/>
      <c r="J16" s="10"/>
      <c r="K16" s="10"/>
      <c r="L16" s="10"/>
      <c r="M16" s="10"/>
      <c r="N16" s="10"/>
    </row>
    <row r="17" spans="3:14" ht="15" customHeight="1" x14ac:dyDescent="0.2">
      <c r="C17" s="31"/>
      <c r="D17" s="14"/>
      <c r="E17" s="10"/>
      <c r="G17" s="10"/>
      <c r="H17" s="10"/>
      <c r="I17" s="10"/>
      <c r="J17" s="10"/>
      <c r="K17" s="10"/>
      <c r="L17" s="10"/>
      <c r="M17" s="10"/>
      <c r="N17" s="10"/>
    </row>
    <row r="18" spans="3:14" ht="15" customHeight="1" x14ac:dyDescent="0.2">
      <c r="C18" s="31"/>
      <c r="D18" s="14"/>
      <c r="E18" s="10"/>
      <c r="G18" s="10"/>
      <c r="H18" s="10"/>
      <c r="I18" s="10"/>
      <c r="J18" s="10"/>
      <c r="K18" s="10"/>
      <c r="L18" s="10"/>
      <c r="M18" s="10"/>
      <c r="N18" s="10"/>
    </row>
    <row r="19" spans="3:14" ht="15" customHeight="1" x14ac:dyDescent="0.2">
      <c r="C19" s="31"/>
      <c r="D19" s="14"/>
      <c r="E19" s="10"/>
      <c r="G19" s="10"/>
      <c r="H19" s="10"/>
      <c r="I19" s="10"/>
      <c r="J19" s="10"/>
      <c r="K19" s="10"/>
      <c r="L19" s="10"/>
      <c r="M19" s="10"/>
      <c r="N19" s="10"/>
    </row>
    <row r="20" spans="3:14" ht="15" customHeight="1" x14ac:dyDescent="0.2">
      <c r="C20" s="31"/>
      <c r="D20" s="14"/>
      <c r="E20" s="10"/>
      <c r="F20" s="12"/>
      <c r="G20" s="10"/>
      <c r="H20" s="10"/>
      <c r="I20" s="10"/>
      <c r="J20" s="10"/>
      <c r="K20" s="10"/>
      <c r="L20" s="10"/>
      <c r="M20" s="10"/>
      <c r="N20" s="10"/>
    </row>
    <row r="21" spans="3:14" ht="15" customHeight="1" x14ac:dyDescent="0.2">
      <c r="C21" s="31"/>
      <c r="D21" s="14"/>
      <c r="H21" s="8"/>
      <c r="I21" s="8"/>
      <c r="J21" s="8"/>
      <c r="K21" s="8"/>
      <c r="L21" s="8"/>
      <c r="M21" s="8"/>
      <c r="N21" s="8"/>
    </row>
    <row r="22" spans="3:14" ht="15" customHeight="1" x14ac:dyDescent="0.2">
      <c r="C22" s="31"/>
      <c r="D22" s="14"/>
    </row>
  </sheetData>
  <sheetProtection algorithmName="SHA-512" hashValue="9hyUza/m0X5xfs52D+HeaPyYkyxMWwCpgZ0LudqiPIUux/YNq8Xq9dRWEqS86EpYMznCRw34xj2d/mn0qpZbcg==" saltValue="GJPBcKlLz74I45eO/juN2Q==" spinCount="100000" sheet="1" objects="1" scenarios="1"/>
  <mergeCells count="9">
    <mergeCell ref="A12:G12"/>
    <mergeCell ref="G2:G3"/>
    <mergeCell ref="H2:N2"/>
    <mergeCell ref="A2:A3"/>
    <mergeCell ref="B2:B3"/>
    <mergeCell ref="C2:C3"/>
    <mergeCell ref="F2:F3"/>
    <mergeCell ref="D2:D3"/>
    <mergeCell ref="E2:E3"/>
  </mergeCells>
  <dataValidations count="1">
    <dataValidation type="list" allowBlank="1" showInputMessage="1" showErrorMessage="1" sqref="C4:C11">
      <formula1>Pot_Equip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workbookViewId="0">
      <selection activeCell="F30" sqref="F30"/>
    </sheetView>
  </sheetViews>
  <sheetFormatPr defaultRowHeight="15" customHeight="1" x14ac:dyDescent="0.25"/>
  <cols>
    <col min="1" max="1" width="22.85546875" customWidth="1"/>
    <col min="2" max="4" width="12.28515625" customWidth="1"/>
    <col min="5" max="5" width="21.42578125" customWidth="1"/>
    <col min="6" max="8" width="11.7109375" customWidth="1"/>
  </cols>
  <sheetData>
    <row r="1" spans="1:8" ht="15" customHeight="1" x14ac:dyDescent="0.25">
      <c r="A1" s="3" t="s">
        <v>132</v>
      </c>
      <c r="B1" s="78"/>
      <c r="C1" s="78"/>
      <c r="D1" s="78"/>
      <c r="E1" s="78"/>
      <c r="F1" s="78"/>
      <c r="G1" s="78"/>
      <c r="H1" s="78"/>
    </row>
    <row r="2" spans="1:8" ht="15" customHeight="1" x14ac:dyDescent="0.25">
      <c r="A2" s="120" t="s">
        <v>49</v>
      </c>
      <c r="B2" s="117" t="s">
        <v>115</v>
      </c>
      <c r="C2" s="117" t="s">
        <v>116</v>
      </c>
      <c r="D2" s="121" t="s">
        <v>118</v>
      </c>
      <c r="E2" s="76" t="s">
        <v>119</v>
      </c>
      <c r="F2" s="119" t="s">
        <v>1</v>
      </c>
      <c r="G2" s="119"/>
      <c r="H2" s="119"/>
    </row>
    <row r="3" spans="1:8" ht="15" customHeight="1" x14ac:dyDescent="0.25">
      <c r="A3" s="120"/>
      <c r="B3" s="117"/>
      <c r="C3" s="117"/>
      <c r="D3" s="122"/>
      <c r="E3" s="77" t="s">
        <v>2</v>
      </c>
      <c r="F3" s="28" t="s">
        <v>2</v>
      </c>
      <c r="G3" s="4" t="s">
        <v>3</v>
      </c>
      <c r="H3" s="4" t="s">
        <v>20</v>
      </c>
    </row>
    <row r="4" spans="1:8" ht="15" customHeight="1" x14ac:dyDescent="0.25">
      <c r="A4" s="22" t="s">
        <v>68</v>
      </c>
      <c r="B4" s="30">
        <v>-20.343983999999999</v>
      </c>
      <c r="C4" s="22">
        <v>-40.401663999999997</v>
      </c>
      <c r="D4" s="23">
        <f>C8</f>
        <v>3.3532191780821918</v>
      </c>
      <c r="E4" s="23">
        <f>3.2*(10^-2)</f>
        <v>3.2000000000000001E-2</v>
      </c>
      <c r="F4" s="19">
        <f>E4*0.5*D4</f>
        <v>5.3651506849315071E-2</v>
      </c>
      <c r="G4" s="19">
        <f>F4</f>
        <v>5.3651506849315071E-2</v>
      </c>
      <c r="H4" s="19">
        <f>F4</f>
        <v>5.3651506849315071E-2</v>
      </c>
    </row>
    <row r="5" spans="1:8" ht="15" customHeight="1" x14ac:dyDescent="0.25">
      <c r="A5" s="115" t="s">
        <v>117</v>
      </c>
      <c r="B5" s="115"/>
      <c r="C5" s="115"/>
      <c r="D5" s="115"/>
      <c r="E5" s="115"/>
      <c r="F5" s="29">
        <f>SUM(F4)</f>
        <v>5.3651506849315071E-2</v>
      </c>
      <c r="G5" s="29">
        <f t="shared" ref="G5:H5" si="0">SUM(G4)</f>
        <v>5.3651506849315071E-2</v>
      </c>
      <c r="H5" s="29">
        <f t="shared" si="0"/>
        <v>5.3651506849315071E-2</v>
      </c>
    </row>
    <row r="6" spans="1:8" ht="15" customHeight="1" x14ac:dyDescent="0.25">
      <c r="A6" s="78"/>
      <c r="B6" s="78"/>
      <c r="C6" s="78"/>
      <c r="D6" s="78"/>
      <c r="E6" s="78"/>
      <c r="F6" s="78"/>
      <c r="G6" s="78"/>
      <c r="H6" s="78"/>
    </row>
    <row r="7" spans="1:8" ht="15" customHeight="1" x14ac:dyDescent="0.25">
      <c r="A7" s="118" t="s">
        <v>66</v>
      </c>
      <c r="B7" s="74" t="s">
        <v>64</v>
      </c>
      <c r="C7" s="74" t="s">
        <v>65</v>
      </c>
      <c r="D7" s="78"/>
      <c r="E7" s="78"/>
      <c r="F7" s="78"/>
      <c r="G7" s="78"/>
      <c r="H7" s="78"/>
    </row>
    <row r="8" spans="1:8" ht="15" customHeight="1" x14ac:dyDescent="0.25">
      <c r="A8" s="118"/>
      <c r="B8" s="64">
        <v>29374.2</v>
      </c>
      <c r="C8" s="37">
        <f>B8/8760</f>
        <v>3.3532191780821918</v>
      </c>
      <c r="D8" s="78"/>
      <c r="E8" s="78"/>
      <c r="F8" s="78"/>
      <c r="G8" s="78"/>
      <c r="H8" s="78"/>
    </row>
    <row r="12" spans="1:8" ht="15" customHeight="1" x14ac:dyDescent="0.25">
      <c r="H12" s="72"/>
    </row>
  </sheetData>
  <sheetProtection algorithmName="SHA-512" hashValue="x1bFQCvjYNKZl/cUmwHBrXkJkaLuKdDTJBWuKlIVS60cI8FTTsbsGzBvU5/11zKGgSa0vUOMZkyewuE2rZEjtA==" saltValue="7f0av9XHPsp9po8x/C5jrw==" spinCount="100000" sheet="1" objects="1" scenarios="1"/>
  <mergeCells count="7">
    <mergeCell ref="A7:A8"/>
    <mergeCell ref="A5:E5"/>
    <mergeCell ref="F2:H2"/>
    <mergeCell ref="A2:A3"/>
    <mergeCell ref="B2:B3"/>
    <mergeCell ref="C2:C3"/>
    <mergeCell ref="D2:D3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"/>
  <sheetViews>
    <sheetView workbookViewId="0">
      <selection activeCell="C7" sqref="C7"/>
    </sheetView>
  </sheetViews>
  <sheetFormatPr defaultRowHeight="15" x14ac:dyDescent="0.25"/>
  <cols>
    <col min="1" max="1" width="19.5703125" bestFit="1" customWidth="1"/>
    <col min="2" max="2" width="14.85546875" customWidth="1"/>
    <col min="3" max="3" width="14.28515625" customWidth="1"/>
    <col min="4" max="4" width="23.28515625" bestFit="1" customWidth="1"/>
    <col min="5" max="5" width="10" bestFit="1" customWidth="1"/>
  </cols>
  <sheetData>
    <row r="1" spans="1:10" x14ac:dyDescent="0.25">
      <c r="A1" s="3" t="s">
        <v>130</v>
      </c>
      <c r="B1" s="83">
        <v>30531.25</v>
      </c>
    </row>
    <row r="3" spans="1:10" x14ac:dyDescent="0.25">
      <c r="A3" s="116" t="s">
        <v>0</v>
      </c>
      <c r="B3" s="117" t="s">
        <v>115</v>
      </c>
      <c r="C3" s="117" t="s">
        <v>116</v>
      </c>
      <c r="D3" s="120" t="s">
        <v>120</v>
      </c>
      <c r="E3" s="116" t="s">
        <v>121</v>
      </c>
      <c r="F3" s="116"/>
      <c r="G3" s="116"/>
      <c r="H3" s="116" t="s">
        <v>1</v>
      </c>
      <c r="I3" s="116"/>
      <c r="J3" s="116"/>
    </row>
    <row r="4" spans="1:10" x14ac:dyDescent="0.25">
      <c r="A4" s="116"/>
      <c r="B4" s="117"/>
      <c r="C4" s="117"/>
      <c r="D4" s="120"/>
      <c r="E4" s="65" t="s">
        <v>105</v>
      </c>
      <c r="F4" s="65" t="s">
        <v>106</v>
      </c>
      <c r="G4" s="65" t="s">
        <v>107</v>
      </c>
      <c r="H4" s="65" t="s">
        <v>105</v>
      </c>
      <c r="I4" s="65" t="s">
        <v>106</v>
      </c>
      <c r="J4" s="65" t="s">
        <v>107</v>
      </c>
    </row>
    <row r="5" spans="1:10" x14ac:dyDescent="0.25">
      <c r="A5" s="34" t="s">
        <v>108</v>
      </c>
      <c r="B5" s="73">
        <v>-20.344255</v>
      </c>
      <c r="C5" s="73">
        <v>-40.402102999999997</v>
      </c>
      <c r="D5" s="22">
        <f>B1/8760</f>
        <v>3.4853025114155249</v>
      </c>
      <c r="E5" s="79">
        <v>0.1</v>
      </c>
      <c r="F5" s="79">
        <f>0.5*E5</f>
        <v>0.05</v>
      </c>
      <c r="G5" s="79">
        <f>E5*0.18</f>
        <v>1.7999999999999999E-2</v>
      </c>
      <c r="H5" s="80">
        <f>$D5*E5</f>
        <v>0.34853025114155251</v>
      </c>
      <c r="I5" s="80">
        <f t="shared" ref="I5:J5" si="0">$D5*F5</f>
        <v>0.17426512557077625</v>
      </c>
      <c r="J5" s="80">
        <f t="shared" si="0"/>
        <v>6.273544520547944E-2</v>
      </c>
    </row>
    <row r="6" spans="1:10" x14ac:dyDescent="0.25">
      <c r="A6" s="110" t="s">
        <v>117</v>
      </c>
      <c r="B6" s="110"/>
      <c r="C6" s="110"/>
      <c r="D6" s="110"/>
      <c r="E6" s="110"/>
      <c r="F6" s="110"/>
      <c r="G6" s="110"/>
      <c r="H6" s="67">
        <f>SUM(H5)</f>
        <v>0.34853025114155251</v>
      </c>
      <c r="I6" s="67">
        <f t="shared" ref="I6:J6" si="1">SUM(I5)</f>
        <v>0.17426512557077625</v>
      </c>
      <c r="J6" s="67">
        <f t="shared" si="1"/>
        <v>6.273544520547944E-2</v>
      </c>
    </row>
  </sheetData>
  <sheetProtection algorithmName="SHA-512" hashValue="sWdCeHedaMMjuRDvU7h6EUCz3f5WFQeIMMMuIHWKJOzPmH8SChM1qDsyWpYVBVSPyfFAwRncaAKx/ZebTmfSAw==" saltValue="VD4QgWrBiNl8bm8d/JxKtg==" spinCount="100000" sheet="1" objects="1" scenarios="1"/>
  <mergeCells count="7">
    <mergeCell ref="H3:J3"/>
    <mergeCell ref="A6:G6"/>
    <mergeCell ref="A3:A4"/>
    <mergeCell ref="B3:B4"/>
    <mergeCell ref="C3:C4"/>
    <mergeCell ref="D3:D4"/>
    <mergeCell ref="E3:G3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"/>
  <sheetViews>
    <sheetView workbookViewId="0">
      <selection activeCell="H26" sqref="H26"/>
    </sheetView>
  </sheetViews>
  <sheetFormatPr defaultColWidth="13" defaultRowHeight="15" customHeight="1" x14ac:dyDescent="0.25"/>
  <cols>
    <col min="1" max="1" width="31.85546875" style="2" customWidth="1"/>
    <col min="2" max="4" width="13" style="2"/>
    <col min="5" max="5" width="13.140625" style="2" customWidth="1"/>
    <col min="6" max="6" width="14.5703125" style="2" customWidth="1"/>
    <col min="7" max="8" width="12.42578125" style="2" customWidth="1"/>
    <col min="9" max="9" width="14" style="2" customWidth="1"/>
    <col min="10" max="12" width="12.42578125" style="2" customWidth="1"/>
    <col min="13" max="26" width="9.42578125" style="2" customWidth="1"/>
    <col min="27" max="16384" width="13" style="2"/>
  </cols>
  <sheetData>
    <row r="1" spans="1:26" ht="15" customHeight="1" x14ac:dyDescent="0.25">
      <c r="A1" s="3" t="s">
        <v>132</v>
      </c>
    </row>
    <row r="2" spans="1:26" ht="15" customHeight="1" x14ac:dyDescent="0.25">
      <c r="A2" s="3"/>
    </row>
    <row r="3" spans="1:26" ht="15" customHeight="1" x14ac:dyDescent="0.25">
      <c r="A3" s="81" t="s">
        <v>131</v>
      </c>
      <c r="B3" s="42">
        <v>8</v>
      </c>
    </row>
    <row r="4" spans="1:26" ht="15" customHeight="1" x14ac:dyDescent="0.25">
      <c r="A4" s="120" t="s">
        <v>49</v>
      </c>
      <c r="B4" s="120" t="s">
        <v>50</v>
      </c>
      <c r="C4" s="117" t="s">
        <v>115</v>
      </c>
      <c r="D4" s="117" t="s">
        <v>116</v>
      </c>
      <c r="E4" s="120" t="s">
        <v>122</v>
      </c>
      <c r="F4" s="120" t="s">
        <v>123</v>
      </c>
      <c r="G4" s="120" t="s">
        <v>124</v>
      </c>
      <c r="H4" s="120" t="s">
        <v>125</v>
      </c>
      <c r="I4" s="120" t="s">
        <v>126</v>
      </c>
      <c r="J4" s="120" t="s">
        <v>127</v>
      </c>
      <c r="K4" s="120"/>
      <c r="L4" s="120"/>
      <c r="M4" s="120" t="s">
        <v>128</v>
      </c>
      <c r="N4" s="120"/>
      <c r="O4" s="120"/>
      <c r="P4" s="120"/>
      <c r="Q4" s="120"/>
      <c r="R4" s="120"/>
      <c r="S4" s="120"/>
      <c r="T4" s="116" t="s">
        <v>1</v>
      </c>
      <c r="U4" s="116"/>
      <c r="V4" s="116"/>
      <c r="W4" s="116"/>
      <c r="X4" s="116"/>
      <c r="Y4" s="116"/>
      <c r="Z4" s="116"/>
    </row>
    <row r="5" spans="1:26" ht="15" customHeight="1" x14ac:dyDescent="0.25">
      <c r="A5" s="120"/>
      <c r="B5" s="120"/>
      <c r="C5" s="117"/>
      <c r="D5" s="117"/>
      <c r="E5" s="120"/>
      <c r="F5" s="120"/>
      <c r="G5" s="120"/>
      <c r="H5" s="120"/>
      <c r="I5" s="120"/>
      <c r="J5" s="77" t="s">
        <v>2</v>
      </c>
      <c r="K5" s="77" t="s">
        <v>3</v>
      </c>
      <c r="L5" s="77" t="s">
        <v>20</v>
      </c>
      <c r="M5" s="77" t="s">
        <v>2</v>
      </c>
      <c r="N5" s="77" t="s">
        <v>3</v>
      </c>
      <c r="O5" s="77" t="s">
        <v>20</v>
      </c>
      <c r="P5" s="77" t="s">
        <v>5</v>
      </c>
      <c r="Q5" s="77" t="s">
        <v>6</v>
      </c>
      <c r="R5" s="77" t="s">
        <v>4</v>
      </c>
      <c r="S5" s="77" t="s">
        <v>114</v>
      </c>
      <c r="T5" s="77" t="s">
        <v>2</v>
      </c>
      <c r="U5" s="77" t="s">
        <v>3</v>
      </c>
      <c r="V5" s="77" t="s">
        <v>20</v>
      </c>
      <c r="W5" s="77" t="s">
        <v>5</v>
      </c>
      <c r="X5" s="77" t="s">
        <v>6</v>
      </c>
      <c r="Y5" s="77" t="s">
        <v>4</v>
      </c>
      <c r="Z5" s="77" t="s">
        <v>114</v>
      </c>
    </row>
    <row r="6" spans="1:26" s="22" customFormat="1" ht="15" customHeight="1" x14ac:dyDescent="0.25">
      <c r="A6" s="36" t="s">
        <v>67</v>
      </c>
      <c r="B6" s="75" t="s">
        <v>51</v>
      </c>
      <c r="C6" s="75">
        <v>-20.343955000000001</v>
      </c>
      <c r="D6" s="75">
        <v>-40.402048999999998</v>
      </c>
      <c r="E6" s="75">
        <v>284</v>
      </c>
      <c r="F6" s="37">
        <f>(B3/24)*2</f>
        <v>0.66666666666666663</v>
      </c>
      <c r="G6" s="38">
        <f>E6*F6/1000</f>
        <v>0.18933333333333333</v>
      </c>
      <c r="H6" s="75">
        <v>6</v>
      </c>
      <c r="I6" s="75">
        <v>16</v>
      </c>
      <c r="J6" s="37">
        <f>'FE-Vias'!$D$6*((H6/12)^'FE-Vias'!$D$7)*((I6/3)^'FE-Vias'!$D$8)*('FE-Vias'!$B$9/1000)*'FE-Vias'!$H$16</f>
        <v>1.3507947657182175</v>
      </c>
      <c r="K6" s="37">
        <f>'FE-Vias'!$C$6*((H6/12)^'FE-Vias'!$C$7)*((I6/3)^'FE-Vias'!$C$8)*('FE-Vias'!$B$9/1000)*'FE-Vias'!$H$16</f>
        <v>0.3599801461816684</v>
      </c>
      <c r="L6" s="37">
        <f>'FE-Vias'!$B$6*((H6/12)^'FE-Vias'!$B$7)*((I6/3)^'FE-Vias'!$B$8)*('FE-Vias'!$B$9/1000)*'FE-Vias'!$H$16</f>
        <v>3.5998014618166839E-2</v>
      </c>
      <c r="M6" s="41">
        <f>'FE-Vias'!B22/1000</f>
        <v>1.7489827604766657E-4</v>
      </c>
      <c r="N6" s="41">
        <f>'FE-Vias'!C22/1000</f>
        <v>1.7489827604766657E-4</v>
      </c>
      <c r="O6" s="41">
        <f>'FE-Vias'!D22/1000</f>
        <v>1.7489827604766657E-4</v>
      </c>
      <c r="P6" s="41">
        <f>'FE-Vias'!E22/1000</f>
        <v>5.4345140567386742E-3</v>
      </c>
      <c r="Q6" s="66">
        <f>'FE-Vias'!F22/1000</f>
        <v>4.1637536157977016E-6</v>
      </c>
      <c r="R6" s="41">
        <f>'FE-Vias'!G22/1000</f>
        <v>1.0383730075038094E-3</v>
      </c>
      <c r="S6" s="41">
        <f>'FE-Vias'!H22/1000</f>
        <v>2.4766340643796463E-4</v>
      </c>
      <c r="T6" s="39">
        <f>(J6*$G$6)+(M6*$G$6)</f>
        <v>0.25578358971624754</v>
      </c>
      <c r="U6" s="39">
        <f t="shared" ref="U6:V6" si="0">(K6*$G$6)+(N6*$G$6)</f>
        <v>6.8189355083994249E-2</v>
      </c>
      <c r="V6" s="39">
        <f t="shared" si="0"/>
        <v>6.8487381746379465E-3</v>
      </c>
      <c r="W6" s="39">
        <f>P6*$G$6</f>
        <v>1.0289346614091889E-3</v>
      </c>
      <c r="X6" s="39">
        <f>Q6*$G$6</f>
        <v>7.8833735125769813E-7</v>
      </c>
      <c r="Y6" s="39">
        <f t="shared" ref="Y6:Z6" si="1">R6*$G$6</f>
        <v>1.9659862275405457E-4</v>
      </c>
      <c r="Z6" s="39">
        <f t="shared" si="1"/>
        <v>4.6890938285587966E-5</v>
      </c>
    </row>
    <row r="7" spans="1:26" ht="15" customHeight="1" x14ac:dyDescent="0.25">
      <c r="A7" s="123" t="s">
        <v>117</v>
      </c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5"/>
      <c r="T7" s="40">
        <f>SUM(T6)</f>
        <v>0.25578358971624754</v>
      </c>
      <c r="U7" s="40">
        <f t="shared" ref="U7:Z7" si="2">SUM(U6)</f>
        <v>6.8189355083994249E-2</v>
      </c>
      <c r="V7" s="40">
        <f t="shared" si="2"/>
        <v>6.8487381746379465E-3</v>
      </c>
      <c r="W7" s="40">
        <f t="shared" si="2"/>
        <v>1.0289346614091889E-3</v>
      </c>
      <c r="X7" s="40">
        <f>SUM(X6)</f>
        <v>7.8833735125769813E-7</v>
      </c>
      <c r="Y7" s="40">
        <f t="shared" si="2"/>
        <v>1.9659862275405457E-4</v>
      </c>
      <c r="Z7" s="40">
        <f t="shared" si="2"/>
        <v>4.6890938285587966E-5</v>
      </c>
    </row>
    <row r="8" spans="1:26" ht="14.25" customHeight="1" x14ac:dyDescent="0.25"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</row>
    <row r="9" spans="1:26" ht="15" customHeight="1" x14ac:dyDescent="0.25">
      <c r="C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</row>
    <row r="11" spans="1:26" ht="15" customHeight="1" x14ac:dyDescent="0.25">
      <c r="A11" s="25"/>
    </row>
    <row r="12" spans="1:26" ht="15" customHeight="1" x14ac:dyDescent="0.25">
      <c r="A12" s="25"/>
    </row>
  </sheetData>
  <sheetProtection algorithmName="SHA-512" hashValue="bhYkZrKJTCSurEWJZznyRAXXFfn2Rje2kyLjCBw7f3IYIZojgQhDT425ctPxYtlLNyXvdZ40E2vmhaGjw6QuvA==" saltValue="TVTSMcGBTI1dGmQIoLvRyQ==" spinCount="100000" sheet="1" objects="1" scenarios="1"/>
  <mergeCells count="13">
    <mergeCell ref="A7:S7"/>
    <mergeCell ref="A4:A5"/>
    <mergeCell ref="B4:B5"/>
    <mergeCell ref="F4:F5"/>
    <mergeCell ref="E4:E5"/>
    <mergeCell ref="G4:G5"/>
    <mergeCell ref="T4:Z4"/>
    <mergeCell ref="C4:C5"/>
    <mergeCell ref="D4:D5"/>
    <mergeCell ref="J4:L4"/>
    <mergeCell ref="M4:S4"/>
    <mergeCell ref="H4:H5"/>
    <mergeCell ref="I4:I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C11" sqref="C11"/>
    </sheetView>
  </sheetViews>
  <sheetFormatPr defaultRowHeight="15" x14ac:dyDescent="0.25"/>
  <cols>
    <col min="1" max="1" width="28.140625" customWidth="1"/>
  </cols>
  <sheetData>
    <row r="1" spans="1:8" x14ac:dyDescent="0.25">
      <c r="A1" s="116" t="s">
        <v>100</v>
      </c>
      <c r="B1" s="116" t="s">
        <v>1</v>
      </c>
      <c r="C1" s="116"/>
      <c r="D1" s="116"/>
      <c r="E1" s="116"/>
      <c r="F1" s="116"/>
      <c r="G1" s="116"/>
      <c r="H1" s="116"/>
    </row>
    <row r="2" spans="1:8" x14ac:dyDescent="0.25">
      <c r="A2" s="116"/>
      <c r="B2" s="62" t="s">
        <v>2</v>
      </c>
      <c r="C2" s="62" t="s">
        <v>3</v>
      </c>
      <c r="D2" s="62" t="s">
        <v>20</v>
      </c>
      <c r="E2" s="62" t="s">
        <v>5</v>
      </c>
      <c r="F2" s="62" t="s">
        <v>6</v>
      </c>
      <c r="G2" s="62" t="s">
        <v>4</v>
      </c>
      <c r="H2" s="62" t="s">
        <v>114</v>
      </c>
    </row>
    <row r="3" spans="1:8" x14ac:dyDescent="0.25">
      <c r="A3" s="34" t="s">
        <v>101</v>
      </c>
      <c r="B3" s="39">
        <f>'Emissão Maq e Equip'!H12</f>
        <v>6.6682864540707903E-2</v>
      </c>
      <c r="C3" s="39">
        <f>'Emissão Maq e Equip'!I12</f>
        <v>6.6682864540707903E-2</v>
      </c>
      <c r="D3" s="39">
        <f>'Emissão Maq e Equip'!J12</f>
        <v>6.6682864540707903E-2</v>
      </c>
      <c r="E3" s="39">
        <f>'Emissão Maq e Equip'!K12</f>
        <v>1.3333427515008807</v>
      </c>
      <c r="F3" s="39">
        <f>'Emissão Maq e Equip'!L12</f>
        <v>1.1546063940559592E-3</v>
      </c>
      <c r="G3" s="39">
        <f>'Emissão Maq e Equip'!M12</f>
        <v>0.47585610308116433</v>
      </c>
      <c r="H3" s="39">
        <f>'Emissão Maq e Equip'!N12</f>
        <v>0.15541220025828217</v>
      </c>
    </row>
    <row r="4" spans="1:8" x14ac:dyDescent="0.25">
      <c r="A4" s="34" t="s">
        <v>109</v>
      </c>
      <c r="B4" s="39">
        <f>'Emissão Transferências'!H6</f>
        <v>0.34853025114155251</v>
      </c>
      <c r="C4" s="39">
        <f>'Emissão Transferências'!I6</f>
        <v>0.17426512557077625</v>
      </c>
      <c r="D4" s="39">
        <f>'Emissão Transferências'!J6</f>
        <v>6.273544520547944E-2</v>
      </c>
      <c r="E4" s="39" t="s">
        <v>104</v>
      </c>
      <c r="F4" s="39" t="s">
        <v>104</v>
      </c>
      <c r="G4" s="39" t="s">
        <v>104</v>
      </c>
      <c r="H4" s="39" t="s">
        <v>104</v>
      </c>
    </row>
    <row r="5" spans="1:8" x14ac:dyDescent="0.25">
      <c r="A5" s="34" t="s">
        <v>102</v>
      </c>
      <c r="B5" s="39">
        <f>'Emissão Corte de Sucata'!F5</f>
        <v>5.3651506849315071E-2</v>
      </c>
      <c r="C5" s="39">
        <f>'Emissão Corte de Sucata'!G5</f>
        <v>5.3651506849315071E-2</v>
      </c>
      <c r="D5" s="39">
        <f>'Emissão Corte de Sucata'!H5</f>
        <v>5.3651506849315071E-2</v>
      </c>
      <c r="E5" s="39" t="s">
        <v>104</v>
      </c>
      <c r="F5" s="39" t="s">
        <v>104</v>
      </c>
      <c r="G5" s="39" t="s">
        <v>104</v>
      </c>
      <c r="H5" s="39" t="s">
        <v>104</v>
      </c>
    </row>
    <row r="6" spans="1:8" x14ac:dyDescent="0.25">
      <c r="A6" s="34" t="s">
        <v>103</v>
      </c>
      <c r="B6" s="39">
        <f>' Emissão Vias '!T7</f>
        <v>0.25578358971624754</v>
      </c>
      <c r="C6" s="39">
        <f>' Emissão Vias '!U7</f>
        <v>6.8189355083994249E-2</v>
      </c>
      <c r="D6" s="39">
        <f>' Emissão Vias '!V7</f>
        <v>6.8487381746379465E-3</v>
      </c>
      <c r="E6" s="39">
        <f>' Emissão Vias '!W7</f>
        <v>1.0289346614091889E-3</v>
      </c>
      <c r="F6" s="39">
        <f>' Emissão Vias '!X7</f>
        <v>7.8833735125769813E-7</v>
      </c>
      <c r="G6" s="39">
        <f>' Emissão Vias '!Y7</f>
        <v>1.9659862275405457E-4</v>
      </c>
      <c r="H6" s="39">
        <f>' Emissão Vias '!Z7</f>
        <v>4.6890938285587966E-5</v>
      </c>
    </row>
    <row r="7" spans="1:8" x14ac:dyDescent="0.25">
      <c r="A7" s="61" t="s">
        <v>117</v>
      </c>
      <c r="B7" s="40">
        <f>SUM(B3:B6)</f>
        <v>0.72464821224782305</v>
      </c>
      <c r="C7" s="40">
        <f t="shared" ref="C7:H7" si="0">SUM(C3:C6)</f>
        <v>0.3627888520447935</v>
      </c>
      <c r="D7" s="40">
        <f t="shared" si="0"/>
        <v>0.18991855477014036</v>
      </c>
      <c r="E7" s="40">
        <f t="shared" si="0"/>
        <v>1.3343716861622898</v>
      </c>
      <c r="F7" s="40">
        <f t="shared" si="0"/>
        <v>1.1553947314072168E-3</v>
      </c>
      <c r="G7" s="40">
        <f t="shared" si="0"/>
        <v>0.47605270170391839</v>
      </c>
      <c r="H7" s="40">
        <f t="shared" si="0"/>
        <v>0.15545909119656776</v>
      </c>
    </row>
    <row r="9" spans="1:8" x14ac:dyDescent="0.25">
      <c r="A9" s="63" t="s">
        <v>129</v>
      </c>
    </row>
  </sheetData>
  <sheetProtection algorithmName="SHA-512" hashValue="mWCt0HQTDlHzxGc+FBlSeoOOwQj+o2xP5l49ge8cbWy2xozgtGDrCnaB4X5Q4ZLgcVwsB4jFFmXo1fAoL9lU4g==" saltValue="Q/DQeuSWWTduBk4RVN9OQg==" spinCount="100000" sheet="1" objects="1" scenarios="1"/>
  <mergeCells count="2">
    <mergeCell ref="A1:A2"/>
    <mergeCell ref="B1:H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2</vt:i4>
      </vt:variant>
    </vt:vector>
  </HeadingPairs>
  <TitlesOfParts>
    <vt:vector size="9" baseType="lpstr">
      <vt:lpstr>FE-Maq e Equip</vt:lpstr>
      <vt:lpstr>FE-Vias</vt:lpstr>
      <vt:lpstr>Emissão Maq e Equip</vt:lpstr>
      <vt:lpstr>Emissão Corte de Sucata</vt:lpstr>
      <vt:lpstr>Emissão Transferências</vt:lpstr>
      <vt:lpstr> Emissão Vias </vt:lpstr>
      <vt:lpstr>Resumo</vt:lpstr>
      <vt:lpstr>FE_Equip</vt:lpstr>
      <vt:lpstr>Pot_Equip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Tatiane Jardim Morais</cp:lastModifiedBy>
  <dcterms:created xsi:type="dcterms:W3CDTF">2016-12-13T12:13:55Z</dcterms:created>
  <dcterms:modified xsi:type="dcterms:W3CDTF">2019-06-06T20:38:40Z</dcterms:modified>
</cp:coreProperties>
</file>