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mercial Barro Branco\"/>
    </mc:Choice>
  </mc:AlternateContent>
  <bookViews>
    <workbookView xWindow="0" yWindow="0" windowWidth="24000" windowHeight="9135" tabRatio="738" activeTab="7"/>
  </bookViews>
  <sheets>
    <sheet name="FE-Maq e Equip" sheetId="6" r:id="rId1"/>
    <sheet name="FE-Transferências" sheetId="10" r:id="rId2"/>
    <sheet name="FE-Vias" sheetId="13" r:id="rId3"/>
    <sheet name="Dados" sheetId="16" r:id="rId4"/>
    <sheet name="Emissão Transferências" sheetId="8" r:id="rId5"/>
    <sheet name="Emissão Maq e Equip" sheetId="5" r:id="rId6"/>
    <sheet name="Emissão Vias " sheetId="9" r:id="rId7"/>
    <sheet name="Resumo" sheetId="26" r:id="rId8"/>
  </sheets>
  <definedNames>
    <definedName name="FE_Equip">'FE-Maq e Equip'!$B$3:$I$18</definedName>
    <definedName name="Pot_Equip">'FE-Maq e Equip'!$B$3:$B$18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6" l="1"/>
  <c r="C9" i="16"/>
  <c r="P5" i="9" l="1"/>
  <c r="P4" i="9"/>
  <c r="P3" i="9"/>
  <c r="O5" i="9"/>
  <c r="O4" i="9"/>
  <c r="O3" i="9"/>
  <c r="N5" i="9"/>
  <c r="N4" i="9"/>
  <c r="N3" i="9"/>
  <c r="G16" i="13" l="1"/>
  <c r="J15" i="13"/>
  <c r="J14" i="13"/>
  <c r="J13" i="13"/>
  <c r="J12" i="13"/>
  <c r="J11" i="13"/>
  <c r="J10" i="13"/>
  <c r="J9" i="13"/>
  <c r="J8" i="13"/>
  <c r="J7" i="13"/>
  <c r="J6" i="13"/>
  <c r="J5" i="13"/>
  <c r="J4" i="13"/>
  <c r="V5" i="9" l="1"/>
  <c r="V4" i="9"/>
  <c r="V3" i="9"/>
  <c r="U5" i="9"/>
  <c r="U4" i="9"/>
  <c r="U3" i="9"/>
  <c r="G3" i="5" l="1"/>
  <c r="G4" i="5"/>
  <c r="B6" i="16"/>
  <c r="D10" i="8" s="1"/>
  <c r="F5" i="9" s="1"/>
  <c r="H5" i="9" s="1"/>
  <c r="D7" i="8" l="1"/>
  <c r="F3" i="9" s="1"/>
  <c r="D8" i="8"/>
  <c r="D9" i="8"/>
  <c r="D6" i="8"/>
  <c r="H3" i="9"/>
  <c r="F4" i="9"/>
  <c r="H4" i="9" s="1"/>
  <c r="I5" i="9" l="1"/>
  <c r="Q5" i="9"/>
  <c r="R5" i="9"/>
  <c r="S5" i="9"/>
  <c r="T5" i="9"/>
  <c r="W5" i="9"/>
  <c r="T4" i="9"/>
  <c r="S4" i="9"/>
  <c r="R4" i="9"/>
  <c r="Q4" i="9"/>
  <c r="W4" i="9"/>
  <c r="Z5" i="9" l="1"/>
  <c r="Y5" i="9"/>
  <c r="X5" i="9"/>
  <c r="AD5" i="9"/>
  <c r="AA5" i="9"/>
  <c r="AB5" i="9"/>
  <c r="AC5" i="9"/>
  <c r="F10" i="8"/>
  <c r="F9" i="8"/>
  <c r="F8" i="8"/>
  <c r="F7" i="8"/>
  <c r="G10" i="8" l="1"/>
  <c r="H10" i="8"/>
  <c r="G8" i="8"/>
  <c r="H8" i="8"/>
  <c r="G9" i="8"/>
  <c r="H9" i="8"/>
  <c r="G7" i="8"/>
  <c r="H7" i="8"/>
  <c r="H4" i="5" l="1"/>
  <c r="I4" i="5" s="1"/>
  <c r="K4" i="5"/>
  <c r="L4" i="5"/>
  <c r="M4" i="5"/>
  <c r="N4" i="5"/>
  <c r="I8" i="8" l="1"/>
  <c r="K8" i="8"/>
  <c r="J8" i="8"/>
  <c r="I7" i="8"/>
  <c r="J7" i="8"/>
  <c r="K7" i="8"/>
  <c r="I10" i="8"/>
  <c r="J10" i="8"/>
  <c r="K10" i="8"/>
  <c r="I9" i="8"/>
  <c r="J9" i="8"/>
  <c r="K9" i="8"/>
  <c r="J4" i="5"/>
  <c r="R3" i="9"/>
  <c r="S3" i="9"/>
  <c r="T3" i="9"/>
  <c r="W3" i="9"/>
  <c r="Q3" i="9"/>
  <c r="I4" i="9" l="1"/>
  <c r="I3" i="9"/>
  <c r="Z3" i="9" l="1"/>
  <c r="Y3" i="9"/>
  <c r="X3" i="9"/>
  <c r="Y4" i="9"/>
  <c r="Z4" i="9"/>
  <c r="X4" i="9"/>
  <c r="AB4" i="9"/>
  <c r="AC4" i="9"/>
  <c r="AD4" i="9"/>
  <c r="AA4" i="9"/>
  <c r="AB3" i="9"/>
  <c r="AA3" i="9"/>
  <c r="AC3" i="9"/>
  <c r="AD3" i="9"/>
  <c r="H6" i="8"/>
  <c r="G6" i="8"/>
  <c r="F6" i="8"/>
  <c r="AC6" i="9" l="1"/>
  <c r="G5" i="26" s="1"/>
  <c r="Y6" i="9"/>
  <c r="C5" i="26" s="1"/>
  <c r="Z6" i="9"/>
  <c r="D5" i="26" s="1"/>
  <c r="AD6" i="9"/>
  <c r="H5" i="26" s="1"/>
  <c r="AB6" i="9"/>
  <c r="F5" i="26" s="1"/>
  <c r="AA6" i="9"/>
  <c r="E5" i="26" s="1"/>
  <c r="X6" i="9"/>
  <c r="B5" i="26" s="1"/>
  <c r="I6" i="8"/>
  <c r="I11" i="8" s="1"/>
  <c r="B3" i="26" s="1"/>
  <c r="J6" i="8"/>
  <c r="J11" i="8" s="1"/>
  <c r="C3" i="26" s="1"/>
  <c r="K6" i="8"/>
  <c r="K11" i="8" s="1"/>
  <c r="D3" i="26" s="1"/>
  <c r="H3" i="5"/>
  <c r="J3" i="5" s="1"/>
  <c r="K3" i="5"/>
  <c r="L3" i="5"/>
  <c r="M3" i="5"/>
  <c r="N3" i="5"/>
  <c r="I3" i="5" l="1"/>
  <c r="H5" i="5" l="1"/>
  <c r="B4" i="26" s="1"/>
  <c r="K5" i="5" l="1"/>
  <c r="E4" i="26" s="1"/>
  <c r="E7" i="26" s="1"/>
  <c r="N5" i="5"/>
  <c r="H4" i="26" s="1"/>
  <c r="H7" i="26" s="1"/>
  <c r="I5" i="5"/>
  <c r="C4" i="26" s="1"/>
  <c r="M5" i="5"/>
  <c r="G4" i="26" s="1"/>
  <c r="G7" i="26" s="1"/>
  <c r="L5" i="5"/>
  <c r="F4" i="26" s="1"/>
  <c r="F7" i="26" s="1"/>
  <c r="J5" i="5" l="1"/>
  <c r="D4" i="26" s="1"/>
  <c r="B7" i="26" l="1"/>
  <c r="D7" i="26" l="1"/>
  <c r="C7" i="26"/>
</calcChain>
</file>

<file path=xl/comments1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2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3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3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3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07:00 às 11:00
12:00 às 17:00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  <comment ref="E4" authorId="0" shapeId="0">
      <text>
        <r>
          <rPr>
            <sz val="9"/>
            <color indexed="81"/>
            <rFont val="Segoe UI"/>
            <family val="2"/>
          </rPr>
          <t xml:space="preserve">Fonte: USEPA (2006) - Table 13.2.4-1. Typical silt and moisture contents of materials at various industries. Considerando o valor superior do intervalo para a argila bruta e o inferior para a argila após secagem.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I2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2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2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2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  <author>Vanessa Brusco Filete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>Informado pelo empreendimento através do Ofício: Mercedes Benz L1620. Capacidade obtida na ficha técnica do modelo informado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sz val="9"/>
            <color indexed="81"/>
            <rFont val="Segoe UI"/>
            <family val="2"/>
          </rPr>
          <t xml:space="preserve">USEPA (2006) - Unpaved Roads. Table 13.2.2-1 - Sand and gravel processing 
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 xml:space="preserve">Informado pelo empreendimento através do Ofício: Mercedes Benz L1620. Peso médio obtido com base na ficha técnica do modelo informado
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>Informado pelo empreendimento que a umectação ocorre quando necessário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WRAP (2006) - Unpaved Roads - Apply water</t>
        </r>
      </text>
    </comment>
    <comment ref="W2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</commentList>
</comments>
</file>

<file path=xl/sharedStrings.xml><?xml version="1.0" encoding="utf-8"?>
<sst xmlns="http://schemas.openxmlformats.org/spreadsheetml/2006/main" count="199" uniqueCount="142">
  <si>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</si>
  <si>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</si>
  <si>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</si>
  <si>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</si>
  <si>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</si>
  <si>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</si>
  <si>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</si>
  <si>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</si>
  <si>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</si>
  <si>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</si>
  <si>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</si>
  <si>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</si>
  <si>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</si>
  <si>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</si>
  <si>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</si>
  <si>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</si>
  <si>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</si>
  <si>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</si>
  <si>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</si>
  <si>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</si>
  <si>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</si>
  <si>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</si>
  <si>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</si>
  <si>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Tipo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</si>
  <si>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</si>
  <si>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</si>
  <si>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</si>
  <si>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</si>
  <si>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</si>
  <si>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Velocidade do Vento (m/s)</t>
  </si>
  <si>
    <t xml:space="preserve">Fonte Emissora </t>
  </si>
  <si>
    <t>Não Pavimentada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</si>
  <si>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</si>
  <si>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</si>
  <si>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</si>
  <si>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</si>
  <si>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</si>
  <si>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</si>
  <si>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</si>
  <si>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</si>
  <si>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</si>
  <si>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</si>
  <si>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</si>
  <si>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</si>
  <si>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</si>
  <si>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</si>
  <si>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</si>
  <si>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</si>
  <si>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</si>
  <si>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</si>
  <si>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</si>
  <si>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</si>
  <si>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</si>
  <si>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</si>
  <si>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</si>
  <si>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</si>
  <si>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</si>
  <si>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</si>
  <si>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</si>
  <si>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</si>
  <si>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</si>
  <si>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</si>
  <si>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</si>
  <si>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</si>
  <si>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</si>
  <si>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</si>
  <si>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</si>
  <si>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</si>
  <si>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</si>
  <si>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</si>
  <si>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</si>
  <si>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</si>
  <si>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</si>
  <si>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</si>
  <si>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Controle</t>
  </si>
  <si>
    <t>Transferências</t>
  </si>
  <si>
    <t>Horário de Funcionamento</t>
  </si>
  <si>
    <t>Umectação</t>
  </si>
  <si>
    <t>Máquinas e Equipamentos</t>
  </si>
  <si>
    <t>Vias de Tráfego</t>
  </si>
  <si>
    <t>Erosão Eólica</t>
  </si>
  <si>
    <t>Fontes Emissoras</t>
  </si>
  <si>
    <t>-</t>
  </si>
  <si>
    <t>Rubber Tired Loader 
(Pá Carrregadeira)
2007</t>
  </si>
  <si>
    <t>Rubber Tired Loader 
(Pá Carrregadeira)
2013</t>
  </si>
  <si>
    <t>Pá Carregadeira - 2007</t>
  </si>
  <si>
    <t>Pá Carregadeira - 2013</t>
  </si>
  <si>
    <t xml:space="preserve">Pá Carregadeira - 2007 </t>
  </si>
  <si>
    <t>Horas trabalhadas/ano</t>
  </si>
  <si>
    <t>hora/dia</t>
  </si>
  <si>
    <t xml:space="preserve">Segunda à sexta </t>
  </si>
  <si>
    <t>Rubber Tired Loader (2013) - 25</t>
  </si>
  <si>
    <t>Rubber Tired Loader (2013) - 50</t>
  </si>
  <si>
    <t>Rubber Tired Loader (2013) - 120</t>
  </si>
  <si>
    <t>Rubber Tired Loader (2013) - 175</t>
  </si>
  <si>
    <t>Rubber Tired Loader (2013) - 250</t>
  </si>
  <si>
    <t>Rubber Tired Loader (2013) - 500</t>
  </si>
  <si>
    <t>Rubber Tired Loader (2013) - 750</t>
  </si>
  <si>
    <t>Rubber Tired Loader (2013) - 1000</t>
  </si>
  <si>
    <t>Rubber Tired Loader (2007) - 25</t>
  </si>
  <si>
    <t>Rubber Tired Loader (2007) - 50</t>
  </si>
  <si>
    <t>Rubber Tired Loader (2007) - 120</t>
  </si>
  <si>
    <t>Rubber Tired Loader (2007) - 175</t>
  </si>
  <si>
    <t>Rubber Tired Loader (2007) - 250</t>
  </si>
  <si>
    <t>Rubber Tired Loader (2007) - 500</t>
  </si>
  <si>
    <t>Rubber Tired Loader (2007) - 750</t>
  </si>
  <si>
    <t>Rubber Tired Loader (2007) - 1000</t>
  </si>
  <si>
    <t>TR - Car. Caminhão</t>
  </si>
  <si>
    <t>TR - Desc. Pátio Armazenamento</t>
  </si>
  <si>
    <t>TR - Car. Moinho</t>
  </si>
  <si>
    <t>TR - Envazamento</t>
  </si>
  <si>
    <t xml:space="preserve">Quantidade de Argila Extraída </t>
  </si>
  <si>
    <t>t/ano</t>
  </si>
  <si>
    <t>t/h</t>
  </si>
  <si>
    <t>Equipamentos</t>
  </si>
  <si>
    <t>Via - Trecho 1</t>
  </si>
  <si>
    <t>Via - Trecho 2</t>
  </si>
  <si>
    <t>Via - Trecho 3</t>
  </si>
  <si>
    <t>TR - Argila Bruta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</si>
  <si>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</si>
  <si>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Fonte: AQMD (2016) - http://www.aqmd.gov/home/regulations/ceqa/air-quality-analysis-handbook/off-road-mobile-source-emission-factors</t>
  </si>
  <si>
    <t>Fonte: AP-42 (USEPA, 2006) - https://www3.epa.gov/ttn/chief/ap42/ch13/final/c13s0204.pdf</t>
  </si>
  <si>
    <t>Fonte: AP-42 (USEPA, 2006) - https://www3.epa.gov/ttn/chief/ap42/ch13/final/c13s0202.pdf</t>
  </si>
  <si>
    <t>Fonte: Informações fornecidas pelo empreendimento através do Ofício N° 111/2017 - IEMA/DT/CQAI</t>
  </si>
  <si>
    <t>Latitude [º]</t>
  </si>
  <si>
    <t>Longitude [º]</t>
  </si>
  <si>
    <t>Movimentação material [t/h]</t>
  </si>
  <si>
    <t>Umidade do Material [%]</t>
  </si>
  <si>
    <t>Fator de Emissão [kg/t]</t>
  </si>
  <si>
    <t>TOTAL</t>
  </si>
  <si>
    <t>VOC</t>
  </si>
  <si>
    <t>Comprimento [m]</t>
  </si>
  <si>
    <t>Quantidade Movimentada [t/h]</t>
  </si>
  <si>
    <t>Capacidade do Caminhão [t]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</si>
  <si>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</si>
  <si>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Teor de Silte [%]</t>
  </si>
  <si>
    <t>Peso Médio dos Caminhões [t]</t>
  </si>
  <si>
    <t>Eficiência de Controle [%]</t>
  </si>
  <si>
    <t>Fator de Emissão - Ressuspensão [kg/VKT]</t>
  </si>
  <si>
    <t>Fator de Emissão - Gases Escapamento [kg/km]</t>
  </si>
  <si>
    <t>DMT [km/h]</t>
  </si>
  <si>
    <t>Nota: "Erosão Eólica" foi calculada na Planilha: Erosão Eólica_Comercial Barro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</si>
</sst>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#,##0.00000"/>
    <numFmt numFmtId="170" formatCode="#,##0.0"/>
    <numFmt numFmtId="171" formatCode="0.00000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0"/>
      <name val="Arial"/>
      <family val="2"/>
    </font>
    <font>
      <sz val="8"/>
      <color theme="0"/>
      <name val="Arial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5" xfId="0" applyFont="1" applyFill="1" applyBorder="1" applyAlignment="1"/>
    <xf numFmtId="0" fontId="1" fillId="4" borderId="19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8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2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19" xfId="0" applyFont="1" applyFill="1" applyBorder="1" applyAlignment="1">
      <alignment vertical="center"/>
    </xf>
    <xf numFmtId="4" fontId="1" fillId="0" borderId="19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0" fontId="8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vertical="center"/>
    </xf>
    <xf numFmtId="1" fontId="11" fillId="0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170" fontId="1" fillId="0" borderId="19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1" fillId="0" borderId="0" xfId="0" applyNumberFormat="1" applyFont="1" applyFill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4" fontId="1" fillId="0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8" fontId="1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9" xfId="0" applyBorder="1"/>
    <xf numFmtId="1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0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65" fontId="1" fillId="0" borderId="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69" fontId="1" fillId="0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169" fontId="1" fillId="0" borderId="19" xfId="0" applyNumberFormat="1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20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2486025" y="1924050"/>
          <a:ext cx="1028700" cy="31432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628650</xdr:colOff>
      <xdr:row>9</xdr:row>
      <xdr:rowOff>19050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xmlns="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F25" sqref="F25"/>
    </sheetView>
  </sheetViews>
  <sheetFormatPr defaultRowHeight="15" x14ac:dyDescent="0.25"/>
  <cols>
    <col min="1" max="1" width="19.42578125" bestFit="1" customWidth="1"/>
    <col min="2" max="2" width="27.7109375" customWidth="1"/>
    <col min="3" max="4" width="9.42578125" bestFit="1" customWidth="1"/>
    <col min="5" max="5" width="10.42578125" bestFit="1" customWidth="1"/>
    <col min="6" max="7" width="9.42578125" bestFit="1" customWidth="1"/>
    <col min="8" max="8" width="10.7109375" bestFit="1" customWidth="1"/>
    <col min="9" max="9" width="9.42578125" bestFit="1" customWidth="1"/>
    <col min="11" max="11" width="19.85546875" customWidth="1"/>
  </cols>
  <sheetData>
    <row r="1" spans="1:19" x14ac:dyDescent="0.25">
      <c r="A1" s="2" t="s">
        <v>120</v>
      </c>
      <c r="B1" s="76"/>
      <c r="C1" s="76"/>
      <c r="D1" s="76"/>
      <c r="E1" s="76"/>
      <c r="F1" s="76"/>
      <c r="G1" s="76"/>
      <c r="H1" s="76"/>
      <c r="I1" s="76"/>
    </row>
    <row r="2" spans="1:19" x14ac:dyDescent="0.25">
      <c r="A2" s="71" t="s">
        <v>7</v>
      </c>
      <c r="B2" s="71" t="s">
        <v>8</v>
      </c>
      <c r="C2" s="71" t="s">
        <v>9</v>
      </c>
      <c r="D2" s="71" t="s">
        <v>10</v>
      </c>
      <c r="E2" s="71" t="s">
        <v>11</v>
      </c>
      <c r="F2" s="71" t="s">
        <v>12</v>
      </c>
      <c r="G2" s="71" t="s">
        <v>13</v>
      </c>
      <c r="H2" s="71" t="s">
        <v>14</v>
      </c>
      <c r="I2" s="71" t="s">
        <v>15</v>
      </c>
    </row>
    <row r="3" spans="1:19" s="42" customFormat="1" x14ac:dyDescent="0.25">
      <c r="A3" s="109" t="s">
        <v>84</v>
      </c>
      <c r="B3" s="14" t="s">
        <v>91</v>
      </c>
      <c r="C3" s="12">
        <v>2.2715535714185543E-3</v>
      </c>
      <c r="D3" s="12">
        <v>5.8586520372451725E-2</v>
      </c>
      <c r="E3" s="12">
        <v>9.7431122078050478E-5</v>
      </c>
      <c r="F3" s="12">
        <v>3.1618353310773895E-2</v>
      </c>
      <c r="G3" s="12">
        <v>9.2671622297814376E-3</v>
      </c>
      <c r="H3" s="12">
        <v>7.678936744291553</v>
      </c>
      <c r="I3" s="12">
        <v>8.3616121493474457E-4</v>
      </c>
      <c r="L3" s="50"/>
      <c r="M3" s="50"/>
      <c r="N3" s="50"/>
      <c r="O3" s="50"/>
      <c r="P3" s="50"/>
      <c r="Q3" s="50"/>
      <c r="R3" s="50"/>
      <c r="S3" s="50"/>
    </row>
    <row r="4" spans="1:19" s="42" customFormat="1" x14ac:dyDescent="0.25">
      <c r="A4" s="110"/>
      <c r="B4" s="14" t="s">
        <v>92</v>
      </c>
      <c r="C4" s="12">
        <v>1.3253965593276651E-2</v>
      </c>
      <c r="D4" s="12">
        <v>0.14143004163484349</v>
      </c>
      <c r="E4" s="12">
        <v>1.8265588565065984E-4</v>
      </c>
      <c r="F4" s="12">
        <v>0.1651600694671071</v>
      </c>
      <c r="G4" s="12">
        <v>5.4414299180533754E-2</v>
      </c>
      <c r="H4" s="12">
        <v>14.129245058991977</v>
      </c>
      <c r="I4" s="12">
        <v>4.9097149492170243E-3</v>
      </c>
      <c r="K4" s="50"/>
      <c r="L4" s="15"/>
      <c r="M4" s="15"/>
      <c r="N4" s="15"/>
      <c r="O4" s="15"/>
      <c r="P4" s="15"/>
      <c r="Q4" s="15"/>
      <c r="R4" s="15"/>
      <c r="S4" s="50"/>
    </row>
    <row r="5" spans="1:19" s="42" customFormat="1" x14ac:dyDescent="0.25">
      <c r="A5" s="110"/>
      <c r="B5" s="14" t="s">
        <v>93</v>
      </c>
      <c r="C5" s="12">
        <v>2.381573456129505E-2</v>
      </c>
      <c r="D5" s="12">
        <v>0.27285810321407217</v>
      </c>
      <c r="E5" s="12">
        <v>3.1347096748086202E-4</v>
      </c>
      <c r="F5" s="12">
        <v>0.18832555885819902</v>
      </c>
      <c r="G5" s="12">
        <v>4.4027252346476517E-2</v>
      </c>
      <c r="H5" s="12">
        <v>26.722697469427885</v>
      </c>
      <c r="I5" s="12">
        <v>3.9725076652152103E-3</v>
      </c>
      <c r="K5" s="50"/>
      <c r="L5" s="50"/>
      <c r="M5" s="50"/>
      <c r="N5" s="50"/>
      <c r="O5" s="50"/>
      <c r="P5" s="50"/>
      <c r="Q5" s="50"/>
      <c r="R5" s="50"/>
      <c r="S5" s="50"/>
    </row>
    <row r="6" spans="1:19" s="42" customFormat="1" x14ac:dyDescent="0.25">
      <c r="A6" s="110"/>
      <c r="B6" s="14" t="s">
        <v>94</v>
      </c>
      <c r="C6" s="12">
        <v>2.4273893407955022E-2</v>
      </c>
      <c r="D6" s="12">
        <v>0.43097262353086818</v>
      </c>
      <c r="E6" s="12">
        <v>5.4259952856674208E-4</v>
      </c>
      <c r="F6" s="12">
        <v>0.28456160940173775</v>
      </c>
      <c r="G6" s="12">
        <v>5.614270708488657E-2</v>
      </c>
      <c r="H6" s="12">
        <v>48.223714643068881</v>
      </c>
      <c r="I6" s="12">
        <v>5.0656648406098717E-3</v>
      </c>
      <c r="K6" s="50"/>
      <c r="L6" s="50"/>
      <c r="M6" s="50"/>
      <c r="N6" s="50"/>
      <c r="O6" s="50"/>
      <c r="P6" s="50"/>
      <c r="Q6" s="50"/>
      <c r="R6" s="50"/>
      <c r="S6" s="50"/>
    </row>
    <row r="7" spans="1:19" s="42" customFormat="1" x14ac:dyDescent="0.25">
      <c r="A7" s="110"/>
      <c r="B7" s="14" t="s">
        <v>95</v>
      </c>
      <c r="C7" s="12">
        <v>1.8910148310540466E-2</v>
      </c>
      <c r="D7" s="12">
        <v>0.5499725406931214</v>
      </c>
      <c r="E7" s="12">
        <v>7.6033070020548629E-4</v>
      </c>
      <c r="F7" s="12">
        <v>0.16712763837475378</v>
      </c>
      <c r="G7" s="12">
        <v>5.7085506454862787E-2</v>
      </c>
      <c r="H7" s="12">
        <v>67.574630724280723</v>
      </c>
      <c r="I7" s="12">
        <v>5.1507344712716334E-3</v>
      </c>
      <c r="K7" s="50"/>
      <c r="L7" s="50"/>
      <c r="M7" s="50"/>
      <c r="N7" s="50"/>
      <c r="O7" s="50"/>
      <c r="P7" s="50"/>
      <c r="Q7" s="50"/>
      <c r="R7" s="50"/>
      <c r="S7" s="50"/>
    </row>
    <row r="8" spans="1:19" s="42" customFormat="1" x14ac:dyDescent="0.25">
      <c r="A8" s="110"/>
      <c r="B8" s="14" t="s">
        <v>96</v>
      </c>
      <c r="C8" s="12">
        <v>2.7812541825447856E-2</v>
      </c>
      <c r="D8" s="12">
        <v>0.77829080285832175</v>
      </c>
      <c r="E8" s="12">
        <v>1.0551972938147552E-3</v>
      </c>
      <c r="F8" s="12">
        <v>0.29016816609740198</v>
      </c>
      <c r="G8" s="12">
        <v>8.4690833417972941E-2</v>
      </c>
      <c r="H8" s="12">
        <v>107.50507724886437</v>
      </c>
      <c r="I8" s="12">
        <v>7.6415174499097054E-3</v>
      </c>
      <c r="K8" s="50"/>
      <c r="L8" s="50"/>
      <c r="M8" s="50"/>
      <c r="N8" s="50"/>
      <c r="O8" s="50"/>
      <c r="P8" s="50"/>
      <c r="Q8" s="50"/>
      <c r="R8" s="50"/>
      <c r="S8" s="50"/>
    </row>
    <row r="9" spans="1:19" s="42" customFormat="1" x14ac:dyDescent="0.25">
      <c r="A9" s="110"/>
      <c r="B9" s="14" t="s">
        <v>97</v>
      </c>
      <c r="C9" s="12">
        <v>5.7867083815215575E-2</v>
      </c>
      <c r="D9" s="12">
        <v>1.6412875511891465</v>
      </c>
      <c r="E9" s="12">
        <v>2.2143708591425945E-3</v>
      </c>
      <c r="F9" s="12">
        <v>0.59346521812176145</v>
      </c>
      <c r="G9" s="12">
        <v>0.17463574536648371</v>
      </c>
      <c r="H9" s="12">
        <v>220.23190825368164</v>
      </c>
      <c r="I9" s="12">
        <v>1.5757102061852268E-2</v>
      </c>
      <c r="K9" s="50"/>
      <c r="L9" s="50"/>
      <c r="M9" s="50"/>
      <c r="N9" s="50"/>
      <c r="O9" s="50"/>
      <c r="P9" s="50"/>
      <c r="Q9" s="50"/>
      <c r="R9" s="50"/>
      <c r="S9" s="50"/>
    </row>
    <row r="10" spans="1:19" s="42" customFormat="1" x14ac:dyDescent="0.25">
      <c r="A10" s="111"/>
      <c r="B10" s="14" t="s">
        <v>98</v>
      </c>
      <c r="C10" s="12">
        <v>8.1412925288392807E-2</v>
      </c>
      <c r="D10" s="12">
        <v>2.7061246534133692</v>
      </c>
      <c r="E10" s="12">
        <v>2.7085123715543985E-3</v>
      </c>
      <c r="F10" s="12">
        <v>0.83410494921522949</v>
      </c>
      <c r="G10" s="12">
        <v>0.23539897387706901</v>
      </c>
      <c r="H10" s="12">
        <v>269.37713270784536</v>
      </c>
      <c r="I10" s="12">
        <v>2.123967578705287E-2</v>
      </c>
      <c r="K10" s="50"/>
      <c r="L10" s="50"/>
      <c r="M10" s="50"/>
      <c r="N10" s="50"/>
      <c r="O10" s="50"/>
      <c r="P10" s="50"/>
      <c r="Q10" s="50"/>
      <c r="R10" s="50"/>
      <c r="S10" s="50"/>
    </row>
    <row r="11" spans="1:19" x14ac:dyDescent="0.25">
      <c r="A11" s="107" t="s">
        <v>83</v>
      </c>
      <c r="B11" s="14" t="s">
        <v>99</v>
      </c>
      <c r="C11" s="49">
        <v>4.1647481574952775E-3</v>
      </c>
      <c r="D11" s="49">
        <v>6.5318933034944765E-2</v>
      </c>
      <c r="E11" s="49">
        <v>9.7431139391112798E-5</v>
      </c>
      <c r="F11" s="49">
        <v>3.2117661168667613E-2</v>
      </c>
      <c r="G11" s="49">
        <v>1.0013560541894806E-2</v>
      </c>
      <c r="H11" s="49">
        <v>7.6789363702976381</v>
      </c>
      <c r="I11" s="49">
        <v>9.0350737078986789E-4</v>
      </c>
      <c r="K11" s="50"/>
      <c r="L11" s="50"/>
      <c r="M11" s="50"/>
      <c r="N11" s="50"/>
      <c r="O11" s="50"/>
      <c r="P11" s="50"/>
      <c r="Q11" s="50"/>
      <c r="R11" s="50"/>
      <c r="S11" s="50"/>
    </row>
    <row r="12" spans="1:19" x14ac:dyDescent="0.25">
      <c r="A12" s="108"/>
      <c r="B12" s="14" t="s">
        <v>100</v>
      </c>
      <c r="C12" s="49">
        <v>1.9389461005136124E-2</v>
      </c>
      <c r="D12" s="49">
        <v>0.15850781980120351</v>
      </c>
      <c r="E12" s="49">
        <v>1.8265581631205882E-4</v>
      </c>
      <c r="F12" s="49">
        <v>0.19953638186759515</v>
      </c>
      <c r="G12" s="49">
        <v>8.7889870552575564E-2</v>
      </c>
      <c r="H12" s="49">
        <v>14.129238189499569</v>
      </c>
      <c r="I12" s="49">
        <v>7.9301638618412291E-3</v>
      </c>
      <c r="J12" s="55"/>
      <c r="K12" s="50"/>
      <c r="L12" s="50"/>
      <c r="M12" s="50"/>
      <c r="N12" s="50"/>
      <c r="O12" s="50"/>
      <c r="P12" s="50"/>
      <c r="Q12" s="50"/>
      <c r="R12" s="50"/>
      <c r="S12" s="50"/>
    </row>
    <row r="13" spans="1:19" x14ac:dyDescent="0.25">
      <c r="A13" s="108"/>
      <c r="B13" s="14" t="s">
        <v>101</v>
      </c>
      <c r="C13" s="49">
        <v>3.5159649405128737E-2</v>
      </c>
      <c r="D13" s="49">
        <v>0.39013010201093185</v>
      </c>
      <c r="E13" s="49">
        <v>3.1347091665644508E-4</v>
      </c>
      <c r="F13" s="49">
        <v>0.2004419223709539</v>
      </c>
      <c r="G13" s="49">
        <v>6.7138814469940591E-2</v>
      </c>
      <c r="H13" s="49">
        <v>26.722695910514073</v>
      </c>
      <c r="I13" s="49">
        <v>6.0578280967871325E-3</v>
      </c>
      <c r="K13" s="50"/>
      <c r="L13" s="50"/>
      <c r="M13" s="50"/>
      <c r="N13" s="50"/>
      <c r="O13" s="50"/>
      <c r="P13" s="50"/>
      <c r="Q13" s="50"/>
      <c r="R13" s="50"/>
      <c r="S13" s="50"/>
    </row>
    <row r="14" spans="1:19" x14ac:dyDescent="0.25">
      <c r="A14" s="108"/>
      <c r="B14" s="14" t="s">
        <v>102</v>
      </c>
      <c r="C14" s="49">
        <v>3.4873730864910753E-2</v>
      </c>
      <c r="D14" s="49">
        <v>0.62819014565488085</v>
      </c>
      <c r="E14" s="49">
        <v>5.4259968788077681E-4</v>
      </c>
      <c r="F14" s="49">
        <v>0.29143683660988179</v>
      </c>
      <c r="G14" s="49">
        <v>7.9806989940830519E-2</v>
      </c>
      <c r="H14" s="49">
        <v>48.223729179933819</v>
      </c>
      <c r="I14" s="49">
        <v>7.2008552575325378E-3</v>
      </c>
      <c r="L14" s="50"/>
      <c r="M14" s="50"/>
      <c r="N14" s="50"/>
      <c r="O14" s="50"/>
      <c r="P14" s="50"/>
      <c r="R14" s="50"/>
      <c r="S14" s="50"/>
    </row>
    <row r="15" spans="1:19" x14ac:dyDescent="0.25">
      <c r="A15" s="108"/>
      <c r="B15" s="14" t="s">
        <v>103</v>
      </c>
      <c r="C15" s="12">
        <v>3.101083119228833E-2</v>
      </c>
      <c r="D15" s="12">
        <v>0.83698143551687265</v>
      </c>
      <c r="E15" s="12">
        <v>7.6033040375300068E-4</v>
      </c>
      <c r="F15" s="12">
        <v>0.22495851814724077</v>
      </c>
      <c r="G15" s="12">
        <v>8.0781384871570633E-2</v>
      </c>
      <c r="H15" s="12">
        <v>67.57462749683539</v>
      </c>
      <c r="I15" s="12">
        <v>7.2887737155482657E-3</v>
      </c>
      <c r="R15" s="50"/>
      <c r="S15" s="50"/>
    </row>
    <row r="16" spans="1:19" x14ac:dyDescent="0.25">
      <c r="A16" s="108"/>
      <c r="B16" s="14" t="s">
        <v>104</v>
      </c>
      <c r="C16" s="12">
        <v>4.4312637095619792E-2</v>
      </c>
      <c r="D16" s="12">
        <v>1.1811178567160983</v>
      </c>
      <c r="E16" s="12">
        <v>1.0551972934755545E-3</v>
      </c>
      <c r="F16" s="12">
        <v>0.44023160723795168</v>
      </c>
      <c r="G16" s="12">
        <v>0.11468313954524458</v>
      </c>
      <c r="H16" s="12">
        <v>107.50511325477065</v>
      </c>
      <c r="I16" s="12">
        <v>1.0347677695252593E-2</v>
      </c>
    </row>
    <row r="17" spans="1:9" x14ac:dyDescent="0.25">
      <c r="A17" s="108"/>
      <c r="B17" s="14" t="s">
        <v>105</v>
      </c>
      <c r="C17" s="12">
        <v>9.1699292295937748E-2</v>
      </c>
      <c r="D17" s="12">
        <v>2.4816495823931239</v>
      </c>
      <c r="E17" s="12">
        <v>2.2143711863278365E-3</v>
      </c>
      <c r="F17" s="12">
        <v>0.8977989810489746</v>
      </c>
      <c r="G17" s="12">
        <v>0.2376690359121682</v>
      </c>
      <c r="H17" s="12">
        <v>220.23193257962103</v>
      </c>
      <c r="I17" s="12">
        <v>2.1444490325478866E-2</v>
      </c>
    </row>
    <row r="18" spans="1:9" x14ac:dyDescent="0.25">
      <c r="A18" s="108"/>
      <c r="B18" s="14" t="s">
        <v>106</v>
      </c>
      <c r="C18" s="12">
        <v>0.11281698418835924</v>
      </c>
      <c r="D18" s="12">
        <v>3.6320533542247149</v>
      </c>
      <c r="E18" s="12">
        <v>2.708513011176045E-3</v>
      </c>
      <c r="F18" s="12">
        <v>1.2834306373108464</v>
      </c>
      <c r="G18" s="12">
        <v>0.33188731556128104</v>
      </c>
      <c r="H18" s="12">
        <v>269.37717766866973</v>
      </c>
      <c r="I18" s="12">
        <v>2.9945664738985911E-2</v>
      </c>
    </row>
    <row r="20" spans="1:9" x14ac:dyDescent="0.25">
      <c r="A20" s="86" t="s">
        <v>21</v>
      </c>
      <c r="B20" s="89"/>
      <c r="C20" s="90"/>
      <c r="D20" s="90"/>
      <c r="E20" s="91"/>
    </row>
    <row r="21" spans="1:9" x14ac:dyDescent="0.25">
      <c r="A21" s="87"/>
      <c r="B21" s="92"/>
      <c r="C21" s="93"/>
      <c r="D21" s="93"/>
      <c r="E21" s="94"/>
    </row>
    <row r="22" spans="1:9" x14ac:dyDescent="0.25">
      <c r="A22" s="87"/>
      <c r="B22" s="95"/>
      <c r="C22" s="96"/>
      <c r="D22" s="96"/>
      <c r="E22" s="97"/>
    </row>
    <row r="23" spans="1:9" x14ac:dyDescent="0.25">
      <c r="A23" s="87"/>
      <c r="B23" s="98" t="s">
        <v>22</v>
      </c>
      <c r="C23" s="99"/>
      <c r="D23" s="99"/>
      <c r="E23" s="100"/>
    </row>
    <row r="24" spans="1:9" x14ac:dyDescent="0.25">
      <c r="A24" s="87"/>
      <c r="B24" s="101"/>
      <c r="C24" s="102"/>
      <c r="D24" s="102"/>
      <c r="E24" s="103"/>
    </row>
    <row r="25" spans="1:9" x14ac:dyDescent="0.25">
      <c r="A25" s="87"/>
      <c r="B25" s="101"/>
      <c r="C25" s="102"/>
      <c r="D25" s="102"/>
      <c r="E25" s="103"/>
    </row>
    <row r="26" spans="1:9" x14ac:dyDescent="0.25">
      <c r="A26" s="88"/>
      <c r="B26" s="104"/>
      <c r="C26" s="105"/>
      <c r="D26" s="105"/>
      <c r="E26" s="106"/>
    </row>
    <row r="28" spans="1:9" x14ac:dyDescent="0.25">
      <c r="A28" s="2"/>
    </row>
    <row r="29" spans="1:9" x14ac:dyDescent="0.25">
      <c r="A29" s="2"/>
    </row>
  </sheetData>
  <sheetProtection algorithmName="SHA-512" hashValue="gwGxRAFjMJuzL4UcOMREdlrtqdLTdQDF4gB71Izz3GXwe6LiSNyx+n9ryI0OruG/ThvqspyzPSNkSHl0uUepDw==" saltValue="7KCEzUpCNZJrGqnfDeG95Q==" spinCount="100000" sheet="1" objects="1" scenarios="1"/>
  <mergeCells count="5">
    <mergeCell ref="A20:A26"/>
    <mergeCell ref="B20:E22"/>
    <mergeCell ref="B23:E26"/>
    <mergeCell ref="A11:A18"/>
    <mergeCell ref="A3:A1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9" sqref="G9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12" t="s">
        <v>121</v>
      </c>
      <c r="B1" s="113"/>
      <c r="C1" s="113"/>
      <c r="D1" s="113"/>
    </row>
    <row r="2" spans="1:5" x14ac:dyDescent="0.25">
      <c r="A2" s="71"/>
      <c r="B2" s="71" t="s">
        <v>2</v>
      </c>
      <c r="C2" s="71" t="s">
        <v>25</v>
      </c>
      <c r="D2" s="71" t="s">
        <v>26</v>
      </c>
    </row>
    <row r="3" spans="1:5" x14ac:dyDescent="0.25">
      <c r="A3" s="10" t="s">
        <v>27</v>
      </c>
      <c r="B3" s="36">
        <v>0.74</v>
      </c>
      <c r="C3" s="36">
        <v>0.35</v>
      </c>
      <c r="D3" s="36">
        <v>5.2999999999999999E-2</v>
      </c>
    </row>
    <row r="5" spans="1:5" x14ac:dyDescent="0.25">
      <c r="A5" s="86" t="s">
        <v>21</v>
      </c>
      <c r="B5" s="18"/>
      <c r="C5" s="19"/>
      <c r="D5" s="19"/>
      <c r="E5" s="24"/>
    </row>
    <row r="6" spans="1:5" x14ac:dyDescent="0.25">
      <c r="A6" s="87"/>
      <c r="B6" s="20"/>
      <c r="C6" s="21"/>
      <c r="D6" s="21"/>
      <c r="E6" s="24"/>
    </row>
    <row r="7" spans="1:5" x14ac:dyDescent="0.25">
      <c r="A7" s="87"/>
      <c r="B7" s="22"/>
      <c r="C7" s="23"/>
      <c r="D7" s="23"/>
      <c r="E7" s="24"/>
    </row>
    <row r="8" spans="1:5" ht="15" customHeight="1" x14ac:dyDescent="0.25">
      <c r="A8" s="87"/>
      <c r="B8" s="98" t="s">
        <v>28</v>
      </c>
      <c r="C8" s="99"/>
      <c r="D8" s="99"/>
      <c r="E8" s="25"/>
    </row>
    <row r="9" spans="1:5" x14ac:dyDescent="0.25">
      <c r="A9" s="87"/>
      <c r="B9" s="101"/>
      <c r="C9" s="102"/>
      <c r="D9" s="102"/>
      <c r="E9" s="25"/>
    </row>
    <row r="10" spans="1:5" ht="17.25" customHeight="1" x14ac:dyDescent="0.25">
      <c r="A10" s="87"/>
      <c r="B10" s="101"/>
      <c r="C10" s="102"/>
      <c r="D10" s="102"/>
      <c r="E10" s="25"/>
    </row>
    <row r="11" spans="1:5" ht="19.5" customHeight="1" x14ac:dyDescent="0.25">
      <c r="A11" s="88"/>
      <c r="B11" s="104"/>
      <c r="C11" s="105"/>
      <c r="D11" s="105"/>
      <c r="E11" s="25"/>
    </row>
  </sheetData>
  <sheetProtection algorithmName="SHA-512" hashValue="LD2Mzsagk5s4m25d9xRfRIWWCUWM7viA1jyWZtqh727MA0VZTKkML4V4Ev8aFr1NHEWJTOiMuHWHJ+KKGAXsHg==" saltValue="IsKxGKpo/c1VHWta5ABAEQ==" spinCount="100000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orkbookViewId="0">
      <selection activeCell="F24" sqref="F24"/>
    </sheetView>
  </sheetViews>
  <sheetFormatPr defaultRowHeight="15" x14ac:dyDescent="0.25"/>
  <cols>
    <col min="1" max="4" width="13.42578125" customWidth="1"/>
    <col min="6" max="6" width="10.7109375" customWidth="1"/>
    <col min="7" max="7" width="13.42578125" customWidth="1"/>
    <col min="8" max="8" width="18" customWidth="1"/>
    <col min="9" max="9" width="11.42578125" customWidth="1"/>
    <col min="10" max="10" width="12.7109375" customWidth="1"/>
    <col min="11" max="11" width="12.5703125" customWidth="1"/>
    <col min="12" max="12" width="17.85546875" customWidth="1"/>
    <col min="13" max="13" width="12.5703125" customWidth="1"/>
    <col min="14" max="14" width="13.85546875" customWidth="1"/>
  </cols>
  <sheetData>
    <row r="1" spans="1:10" x14ac:dyDescent="0.25">
      <c r="A1" s="2" t="s">
        <v>122</v>
      </c>
      <c r="B1" s="2"/>
      <c r="C1" s="2"/>
      <c r="D1" s="2"/>
    </row>
    <row r="2" spans="1:10" x14ac:dyDescent="0.25">
      <c r="A2" s="117" t="s">
        <v>32</v>
      </c>
      <c r="B2" s="117"/>
      <c r="C2" s="117"/>
      <c r="D2" s="117"/>
      <c r="F2" s="114" t="s">
        <v>47</v>
      </c>
      <c r="G2" s="114"/>
      <c r="H2" s="114"/>
      <c r="I2" s="114"/>
      <c r="J2" s="114"/>
    </row>
    <row r="3" spans="1:10" ht="22.5" x14ac:dyDescent="0.25">
      <c r="A3" s="118" t="s">
        <v>33</v>
      </c>
      <c r="B3" s="118"/>
      <c r="C3" s="118"/>
      <c r="D3" s="118"/>
      <c r="F3" s="71" t="s">
        <v>48</v>
      </c>
      <c r="G3" s="53" t="s">
        <v>49</v>
      </c>
      <c r="H3" s="53" t="s">
        <v>50</v>
      </c>
      <c r="I3" s="71" t="s">
        <v>51</v>
      </c>
      <c r="J3" s="71" t="s">
        <v>52</v>
      </c>
    </row>
    <row r="4" spans="1:10" x14ac:dyDescent="0.25">
      <c r="A4" s="115" t="s">
        <v>34</v>
      </c>
      <c r="B4" s="115" t="s">
        <v>35</v>
      </c>
      <c r="C4" s="115"/>
      <c r="D4" s="115"/>
      <c r="F4" s="36" t="s">
        <v>53</v>
      </c>
      <c r="G4" s="36">
        <v>0</v>
      </c>
      <c r="H4" s="36">
        <v>0</v>
      </c>
      <c r="I4" s="36">
        <v>31</v>
      </c>
      <c r="J4" s="37">
        <f>(I4-H4)/I4</f>
        <v>1</v>
      </c>
    </row>
    <row r="5" spans="1:10" x14ac:dyDescent="0.25">
      <c r="A5" s="115"/>
      <c r="B5" s="31" t="s">
        <v>36</v>
      </c>
      <c r="C5" s="31" t="s">
        <v>37</v>
      </c>
      <c r="D5" s="31" t="s">
        <v>38</v>
      </c>
      <c r="F5" s="36" t="s">
        <v>54</v>
      </c>
      <c r="G5" s="36">
        <v>52</v>
      </c>
      <c r="H5" s="36">
        <v>7</v>
      </c>
      <c r="I5" s="36">
        <v>28</v>
      </c>
      <c r="J5" s="37">
        <f t="shared" ref="J5:J15" si="0">(I5-H5)/I5</f>
        <v>0.75</v>
      </c>
    </row>
    <row r="6" spans="1:10" x14ac:dyDescent="0.25">
      <c r="A6" s="32" t="s">
        <v>39</v>
      </c>
      <c r="B6" s="32">
        <v>0.15</v>
      </c>
      <c r="C6" s="32">
        <v>1.5</v>
      </c>
      <c r="D6" s="32">
        <v>4.9000000000000004</v>
      </c>
      <c r="F6" s="36" t="s">
        <v>55</v>
      </c>
      <c r="G6" s="36">
        <v>69</v>
      </c>
      <c r="H6" s="36">
        <v>7</v>
      </c>
      <c r="I6" s="36">
        <v>31</v>
      </c>
      <c r="J6" s="37">
        <f t="shared" si="0"/>
        <v>0.77419354838709675</v>
      </c>
    </row>
    <row r="7" spans="1:10" x14ac:dyDescent="0.25">
      <c r="A7" s="32" t="s">
        <v>40</v>
      </c>
      <c r="B7" s="32">
        <v>0.9</v>
      </c>
      <c r="C7" s="32">
        <v>0.9</v>
      </c>
      <c r="D7" s="32">
        <v>0.7</v>
      </c>
      <c r="F7" s="36" t="s">
        <v>56</v>
      </c>
      <c r="G7" s="36">
        <v>44</v>
      </c>
      <c r="H7" s="36">
        <v>8</v>
      </c>
      <c r="I7" s="36">
        <v>30</v>
      </c>
      <c r="J7" s="37">
        <f t="shared" si="0"/>
        <v>0.73333333333333328</v>
      </c>
    </row>
    <row r="8" spans="1:10" x14ac:dyDescent="0.25">
      <c r="A8" s="32" t="s">
        <v>41</v>
      </c>
      <c r="B8" s="32">
        <v>0.45</v>
      </c>
      <c r="C8" s="32">
        <v>0.45</v>
      </c>
      <c r="D8" s="32">
        <v>0.45</v>
      </c>
      <c r="F8" s="36" t="s">
        <v>57</v>
      </c>
      <c r="G8" s="36">
        <v>185.8</v>
      </c>
      <c r="H8" s="36">
        <v>16</v>
      </c>
      <c r="I8" s="36">
        <v>31</v>
      </c>
      <c r="J8" s="37">
        <f t="shared" si="0"/>
        <v>0.4838709677419355</v>
      </c>
    </row>
    <row r="9" spans="1:10" x14ac:dyDescent="0.25">
      <c r="A9" s="32" t="s">
        <v>43</v>
      </c>
      <c r="B9" s="11">
        <v>281.89999999999998</v>
      </c>
      <c r="C9" s="32" t="s">
        <v>44</v>
      </c>
      <c r="D9" s="32"/>
      <c r="F9" s="36" t="s">
        <v>58</v>
      </c>
      <c r="G9" s="36">
        <v>119.2</v>
      </c>
      <c r="H9" s="36">
        <v>9</v>
      </c>
      <c r="I9" s="36">
        <v>30</v>
      </c>
      <c r="J9" s="37">
        <f t="shared" si="0"/>
        <v>0.7</v>
      </c>
    </row>
    <row r="10" spans="1:10" x14ac:dyDescent="0.25">
      <c r="A10" s="115" t="s">
        <v>42</v>
      </c>
      <c r="B10" s="115"/>
      <c r="C10" s="115"/>
      <c r="D10" s="115"/>
      <c r="F10" s="36" t="s">
        <v>59</v>
      </c>
      <c r="G10" s="36">
        <v>17.8</v>
      </c>
      <c r="H10" s="36">
        <v>6</v>
      </c>
      <c r="I10" s="36">
        <v>31</v>
      </c>
      <c r="J10" s="37">
        <f t="shared" si="0"/>
        <v>0.80645161290322576</v>
      </c>
    </row>
    <row r="11" spans="1:10" x14ac:dyDescent="0.25">
      <c r="A11" s="115"/>
      <c r="B11" s="115"/>
      <c r="C11" s="115"/>
      <c r="D11" s="115"/>
      <c r="F11" s="36" t="s">
        <v>60</v>
      </c>
      <c r="G11" s="36">
        <v>70.2</v>
      </c>
      <c r="H11" s="36">
        <v>11</v>
      </c>
      <c r="I11" s="36">
        <v>31</v>
      </c>
      <c r="J11" s="37">
        <f t="shared" si="0"/>
        <v>0.64516129032258063</v>
      </c>
    </row>
    <row r="12" spans="1:10" ht="15" customHeight="1" x14ac:dyDescent="0.25">
      <c r="A12" s="115"/>
      <c r="B12" s="116" t="s">
        <v>119</v>
      </c>
      <c r="C12" s="116"/>
      <c r="D12" s="116"/>
      <c r="F12" s="36" t="s">
        <v>61</v>
      </c>
      <c r="G12" s="36">
        <v>25.2</v>
      </c>
      <c r="H12" s="36">
        <v>7</v>
      </c>
      <c r="I12" s="36">
        <v>30</v>
      </c>
      <c r="J12" s="37">
        <f t="shared" si="0"/>
        <v>0.76666666666666672</v>
      </c>
    </row>
    <row r="13" spans="1:10" x14ac:dyDescent="0.25">
      <c r="A13" s="115"/>
      <c r="B13" s="116"/>
      <c r="C13" s="116"/>
      <c r="D13" s="116"/>
      <c r="F13" s="36" t="s">
        <v>62</v>
      </c>
      <c r="G13" s="36">
        <v>54.4</v>
      </c>
      <c r="H13" s="36">
        <v>6</v>
      </c>
      <c r="I13" s="36">
        <v>31</v>
      </c>
      <c r="J13" s="37">
        <f t="shared" si="0"/>
        <v>0.80645161290322576</v>
      </c>
    </row>
    <row r="14" spans="1:10" x14ac:dyDescent="0.25">
      <c r="A14" s="115"/>
      <c r="B14" s="116"/>
      <c r="C14" s="116"/>
      <c r="D14" s="116"/>
      <c r="F14" s="36" t="s">
        <v>63</v>
      </c>
      <c r="G14" s="38">
        <v>48.6</v>
      </c>
      <c r="H14" s="36">
        <v>9</v>
      </c>
      <c r="I14" s="36">
        <v>30</v>
      </c>
      <c r="J14" s="37">
        <f t="shared" si="0"/>
        <v>0.7</v>
      </c>
    </row>
    <row r="15" spans="1:10" x14ac:dyDescent="0.25">
      <c r="A15" s="115"/>
      <c r="B15" s="116"/>
      <c r="C15" s="116"/>
      <c r="D15" s="116"/>
      <c r="F15" s="36" t="s">
        <v>64</v>
      </c>
      <c r="G15" s="36">
        <v>91.4</v>
      </c>
      <c r="H15" s="36">
        <v>6</v>
      </c>
      <c r="I15" s="36">
        <v>31</v>
      </c>
      <c r="J15" s="37">
        <f t="shared" si="0"/>
        <v>0.80645161290322576</v>
      </c>
    </row>
    <row r="16" spans="1:10" x14ac:dyDescent="0.25">
      <c r="A16" s="115"/>
      <c r="B16" s="116"/>
      <c r="C16" s="116"/>
      <c r="D16" s="116"/>
      <c r="F16" s="68" t="s">
        <v>65</v>
      </c>
      <c r="G16" s="6">
        <f>(365-SUM(H4:H15))/365</f>
        <v>0.74794520547945209</v>
      </c>
      <c r="H16" s="2"/>
      <c r="I16" s="28"/>
      <c r="J16" s="2"/>
    </row>
    <row r="17" spans="1:8" x14ac:dyDescent="0.25">
      <c r="A17" s="115"/>
      <c r="B17" s="116"/>
      <c r="C17" s="116"/>
      <c r="D17" s="116"/>
    </row>
    <row r="21" spans="1:8" x14ac:dyDescent="0.25">
      <c r="A21" s="114" t="s">
        <v>66</v>
      </c>
      <c r="B21" s="114" t="s">
        <v>67</v>
      </c>
      <c r="C21" s="114"/>
      <c r="D21" s="114"/>
      <c r="E21" s="114"/>
      <c r="F21" s="114"/>
      <c r="G21" s="114"/>
      <c r="H21" s="114"/>
    </row>
    <row r="22" spans="1:8" x14ac:dyDescent="0.25">
      <c r="A22" s="114"/>
      <c r="B22" s="114" t="s">
        <v>68</v>
      </c>
      <c r="C22" s="114"/>
      <c r="D22" s="114"/>
      <c r="E22" s="114"/>
      <c r="F22" s="114"/>
      <c r="G22" s="114"/>
      <c r="H22" s="114"/>
    </row>
    <row r="23" spans="1:8" x14ac:dyDescent="0.25">
      <c r="A23" s="114"/>
      <c r="B23" s="71" t="s">
        <v>2</v>
      </c>
      <c r="C23" s="71" t="s">
        <v>25</v>
      </c>
      <c r="D23" s="71" t="s">
        <v>71</v>
      </c>
      <c r="E23" s="71" t="s">
        <v>72</v>
      </c>
      <c r="F23" s="71" t="s">
        <v>73</v>
      </c>
      <c r="G23" s="71" t="s">
        <v>4</v>
      </c>
      <c r="H23" s="71" t="s">
        <v>69</v>
      </c>
    </row>
    <row r="24" spans="1:8" x14ac:dyDescent="0.25">
      <c r="A24" s="39" t="s">
        <v>70</v>
      </c>
      <c r="B24" s="77">
        <v>0.17489827604766656</v>
      </c>
      <c r="C24" s="77">
        <v>0.17489827604766656</v>
      </c>
      <c r="D24" s="77">
        <v>0.17489827604766656</v>
      </c>
      <c r="E24" s="77">
        <v>5.4345140567386743</v>
      </c>
      <c r="F24" s="77">
        <v>0.21032135261668511</v>
      </c>
      <c r="G24" s="77">
        <v>1.0383730075038093</v>
      </c>
      <c r="H24" s="77">
        <v>0.24766340643796464</v>
      </c>
    </row>
    <row r="27" spans="1:8" x14ac:dyDescent="0.25">
      <c r="A27" s="25"/>
      <c r="B27" s="25"/>
      <c r="C27" s="25"/>
      <c r="D27" s="25"/>
      <c r="E27" s="25"/>
    </row>
    <row r="28" spans="1:8" x14ac:dyDescent="0.25">
      <c r="A28" s="25"/>
      <c r="B28" s="25"/>
      <c r="C28" s="25"/>
      <c r="D28" s="25"/>
      <c r="E28" s="25"/>
    </row>
    <row r="29" spans="1:8" x14ac:dyDescent="0.25">
      <c r="A29" s="25"/>
      <c r="B29" s="25"/>
      <c r="C29" s="25"/>
      <c r="D29" s="25"/>
      <c r="E29" s="25"/>
    </row>
    <row r="30" spans="1:8" x14ac:dyDescent="0.25">
      <c r="A30" s="25"/>
      <c r="B30" s="25"/>
      <c r="C30" s="25"/>
      <c r="D30" s="25"/>
      <c r="E30" s="25"/>
    </row>
    <row r="31" spans="1:8" x14ac:dyDescent="0.25">
      <c r="A31" s="25"/>
      <c r="B31" s="25"/>
      <c r="C31" s="25"/>
      <c r="D31" s="25"/>
      <c r="E31" s="25"/>
    </row>
    <row r="32" spans="1:8" x14ac:dyDescent="0.25">
      <c r="A32" s="25"/>
      <c r="B32" s="25"/>
      <c r="C32" s="25"/>
      <c r="D32" s="25"/>
      <c r="E32" s="25"/>
    </row>
    <row r="33" spans="1:7" x14ac:dyDescent="0.25">
      <c r="A33" s="25"/>
      <c r="B33" s="25"/>
      <c r="C33" s="25"/>
      <c r="D33" s="25"/>
      <c r="E33" s="25"/>
    </row>
    <row r="34" spans="1:7" x14ac:dyDescent="0.25">
      <c r="A34" s="25"/>
      <c r="B34" s="25"/>
      <c r="C34" s="25"/>
      <c r="D34" s="25"/>
      <c r="E34" s="25"/>
    </row>
    <row r="35" spans="1:7" x14ac:dyDescent="0.25">
      <c r="A35" s="25"/>
      <c r="B35" s="25"/>
      <c r="C35" s="25"/>
      <c r="D35" s="25"/>
      <c r="E35" s="25"/>
      <c r="G35" s="69"/>
    </row>
    <row r="36" spans="1:7" x14ac:dyDescent="0.25">
      <c r="A36" s="25"/>
      <c r="B36" s="25"/>
      <c r="C36" s="25"/>
      <c r="D36" s="25"/>
      <c r="E36" s="25"/>
    </row>
  </sheetData>
  <sheetProtection algorithmName="SHA-512" hashValue="hqOvK+7++DEFhU9u6TgtwZn0jlEPJCVYNCJlcVKFg4wJ12i79noIrb5F24bYhSZ/l0aUjG4rD0M98oSposzMlA==" saltValue="eYVRC5zq9V6J3vwNVyiqww==" spinCount="100000" sheet="1" objects="1" scenarios="1"/>
  <mergeCells count="11">
    <mergeCell ref="F2:J2"/>
    <mergeCell ref="A10:A17"/>
    <mergeCell ref="B12:D17"/>
    <mergeCell ref="A21:A23"/>
    <mergeCell ref="B21:H21"/>
    <mergeCell ref="B22:H22"/>
    <mergeCell ref="A2:D2"/>
    <mergeCell ref="A3:D3"/>
    <mergeCell ref="A4:A5"/>
    <mergeCell ref="B4:D4"/>
    <mergeCell ref="B10:D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C20" sqref="C20"/>
    </sheetView>
  </sheetViews>
  <sheetFormatPr defaultColWidth="16" defaultRowHeight="15" customHeight="1" x14ac:dyDescent="0.2"/>
  <cols>
    <col min="1" max="1" width="30" style="1" bestFit="1" customWidth="1"/>
    <col min="2" max="2" width="20.28515625" style="1" customWidth="1"/>
    <col min="3" max="3" width="16" style="1"/>
    <col min="4" max="4" width="18.28515625" style="1" customWidth="1"/>
    <col min="5" max="5" width="18.7109375" style="1" customWidth="1"/>
    <col min="6" max="16384" width="16" style="1"/>
  </cols>
  <sheetData>
    <row r="1" spans="1:8" ht="15" customHeight="1" x14ac:dyDescent="0.2">
      <c r="A1" s="119" t="s">
        <v>76</v>
      </c>
      <c r="B1" s="119"/>
      <c r="C1" s="2"/>
    </row>
    <row r="2" spans="1:8" ht="15" customHeight="1" x14ac:dyDescent="0.2">
      <c r="A2" s="28" t="s">
        <v>90</v>
      </c>
      <c r="B2" s="28">
        <v>9</v>
      </c>
      <c r="C2" s="2"/>
    </row>
    <row r="3" spans="1:8" ht="15" customHeight="1" x14ac:dyDescent="0.2">
      <c r="A3" s="2"/>
      <c r="B3" s="2"/>
      <c r="C3" s="2"/>
    </row>
    <row r="4" spans="1:8" ht="15" customHeight="1" x14ac:dyDescent="0.2">
      <c r="A4" s="114" t="s">
        <v>111</v>
      </c>
      <c r="B4" s="114"/>
      <c r="C4" s="2"/>
    </row>
    <row r="5" spans="1:8" ht="15" customHeight="1" x14ac:dyDescent="0.2">
      <c r="A5" s="71" t="s">
        <v>112</v>
      </c>
      <c r="B5" s="71" t="s">
        <v>113</v>
      </c>
      <c r="C5" s="2"/>
    </row>
    <row r="6" spans="1:8" ht="15" customHeight="1" x14ac:dyDescent="0.2">
      <c r="A6" s="56">
        <v>29480</v>
      </c>
      <c r="B6" s="57">
        <f>A6/8760</f>
        <v>3.365296803652968</v>
      </c>
      <c r="C6" s="2"/>
      <c r="D6" s="58"/>
    </row>
    <row r="7" spans="1:8" ht="15" customHeight="1" x14ac:dyDescent="0.2">
      <c r="A7" s="41"/>
      <c r="B7" s="41"/>
      <c r="C7" s="41"/>
    </row>
    <row r="8" spans="1:8" ht="15" customHeight="1" x14ac:dyDescent="0.2">
      <c r="A8" s="53" t="s">
        <v>114</v>
      </c>
      <c r="B8" s="53" t="s">
        <v>88</v>
      </c>
      <c r="C8" s="53" t="s">
        <v>89</v>
      </c>
      <c r="G8" s="44"/>
      <c r="H8" s="44"/>
    </row>
    <row r="9" spans="1:8" ht="15" customHeight="1" x14ac:dyDescent="0.2">
      <c r="A9" s="5" t="s">
        <v>87</v>
      </c>
      <c r="B9" s="73">
        <v>202.4</v>
      </c>
      <c r="C9" s="74">
        <f>B9/365</f>
        <v>0.55452054794520544</v>
      </c>
      <c r="D9" s="54"/>
    </row>
    <row r="10" spans="1:8" ht="15" customHeight="1" x14ac:dyDescent="0.2">
      <c r="A10" s="5" t="s">
        <v>86</v>
      </c>
      <c r="B10" s="75">
        <v>310</v>
      </c>
      <c r="C10" s="74">
        <f>B10/365</f>
        <v>0.84931506849315064</v>
      </c>
      <c r="D10" s="54"/>
    </row>
    <row r="11" spans="1:8" ht="15" customHeight="1" x14ac:dyDescent="0.2">
      <c r="A11" s="5"/>
      <c r="B11" s="54"/>
      <c r="C11" s="54"/>
      <c r="D11" s="54"/>
    </row>
  </sheetData>
  <sheetProtection algorithmName="SHA-512" hashValue="pJNzmuCIQewcU52Hpfrb1UcjGeDeyv5RUB+zlU9ckoYRg7aBOI2pGW5zlBKLnYwiMLgu75OqFYTMbZe5UeJv/g==" saltValue="bzDeQu9qkXIar8C0BWuUiA==" spinCount="100000" sheet="1" objects="1" scenarios="1"/>
  <mergeCells count="2">
    <mergeCell ref="A1:B1"/>
    <mergeCell ref="A4:B4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workbookViewId="0">
      <selection activeCell="C18" sqref="C18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11" width="11" customWidth="1"/>
  </cols>
  <sheetData>
    <row r="1" spans="1:12" x14ac:dyDescent="0.25">
      <c r="A1" s="3" t="s">
        <v>123</v>
      </c>
      <c r="C1" s="1"/>
      <c r="F1" s="1"/>
      <c r="G1" s="1"/>
      <c r="H1" s="1"/>
    </row>
    <row r="2" spans="1:12" x14ac:dyDescent="0.25">
      <c r="A2" s="3"/>
      <c r="C2" s="1"/>
      <c r="F2" s="1"/>
      <c r="G2" s="1"/>
      <c r="H2" s="1"/>
    </row>
    <row r="3" spans="1:12" x14ac:dyDescent="0.25">
      <c r="A3" s="78" t="s">
        <v>29</v>
      </c>
      <c r="B3" s="29">
        <v>4.1937865160171146</v>
      </c>
      <c r="C3" s="1"/>
      <c r="F3" s="1"/>
      <c r="G3" s="1"/>
      <c r="H3" s="1"/>
    </row>
    <row r="4" spans="1:12" ht="15" customHeight="1" x14ac:dyDescent="0.25">
      <c r="A4" s="121" t="s">
        <v>0</v>
      </c>
      <c r="B4" s="123" t="s">
        <v>124</v>
      </c>
      <c r="C4" s="123" t="s">
        <v>125</v>
      </c>
      <c r="D4" s="122" t="s">
        <v>126</v>
      </c>
      <c r="E4" s="122" t="s">
        <v>127</v>
      </c>
      <c r="F4" s="121" t="s">
        <v>128</v>
      </c>
      <c r="G4" s="121"/>
      <c r="H4" s="121"/>
      <c r="I4" s="121" t="s">
        <v>1</v>
      </c>
      <c r="J4" s="121"/>
      <c r="K4" s="121"/>
    </row>
    <row r="5" spans="1:12" x14ac:dyDescent="0.25">
      <c r="A5" s="121"/>
      <c r="B5" s="123"/>
      <c r="C5" s="123"/>
      <c r="D5" s="122"/>
      <c r="E5" s="122"/>
      <c r="F5" s="59" t="s">
        <v>24</v>
      </c>
      <c r="G5" s="59" t="s">
        <v>45</v>
      </c>
      <c r="H5" s="59" t="s">
        <v>46</v>
      </c>
      <c r="I5" s="59" t="s">
        <v>24</v>
      </c>
      <c r="J5" s="59" t="s">
        <v>45</v>
      </c>
      <c r="K5" s="59" t="s">
        <v>46</v>
      </c>
    </row>
    <row r="6" spans="1:12" x14ac:dyDescent="0.25">
      <c r="A6" s="64" t="s">
        <v>118</v>
      </c>
      <c r="B6" s="124">
        <v>-20.140716999999999</v>
      </c>
      <c r="C6" s="124">
        <v>-40.223117000000002</v>
      </c>
      <c r="D6" s="65">
        <f>Dados!B6</f>
        <v>3.365296803652968</v>
      </c>
      <c r="E6" s="61">
        <v>11</v>
      </c>
      <c r="F6" s="79">
        <f>'FE-Transferências'!$B$3*0.0016*(($B$3/2.2)^1.3)/(($E6/2)^1.4)</f>
        <v>2.5181562060978948E-4</v>
      </c>
      <c r="G6" s="79">
        <f>'FE-Transferências'!$C$3*0.0016*(($B$3/2.2)^1.3)/(($E6/2)^1.4)</f>
        <v>1.1910198272084636E-4</v>
      </c>
      <c r="H6" s="79">
        <f>'FE-Transferências'!$D$3*0.0016*(($B$3/2.2)^1.3)/(($E6/2)^1.4)</f>
        <v>1.8035443097728166E-5</v>
      </c>
      <c r="I6" s="80">
        <f>F6*$D6</f>
        <v>8.4743430314801298E-4</v>
      </c>
      <c r="J6" s="80">
        <f>G6*$D6</f>
        <v>4.0081352175919528E-4</v>
      </c>
      <c r="K6" s="80">
        <f>H6*$D6</f>
        <v>6.0694619009249578E-5</v>
      </c>
    </row>
    <row r="7" spans="1:12" x14ac:dyDescent="0.25">
      <c r="A7" s="46" t="s">
        <v>107</v>
      </c>
      <c r="B7" s="125"/>
      <c r="C7" s="125"/>
      <c r="D7" s="47">
        <f>Dados!B6</f>
        <v>3.365296803652968</v>
      </c>
      <c r="E7" s="60">
        <v>8.9</v>
      </c>
      <c r="F7" s="81">
        <f>'FE-Transferências'!$B$3*0.0016*(($B$3/2.2)^1.3)/(($E7/2)^1.4)</f>
        <v>3.3875554801099329E-4</v>
      </c>
      <c r="G7" s="82">
        <f>'FE-Transferências'!$C$3*0.0016*(($B$3/2.2)^1.3)/(($E7/2)^1.4)</f>
        <v>1.6022221865384816E-4</v>
      </c>
      <c r="H7" s="82">
        <f>'FE-Transferências'!$D$3*0.0016*(($B$3/2.2)^1.3)/(($E7/2)^1.4)</f>
        <v>2.4262221681868438E-5</v>
      </c>
      <c r="I7" s="83">
        <f t="shared" ref="I7:I10" si="0">F7*$D7</f>
        <v>1.1400129629411053E-3</v>
      </c>
      <c r="J7" s="83">
        <f t="shared" ref="J7:J10" si="1">G7*$D7</f>
        <v>5.3919532030998211E-4</v>
      </c>
      <c r="K7" s="83">
        <f t="shared" ref="K7:K10" si="2">H7*$D7</f>
        <v>8.1649577075511593E-5</v>
      </c>
    </row>
    <row r="8" spans="1:12" x14ac:dyDescent="0.25">
      <c r="A8" s="46" t="s">
        <v>108</v>
      </c>
      <c r="B8" s="125"/>
      <c r="C8" s="125"/>
      <c r="D8" s="47">
        <f>Dados!B6</f>
        <v>3.365296803652968</v>
      </c>
      <c r="E8" s="60">
        <v>8.9</v>
      </c>
      <c r="F8" s="81">
        <f>'FE-Transferências'!$B$3*0.0016*(($B$3/2.2)^1.3)/(($E8/2)^1.4)</f>
        <v>3.3875554801099329E-4</v>
      </c>
      <c r="G8" s="82">
        <f>'FE-Transferências'!$C$3*0.0016*(($B$3/2.2)^1.3)/(($E8/2)^1.4)</f>
        <v>1.6022221865384816E-4</v>
      </c>
      <c r="H8" s="82">
        <f>'FE-Transferências'!$D$3*0.0016*(($B$3/2.2)^1.3)/(($E8/2)^1.4)</f>
        <v>2.4262221681868438E-5</v>
      </c>
      <c r="I8" s="83">
        <f t="shared" si="0"/>
        <v>1.1400129629411053E-3</v>
      </c>
      <c r="J8" s="83">
        <f t="shared" si="1"/>
        <v>5.3919532030998211E-4</v>
      </c>
      <c r="K8" s="83">
        <f t="shared" si="2"/>
        <v>8.1649577075511593E-5</v>
      </c>
      <c r="L8" s="30"/>
    </row>
    <row r="9" spans="1:12" x14ac:dyDescent="0.25">
      <c r="A9" s="46" t="s">
        <v>109</v>
      </c>
      <c r="B9" s="125"/>
      <c r="C9" s="125"/>
      <c r="D9" s="47">
        <f>Dados!B6</f>
        <v>3.365296803652968</v>
      </c>
      <c r="E9" s="60">
        <v>8.9</v>
      </c>
      <c r="F9" s="81">
        <f>'FE-Transferências'!$B$3*0.0016*(($B$3/2.2)^1.3)/(($E9/2)^1.4)</f>
        <v>3.3875554801099329E-4</v>
      </c>
      <c r="G9" s="82">
        <f>'FE-Transferências'!$C$3*0.0016*(($B$3/2.2)^1.3)/(($E9/2)^1.4)</f>
        <v>1.6022221865384816E-4</v>
      </c>
      <c r="H9" s="82">
        <f>'FE-Transferências'!$D$3*0.0016*(($B$3/2.2)^1.3)/(($E9/2)^1.4)</f>
        <v>2.4262221681868438E-5</v>
      </c>
      <c r="I9" s="83">
        <f t="shared" si="0"/>
        <v>1.1400129629411053E-3</v>
      </c>
      <c r="J9" s="83">
        <f t="shared" si="1"/>
        <v>5.3919532030998211E-4</v>
      </c>
      <c r="K9" s="83">
        <f t="shared" si="2"/>
        <v>8.1649577075511593E-5</v>
      </c>
      <c r="L9" s="30"/>
    </row>
    <row r="10" spans="1:12" x14ac:dyDescent="0.25">
      <c r="A10" s="46" t="s">
        <v>110</v>
      </c>
      <c r="B10" s="126"/>
      <c r="C10" s="126"/>
      <c r="D10" s="47">
        <f>Dados!B6</f>
        <v>3.365296803652968</v>
      </c>
      <c r="E10" s="60">
        <v>8.9</v>
      </c>
      <c r="F10" s="81">
        <f>'FE-Transferências'!$B$3*0.0016*(($B$3/2.2)^1.3)/(($E10/2)^1.4)</f>
        <v>3.3875554801099329E-4</v>
      </c>
      <c r="G10" s="82">
        <f>'FE-Transferências'!$C$3*0.0016*(($B$3/2.2)^1.3)/(($E10/2)^1.4)</f>
        <v>1.6022221865384816E-4</v>
      </c>
      <c r="H10" s="82">
        <f>'FE-Transferências'!$D$3*0.0016*(($B$3/2.2)^1.3)/(($E10/2)^1.4)</f>
        <v>2.4262221681868438E-5</v>
      </c>
      <c r="I10" s="83">
        <f t="shared" si="0"/>
        <v>1.1400129629411053E-3</v>
      </c>
      <c r="J10" s="83">
        <f t="shared" si="1"/>
        <v>5.3919532030998211E-4</v>
      </c>
      <c r="K10" s="83">
        <f t="shared" si="2"/>
        <v>8.1649577075511593E-5</v>
      </c>
      <c r="L10" s="30"/>
    </row>
    <row r="11" spans="1:12" x14ac:dyDescent="0.25">
      <c r="A11" s="120" t="s">
        <v>129</v>
      </c>
      <c r="B11" s="120"/>
      <c r="C11" s="120"/>
      <c r="D11" s="120"/>
      <c r="E11" s="120"/>
      <c r="F11" s="120"/>
      <c r="G11" s="120"/>
      <c r="H11" s="120"/>
      <c r="I11" s="27">
        <f>SUM(I6:I10)</f>
        <v>5.4074861549124349E-3</v>
      </c>
      <c r="J11" s="13">
        <f>SUM(J6:J10)</f>
        <v>2.5575948029991241E-3</v>
      </c>
      <c r="K11" s="13">
        <f>SUM(K6:K10)</f>
        <v>3.8729292731129597E-4</v>
      </c>
      <c r="L11" s="17"/>
    </row>
    <row r="12" spans="1:12" x14ac:dyDescent="0.25">
      <c r="C12" s="30"/>
      <c r="D12" s="30"/>
      <c r="E12" s="45"/>
    </row>
    <row r="13" spans="1:12" x14ac:dyDescent="0.25">
      <c r="E13" s="45"/>
    </row>
    <row r="14" spans="1:12" x14ac:dyDescent="0.25">
      <c r="E14" s="2"/>
      <c r="F14" s="2"/>
    </row>
    <row r="15" spans="1:12" ht="15" customHeight="1" x14ac:dyDescent="0.25">
      <c r="A15" s="1"/>
      <c r="B15" s="1"/>
      <c r="C15" s="1"/>
      <c r="E15" s="44"/>
      <c r="F15" s="44"/>
      <c r="G15" s="44"/>
      <c r="H15" s="44"/>
      <c r="I15" s="44"/>
      <c r="J15" s="44"/>
      <c r="K15" s="44"/>
    </row>
    <row r="16" spans="1:12" x14ac:dyDescent="0.25">
      <c r="E16" s="44"/>
      <c r="F16" s="44"/>
      <c r="G16" s="44"/>
      <c r="H16" s="44"/>
      <c r="I16" s="44"/>
      <c r="J16" s="44"/>
      <c r="K16" s="44"/>
    </row>
    <row r="17" spans="1:11" x14ac:dyDescent="0.25">
      <c r="A17" s="30"/>
      <c r="E17" s="44"/>
      <c r="F17" s="44"/>
      <c r="G17" s="44"/>
      <c r="H17" s="44"/>
      <c r="I17" s="44"/>
      <c r="J17" s="44"/>
      <c r="K17" s="44"/>
    </row>
  </sheetData>
  <sheetProtection algorithmName="SHA-512" hashValue="9cRlO3Mj7oTE0gQfcqMX1+HMJorOCinDBMdE2r47rdlymWrSoj9GXO2C88w3uwLbj9dPnuvikLWVwguqpm2j+Q==" saltValue="3GpA9CRVz++pbyAKIsY85A==" spinCount="100000" sheet="1" objects="1" scenarios="1"/>
  <mergeCells count="10">
    <mergeCell ref="A11:H11"/>
    <mergeCell ref="A4:A5"/>
    <mergeCell ref="D4:D5"/>
    <mergeCell ref="E4:E5"/>
    <mergeCell ref="I4:K4"/>
    <mergeCell ref="F4:H4"/>
    <mergeCell ref="B4:B5"/>
    <mergeCell ref="C4:C5"/>
    <mergeCell ref="B6:B10"/>
    <mergeCell ref="C6:C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workbookViewId="0">
      <selection activeCell="F26" sqref="F26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5" style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6" ht="15" customHeight="1" x14ac:dyDescent="0.2">
      <c r="A1" s="127" t="s">
        <v>0</v>
      </c>
      <c r="B1" s="127" t="s">
        <v>16</v>
      </c>
      <c r="C1" s="127" t="s">
        <v>17</v>
      </c>
      <c r="D1" s="123" t="s">
        <v>124</v>
      </c>
      <c r="E1" s="123" t="s">
        <v>125</v>
      </c>
      <c r="F1" s="127" t="s">
        <v>18</v>
      </c>
      <c r="G1" s="127" t="s">
        <v>19</v>
      </c>
      <c r="H1" s="129" t="s">
        <v>1</v>
      </c>
      <c r="I1" s="130"/>
      <c r="J1" s="130"/>
      <c r="K1" s="130"/>
      <c r="L1" s="130"/>
      <c r="M1" s="130"/>
      <c r="N1" s="130"/>
      <c r="P1" s="44"/>
    </row>
    <row r="2" spans="1:16" ht="15" customHeight="1" x14ac:dyDescent="0.2">
      <c r="A2" s="128"/>
      <c r="B2" s="128"/>
      <c r="C2" s="128"/>
      <c r="D2" s="123"/>
      <c r="E2" s="123"/>
      <c r="F2" s="128"/>
      <c r="G2" s="128"/>
      <c r="H2" s="4" t="s">
        <v>2</v>
      </c>
      <c r="I2" s="4" t="s">
        <v>3</v>
      </c>
      <c r="J2" s="4" t="s">
        <v>20</v>
      </c>
      <c r="K2" s="4" t="s">
        <v>5</v>
      </c>
      <c r="L2" s="4" t="s">
        <v>6</v>
      </c>
      <c r="M2" s="4" t="s">
        <v>4</v>
      </c>
      <c r="N2" s="4" t="s">
        <v>130</v>
      </c>
      <c r="P2" s="44"/>
    </row>
    <row r="3" spans="1:16" ht="15" customHeight="1" x14ac:dyDescent="0.2">
      <c r="A3" s="3" t="s">
        <v>85</v>
      </c>
      <c r="B3" s="9">
        <v>155</v>
      </c>
      <c r="C3" s="5" t="s">
        <v>102</v>
      </c>
      <c r="D3" s="124">
        <v>-20.140716999999999</v>
      </c>
      <c r="E3" s="124">
        <v>-40.223117000000002</v>
      </c>
      <c r="F3" s="5">
        <v>1</v>
      </c>
      <c r="G3" s="52">
        <f>Dados!C9</f>
        <v>0.55452054794520544</v>
      </c>
      <c r="H3" s="26">
        <f>(INDEX(FE_Equip,MATCH($C3,Pot_Equip,0),2))*F3*G3/(24)</f>
        <v>8.057583478376639E-4</v>
      </c>
      <c r="I3" s="26">
        <f>H3</f>
        <v>8.057583478376639E-4</v>
      </c>
      <c r="J3" s="26">
        <f>H3</f>
        <v>8.057583478376639E-4</v>
      </c>
      <c r="K3" s="26">
        <f>(INDEX(FE_Equip,MATCH($C3,Pot_Equip,0),3))*F3*G3/(24)</f>
        <v>1.4514347657596788E-2</v>
      </c>
      <c r="L3" s="26">
        <f>(INDEX(FE_Equip,MATCH($C3,Pot_Equip,0),4))*F3*G3/(24)</f>
        <v>1.2536778176606076E-5</v>
      </c>
      <c r="M3" s="26">
        <f>(INDEX(FE_Equip,MATCH($C3,Pot_Equip,0),5))*F3*G3/(24)</f>
        <v>6.7336547636803737E-3</v>
      </c>
      <c r="N3" s="26">
        <f>(INDEX(FE_Equip,MATCH($C3,Pot_Equip,0),6))*F3*G3/(24)</f>
        <v>1.8439423246602849E-3</v>
      </c>
    </row>
    <row r="4" spans="1:16" ht="15" customHeight="1" x14ac:dyDescent="0.2">
      <c r="A4" s="3" t="s">
        <v>86</v>
      </c>
      <c r="B4" s="9">
        <v>124</v>
      </c>
      <c r="C4" s="5" t="s">
        <v>94</v>
      </c>
      <c r="D4" s="125"/>
      <c r="E4" s="125"/>
      <c r="F4" s="5">
        <v>1</v>
      </c>
      <c r="G4" s="52">
        <f>Dados!C10</f>
        <v>0.84931506849315064</v>
      </c>
      <c r="H4" s="26">
        <f>(INDEX(FE_Equip,MATCH($C4,Pot_Equip,0),2))*F4*G4/(24)</f>
        <v>8.5900764343219821E-4</v>
      </c>
      <c r="I4" s="26">
        <f>H4</f>
        <v>8.5900764343219821E-4</v>
      </c>
      <c r="J4" s="26">
        <f>H4</f>
        <v>8.5900764343219821E-4</v>
      </c>
      <c r="K4" s="26">
        <f>(INDEX(FE_Equip,MATCH($C4,Pot_Equip,0),3))*F4*G4/(24)</f>
        <v>1.5251314303033005E-2</v>
      </c>
      <c r="L4" s="26">
        <f>(INDEX(FE_Equip,MATCH($C4,Pot_Equip,0),4))*F4*G4/(24)</f>
        <v>1.9201581490375577E-5</v>
      </c>
      <c r="M4" s="26">
        <f>(INDEX(FE_Equip,MATCH($C4,Pot_Equip,0),5))*F4*G4/(24)</f>
        <v>1.0070102615814919E-2</v>
      </c>
      <c r="N4" s="26">
        <f>(INDEX(FE_Equip,MATCH($C4,Pot_Equip,0),6))*F4*G4/(24)</f>
        <v>1.986785296382972E-3</v>
      </c>
    </row>
    <row r="5" spans="1:16" ht="15" customHeight="1" x14ac:dyDescent="0.2">
      <c r="A5" s="119" t="s">
        <v>129</v>
      </c>
      <c r="B5" s="119"/>
      <c r="C5" s="119"/>
      <c r="D5" s="119"/>
      <c r="E5" s="119"/>
      <c r="F5" s="119"/>
      <c r="G5" s="119"/>
      <c r="H5" s="13">
        <f t="shared" ref="H5:N5" si="0">SUM(H3:H4)</f>
        <v>1.6647659912698621E-3</v>
      </c>
      <c r="I5" s="13">
        <f t="shared" si="0"/>
        <v>1.6647659912698621E-3</v>
      </c>
      <c r="J5" s="13">
        <f t="shared" si="0"/>
        <v>1.6647659912698621E-3</v>
      </c>
      <c r="K5" s="13">
        <f t="shared" si="0"/>
        <v>2.9765661960629793E-2</v>
      </c>
      <c r="L5" s="13">
        <f t="shared" si="0"/>
        <v>3.1738359666981649E-5</v>
      </c>
      <c r="M5" s="13">
        <f t="shared" si="0"/>
        <v>1.6803757379495292E-2</v>
      </c>
      <c r="N5" s="13">
        <f t="shared" si="0"/>
        <v>3.8307276210432567E-3</v>
      </c>
      <c r="O5" s="16"/>
    </row>
    <row r="6" spans="1:16" ht="15" customHeight="1" x14ac:dyDescent="0.2">
      <c r="A6" s="30"/>
      <c r="B6" s="35"/>
      <c r="G6" s="30"/>
      <c r="H6" s="7"/>
      <c r="I6" s="7"/>
      <c r="J6" s="7"/>
      <c r="K6" s="7"/>
      <c r="L6" s="8"/>
      <c r="M6" s="7"/>
      <c r="N6" s="7"/>
    </row>
    <row r="7" spans="1:16" ht="15" customHeight="1" x14ac:dyDescent="0.2">
      <c r="H7" s="41"/>
      <c r="I7" s="41"/>
      <c r="J7" s="41"/>
      <c r="K7" s="41"/>
      <c r="L7" s="41"/>
    </row>
    <row r="8" spans="1:16" ht="15" customHeight="1" x14ac:dyDescent="0.25">
      <c r="A8" s="40"/>
      <c r="B8" s="40"/>
      <c r="C8" s="40"/>
      <c r="D8" s="40"/>
      <c r="E8" s="40"/>
      <c r="F8" s="40"/>
    </row>
  </sheetData>
  <sheetProtection algorithmName="SHA-512" hashValue="ZPOmwpWrESef7TXE+BZvNfbZSb0gd6N3r3Cw4dRDfrjvj/Ho1lB1T4Vww3KZG42HYBUXNJdIEBHSFox0orGWvg==" saltValue="X7tRI2YPLyBdMw45OoRzdQ==" spinCount="100000" sheet="1" objects="1" scenarios="1"/>
  <mergeCells count="11">
    <mergeCell ref="A5:G5"/>
    <mergeCell ref="G1:G2"/>
    <mergeCell ref="H1:N1"/>
    <mergeCell ref="A1:A2"/>
    <mergeCell ref="B1:B2"/>
    <mergeCell ref="C1:C2"/>
    <mergeCell ref="F1:F2"/>
    <mergeCell ref="D1:D2"/>
    <mergeCell ref="E1:E2"/>
    <mergeCell ref="E3:E4"/>
    <mergeCell ref="D3:D4"/>
  </mergeCells>
  <dataValidations count="1">
    <dataValidation type="list" allowBlank="1" showInputMessage="1" showErrorMessage="1" sqref="C3:C4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"/>
  <sheetViews>
    <sheetView topLeftCell="J1" zoomScaleNormal="100" workbookViewId="0">
      <selection activeCell="H11" sqref="H11"/>
    </sheetView>
  </sheetViews>
  <sheetFormatPr defaultRowHeight="15" x14ac:dyDescent="0.25"/>
  <cols>
    <col min="1" max="1" width="15" customWidth="1"/>
    <col min="2" max="2" width="13.85546875" customWidth="1"/>
    <col min="3" max="4" width="11.42578125" customWidth="1"/>
    <col min="5" max="5" width="14.5703125" customWidth="1"/>
    <col min="6" max="6" width="15.42578125" customWidth="1"/>
    <col min="7" max="7" width="13.85546875" customWidth="1"/>
    <col min="8" max="8" width="15.7109375" customWidth="1"/>
    <col min="9" max="9" width="10.42578125" customWidth="1"/>
    <col min="10" max="10" width="11.85546875" customWidth="1"/>
    <col min="11" max="11" width="14.85546875" customWidth="1"/>
    <col min="12" max="12" width="11.5703125" customWidth="1"/>
    <col min="13" max="13" width="12.85546875" customWidth="1"/>
    <col min="14" max="16" width="12.140625" customWidth="1"/>
  </cols>
  <sheetData>
    <row r="1" spans="1:30" ht="15" customHeight="1" x14ac:dyDescent="0.25">
      <c r="A1" s="122" t="s">
        <v>30</v>
      </c>
      <c r="B1" s="122" t="s">
        <v>23</v>
      </c>
      <c r="C1" s="123" t="s">
        <v>124</v>
      </c>
      <c r="D1" s="123" t="s">
        <v>125</v>
      </c>
      <c r="E1" s="122" t="s">
        <v>131</v>
      </c>
      <c r="F1" s="131" t="s">
        <v>132</v>
      </c>
      <c r="G1" s="131" t="s">
        <v>133</v>
      </c>
      <c r="H1" s="122" t="s">
        <v>134</v>
      </c>
      <c r="I1" s="122" t="s">
        <v>140</v>
      </c>
      <c r="J1" s="131" t="s">
        <v>135</v>
      </c>
      <c r="K1" s="133" t="s">
        <v>136</v>
      </c>
      <c r="L1" s="131" t="s">
        <v>74</v>
      </c>
      <c r="M1" s="131" t="s">
        <v>137</v>
      </c>
      <c r="N1" s="135" t="s">
        <v>138</v>
      </c>
      <c r="O1" s="136"/>
      <c r="P1" s="136"/>
      <c r="Q1" s="122" t="s">
        <v>139</v>
      </c>
      <c r="R1" s="122"/>
      <c r="S1" s="122"/>
      <c r="T1" s="122"/>
      <c r="U1" s="122"/>
      <c r="V1" s="122"/>
      <c r="W1" s="122"/>
      <c r="X1" s="121" t="s">
        <v>1</v>
      </c>
      <c r="Y1" s="121"/>
      <c r="Z1" s="121"/>
      <c r="AA1" s="121"/>
      <c r="AB1" s="121"/>
      <c r="AC1" s="121"/>
      <c r="AD1" s="121"/>
    </row>
    <row r="2" spans="1:30" x14ac:dyDescent="0.25">
      <c r="A2" s="122"/>
      <c r="B2" s="122"/>
      <c r="C2" s="123"/>
      <c r="D2" s="123"/>
      <c r="E2" s="122"/>
      <c r="F2" s="132"/>
      <c r="G2" s="132"/>
      <c r="H2" s="122"/>
      <c r="I2" s="122"/>
      <c r="J2" s="132"/>
      <c r="K2" s="134"/>
      <c r="L2" s="132"/>
      <c r="M2" s="132"/>
      <c r="N2" s="72" t="s">
        <v>2</v>
      </c>
      <c r="O2" s="72" t="s">
        <v>3</v>
      </c>
      <c r="P2" s="33" t="s">
        <v>20</v>
      </c>
      <c r="Q2" s="72" t="s">
        <v>2</v>
      </c>
      <c r="R2" s="72" t="s">
        <v>3</v>
      </c>
      <c r="S2" s="72" t="s">
        <v>20</v>
      </c>
      <c r="T2" s="72" t="s">
        <v>5</v>
      </c>
      <c r="U2" s="72" t="s">
        <v>6</v>
      </c>
      <c r="V2" s="72" t="s">
        <v>4</v>
      </c>
      <c r="W2" s="72" t="s">
        <v>130</v>
      </c>
      <c r="X2" s="72" t="s">
        <v>2</v>
      </c>
      <c r="Y2" s="72" t="s">
        <v>3</v>
      </c>
      <c r="Z2" s="72" t="s">
        <v>20</v>
      </c>
      <c r="AA2" s="72" t="s">
        <v>5</v>
      </c>
      <c r="AB2" s="72" t="s">
        <v>6</v>
      </c>
      <c r="AC2" s="72" t="s">
        <v>4</v>
      </c>
      <c r="AD2" s="72" t="s">
        <v>130</v>
      </c>
    </row>
    <row r="3" spans="1:30" x14ac:dyDescent="0.25">
      <c r="A3" s="35" t="s">
        <v>115</v>
      </c>
      <c r="B3" s="28" t="s">
        <v>31</v>
      </c>
      <c r="C3" s="28">
        <v>-20.140585000000002</v>
      </c>
      <c r="D3" s="28">
        <v>-40.222878999999999</v>
      </c>
      <c r="E3" s="28">
        <v>150</v>
      </c>
      <c r="F3" s="48">
        <f>'Emissão Transferências'!D7</f>
        <v>3.365296803652968</v>
      </c>
      <c r="G3" s="70">
        <v>15.46</v>
      </c>
      <c r="H3" s="6">
        <f>2*(F3/G3)</f>
        <v>0.43535534329275133</v>
      </c>
      <c r="I3" s="6">
        <f>E3*H3/1000</f>
        <v>6.5303301493912697E-2</v>
      </c>
      <c r="J3" s="63">
        <v>5.95</v>
      </c>
      <c r="K3" s="5">
        <v>16</v>
      </c>
      <c r="L3" s="5" t="s">
        <v>77</v>
      </c>
      <c r="M3" s="5">
        <v>25</v>
      </c>
      <c r="N3" s="6">
        <f>('FE-Vias'!$D$6*((J3/12)^'FE-Vias'!$D$7)*((K3/3)^'FE-Vias'!$D$8)*'FE-Vias'!$B$9/1000)*'FE-Vias'!$G$16</f>
        <v>1.3429052443005203</v>
      </c>
      <c r="O3" s="6">
        <f>('FE-Vias'!$C$6*((J3/12)^'FE-Vias'!$C$7)*((K3/3)^'FE-Vias'!$C$8)*'FE-Vias'!$B$9/1000)*'FE-Vias'!$G$16</f>
        <v>0.35727916669492232</v>
      </c>
      <c r="P3" s="6">
        <f>('FE-Vias'!$B$6*((J3/12)^'FE-Vias'!$B$7)*((K3/3)^'FE-Vias'!$B$8)*'FE-Vias'!$B$9/1000)*'FE-Vias'!$G$16</f>
        <v>3.5727916669492224E-2</v>
      </c>
      <c r="Q3" s="84">
        <f>'FE-Vias'!B24/1000</f>
        <v>1.7489827604766657E-4</v>
      </c>
      <c r="R3" s="84">
        <f>'FE-Vias'!C24/1000</f>
        <v>1.7489827604766657E-4</v>
      </c>
      <c r="S3" s="84">
        <f>'FE-Vias'!D24/1000</f>
        <v>1.7489827604766657E-4</v>
      </c>
      <c r="T3" s="84">
        <f>'FE-Vias'!E24/1000</f>
        <v>5.4345140567386742E-3</v>
      </c>
      <c r="U3" s="85">
        <f>'FE-Vias'!F24/1000</f>
        <v>2.1032135261668511E-4</v>
      </c>
      <c r="V3" s="84">
        <f>'FE-Vias'!G24/1000</f>
        <v>1.0383730075038094E-3</v>
      </c>
      <c r="W3" s="84">
        <f>'FE-Vias'!H24/1000</f>
        <v>2.4766340643796463E-4</v>
      </c>
      <c r="X3" s="34">
        <f>(N3*I3*(1-M3/100))+(Q3*I3)</f>
        <v>6.5783530969586515E-2</v>
      </c>
      <c r="Y3" s="34">
        <f>(O3*I3*(1-M3/100))+(R3*I3)</f>
        <v>1.7510053289980811E-2</v>
      </c>
      <c r="Z3" s="34">
        <f>(P3*I3*(1-M3/100))+(S3*I3)</f>
        <v>1.7612846203644364E-3</v>
      </c>
      <c r="AA3" s="34">
        <f>T3*I3</f>
        <v>3.548917099201122E-4</v>
      </c>
      <c r="AB3" s="34">
        <f>U3*I3</f>
        <v>1.3734678700534912E-5</v>
      </c>
      <c r="AC3" s="34">
        <f>V3*I3</f>
        <v>6.7809185572162143E-5</v>
      </c>
      <c r="AD3" s="34">
        <f>W3*I3</f>
        <v>1.6173238099627843E-5</v>
      </c>
    </row>
    <row r="4" spans="1:30" x14ac:dyDescent="0.25">
      <c r="A4" s="35" t="s">
        <v>116</v>
      </c>
      <c r="B4" s="28" t="s">
        <v>31</v>
      </c>
      <c r="C4" s="28">
        <v>-20.141105</v>
      </c>
      <c r="D4" s="28">
        <v>-40.222231000000001</v>
      </c>
      <c r="E4" s="28">
        <v>99.2</v>
      </c>
      <c r="F4" s="48">
        <f>2*F3</f>
        <v>6.730593607305936</v>
      </c>
      <c r="G4" s="70">
        <v>15.46</v>
      </c>
      <c r="H4" s="6">
        <f t="shared" ref="H4:H5" si="0">2*(F4/G4)</f>
        <v>0.87071068658550266</v>
      </c>
      <c r="I4" s="6">
        <f>E4*H4/1000</f>
        <v>8.6374500109281868E-2</v>
      </c>
      <c r="J4" s="63">
        <v>5.95</v>
      </c>
      <c r="K4" s="5">
        <v>16</v>
      </c>
      <c r="L4" s="5" t="s">
        <v>77</v>
      </c>
      <c r="M4" s="5">
        <v>25</v>
      </c>
      <c r="N4" s="6">
        <f>('FE-Vias'!$D$6*((J4/12)^'FE-Vias'!$D$7)*((K4/3)^'FE-Vias'!$D$8)*'FE-Vias'!$B$9/1000)*'FE-Vias'!$G$16</f>
        <v>1.3429052443005203</v>
      </c>
      <c r="O4" s="6">
        <f>('FE-Vias'!$C$6*((J4/12)^'FE-Vias'!$C$7)*((K4/3)^'FE-Vias'!$C$8)*'FE-Vias'!$B$9/1000)*'FE-Vias'!$G$16</f>
        <v>0.35727916669492232</v>
      </c>
      <c r="P4" s="6">
        <f>('FE-Vias'!$B$6*((J4/12)^'FE-Vias'!$B$7)*((K4/3)^'FE-Vias'!$B$8)*'FE-Vias'!$B$9/1000)*'FE-Vias'!$G$16</f>
        <v>3.5727916669492224E-2</v>
      </c>
      <c r="Q4" s="84">
        <f>'FE-Vias'!$B$24/1000</f>
        <v>1.7489827604766657E-4</v>
      </c>
      <c r="R4" s="84">
        <f>'FE-Vias'!$C$24/1000</f>
        <v>1.7489827604766657E-4</v>
      </c>
      <c r="S4" s="84">
        <f>'FE-Vias'!$D$24/1000</f>
        <v>1.7489827604766657E-4</v>
      </c>
      <c r="T4" s="84">
        <f>'FE-Vias'!$E$24/1000</f>
        <v>5.4345140567386742E-3</v>
      </c>
      <c r="U4" s="85">
        <f>'FE-Vias'!F24/1000</f>
        <v>2.1032135261668511E-4</v>
      </c>
      <c r="V4" s="84">
        <f>'FE-Vias'!G24/1000</f>
        <v>1.0383730075038094E-3</v>
      </c>
      <c r="W4" s="84">
        <f>'FE-Vias'!$H$24/1000</f>
        <v>2.4766340643796463E-4</v>
      </c>
      <c r="X4" s="34">
        <f t="shared" ref="X4:X5" si="1">(N4*I4*(1-M4/100))+(Q4*I4)</f>
        <v>8.7009683629106452E-2</v>
      </c>
      <c r="Y4" s="34">
        <f t="shared" ref="Y4:Y5" si="2">(O4*I4*(1-M4/100))+(R4*I4)</f>
        <v>2.3159963818214623E-2</v>
      </c>
      <c r="Z4" s="34">
        <f t="shared" ref="Z4:Z5" si="3">(P4*I4*(1-M4/100))+(S4*I4)</f>
        <v>2.3295924578686945E-3</v>
      </c>
      <c r="AA4" s="34">
        <f t="shared" ref="AA4:AA5" si="4">T4*I4</f>
        <v>4.6940343498766846E-4</v>
      </c>
      <c r="AB4" s="34">
        <f t="shared" ref="AB4:AB5" si="5">U4*I4</f>
        <v>1.8166401694574178E-5</v>
      </c>
      <c r="AC4" s="34">
        <f t="shared" ref="AC4:AC5" si="6">V4*I4</f>
        <v>8.9688949450113134E-5</v>
      </c>
      <c r="AD4" s="34">
        <f t="shared" ref="AD4:AD5" si="7">W4*I4</f>
        <v>2.1391802926441096E-5</v>
      </c>
    </row>
    <row r="5" spans="1:30" x14ac:dyDescent="0.25">
      <c r="A5" s="35" t="s">
        <v>117</v>
      </c>
      <c r="B5" s="28" t="s">
        <v>31</v>
      </c>
      <c r="C5" s="28">
        <v>-20.140436000000001</v>
      </c>
      <c r="D5" s="28">
        <v>-40.222102999999997</v>
      </c>
      <c r="E5" s="28">
        <v>99.4</v>
      </c>
      <c r="F5" s="48">
        <f>'Emissão Transferências'!D10</f>
        <v>3.365296803652968</v>
      </c>
      <c r="G5" s="70">
        <v>15.46</v>
      </c>
      <c r="H5" s="6">
        <f t="shared" si="0"/>
        <v>0.43535534329275133</v>
      </c>
      <c r="I5" s="6">
        <f>E5*H5/1000</f>
        <v>4.3274321123299486E-2</v>
      </c>
      <c r="J5" s="63">
        <v>5.95</v>
      </c>
      <c r="K5" s="5">
        <v>16</v>
      </c>
      <c r="L5" s="5" t="s">
        <v>77</v>
      </c>
      <c r="M5" s="5">
        <v>25</v>
      </c>
      <c r="N5" s="6">
        <f>('FE-Vias'!$D$6*((J5/12)^'FE-Vias'!$D$7)*((K5/3)^'FE-Vias'!$D$8)*'FE-Vias'!$B$9/1000)*'FE-Vias'!$G$16</f>
        <v>1.3429052443005203</v>
      </c>
      <c r="O5" s="6">
        <f>('FE-Vias'!$C$6*((J5/12)^'FE-Vias'!$C$7)*((K5/3)^'FE-Vias'!$C$8)*'FE-Vias'!$B$9/1000)*'FE-Vias'!$G$16</f>
        <v>0.35727916669492232</v>
      </c>
      <c r="P5" s="6">
        <f>('FE-Vias'!$B$6*((J5/12)^'FE-Vias'!$B$7)*((K5/3)^'FE-Vias'!$B$8)*'FE-Vias'!$B$9/1000)*'FE-Vias'!$G$16</f>
        <v>3.5727916669492224E-2</v>
      </c>
      <c r="Q5" s="84">
        <f>'FE-Vias'!$B$24/1000</f>
        <v>1.7489827604766657E-4</v>
      </c>
      <c r="R5" s="84">
        <f>'FE-Vias'!$C$24/1000</f>
        <v>1.7489827604766657E-4</v>
      </c>
      <c r="S5" s="84">
        <f>'FE-Vias'!$D$24/1000</f>
        <v>1.7489827604766657E-4</v>
      </c>
      <c r="T5" s="84">
        <f>'FE-Vias'!$E$24/1000</f>
        <v>5.4345140567386742E-3</v>
      </c>
      <c r="U5" s="85">
        <f>'FE-Vias'!F24/1000</f>
        <v>2.1032135261668511E-4</v>
      </c>
      <c r="V5" s="84">
        <f>'FE-Vias'!G24/1000</f>
        <v>1.0383730075038094E-3</v>
      </c>
      <c r="W5" s="84">
        <f>'FE-Vias'!$H$24/1000</f>
        <v>2.4766340643796463E-4</v>
      </c>
      <c r="X5" s="34">
        <f t="shared" si="1"/>
        <v>4.3592553189179345E-2</v>
      </c>
      <c r="Y5" s="34">
        <f t="shared" si="2"/>
        <v>1.1603328646827286E-2</v>
      </c>
      <c r="Z5" s="34">
        <f t="shared" si="3"/>
        <v>1.1671446084281667E-3</v>
      </c>
      <c r="AA5" s="34">
        <f t="shared" si="4"/>
        <v>2.3517490644039439E-4</v>
      </c>
      <c r="AB5" s="34">
        <f t="shared" si="5"/>
        <v>9.1015137522211357E-6</v>
      </c>
      <c r="AC5" s="34">
        <f t="shared" si="6"/>
        <v>4.4934886972486114E-5</v>
      </c>
      <c r="AD5" s="34">
        <f t="shared" si="7"/>
        <v>1.0717465780686718E-5</v>
      </c>
    </row>
    <row r="6" spans="1:30" x14ac:dyDescent="0.25">
      <c r="A6" s="119" t="s">
        <v>129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3">
        <f t="shared" ref="X6:AD6" si="8">SUM(X3:X5)</f>
        <v>0.19638576778787231</v>
      </c>
      <c r="Y6" s="13">
        <f t="shared" si="8"/>
        <v>5.2273345755022724E-2</v>
      </c>
      <c r="Z6" s="13">
        <f t="shared" si="8"/>
        <v>5.2580216866612971E-3</v>
      </c>
      <c r="AA6" s="13">
        <f t="shared" si="8"/>
        <v>1.0594700513481751E-3</v>
      </c>
      <c r="AB6" s="13">
        <f t="shared" si="8"/>
        <v>4.1002594147330224E-5</v>
      </c>
      <c r="AC6" s="13">
        <f t="shared" si="8"/>
        <v>2.0243302199476139E-4</v>
      </c>
      <c r="AD6" s="13">
        <f t="shared" si="8"/>
        <v>4.8282506806755657E-5</v>
      </c>
    </row>
    <row r="7" spans="1:30" x14ac:dyDescent="0.25">
      <c r="J7" s="51"/>
      <c r="K7" s="30"/>
      <c r="L7" s="30"/>
    </row>
    <row r="8" spans="1:30" x14ac:dyDescent="0.25">
      <c r="K8" s="5"/>
    </row>
    <row r="9" spans="1:30" x14ac:dyDescent="0.25">
      <c r="J9" s="62"/>
      <c r="K9" s="5"/>
    </row>
  </sheetData>
  <sheetProtection algorithmName="SHA-512" hashValue="D65Dnd8RhQ9fa7jwxl1uzLN7mz2OzJvs9epZd4QhqMdk0r+9Z7+6+DXmuSWT42dMFBAEbj2A17E3dsBohy4Aiw==" saltValue="N8FQsBaY5M0XGWcgYPhlMA==" spinCount="100000" sheet="1" objects="1" scenarios="1"/>
  <mergeCells count="17">
    <mergeCell ref="A6:W6"/>
    <mergeCell ref="A1:A2"/>
    <mergeCell ref="B1:B2"/>
    <mergeCell ref="C1:C2"/>
    <mergeCell ref="D1:D2"/>
    <mergeCell ref="E1:E2"/>
    <mergeCell ref="G1:G2"/>
    <mergeCell ref="F1:F2"/>
    <mergeCell ref="X1:AD1"/>
    <mergeCell ref="H1:H2"/>
    <mergeCell ref="I1:I2"/>
    <mergeCell ref="J1:J2"/>
    <mergeCell ref="K1:K2"/>
    <mergeCell ref="N1:P1"/>
    <mergeCell ref="Q1:W1"/>
    <mergeCell ref="M1:M2"/>
    <mergeCell ref="L1:L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20" sqref="D20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121" t="s">
        <v>81</v>
      </c>
      <c r="B1" s="121" t="s">
        <v>1</v>
      </c>
      <c r="C1" s="121"/>
      <c r="D1" s="121"/>
      <c r="E1" s="121"/>
      <c r="F1" s="121"/>
      <c r="G1" s="121"/>
      <c r="H1" s="121"/>
    </row>
    <row r="2" spans="1:9" ht="15" customHeight="1" x14ac:dyDescent="0.25">
      <c r="A2" s="121"/>
      <c r="B2" s="59" t="s">
        <v>2</v>
      </c>
      <c r="C2" s="59" t="s">
        <v>3</v>
      </c>
      <c r="D2" s="59" t="s">
        <v>20</v>
      </c>
      <c r="E2" s="59" t="s">
        <v>5</v>
      </c>
      <c r="F2" s="59" t="s">
        <v>6</v>
      </c>
      <c r="G2" s="59" t="s">
        <v>4</v>
      </c>
      <c r="H2" s="59" t="s">
        <v>130</v>
      </c>
    </row>
    <row r="3" spans="1:9" ht="15" customHeight="1" x14ac:dyDescent="0.25">
      <c r="A3" s="66" t="s">
        <v>75</v>
      </c>
      <c r="B3" s="34">
        <f>'Emissão Transferências'!I11</f>
        <v>5.4074861549124349E-3</v>
      </c>
      <c r="C3" s="34">
        <f>'Emissão Transferências'!J11</f>
        <v>2.5575948029991241E-3</v>
      </c>
      <c r="D3" s="34">
        <f>'Emissão Transferências'!K11</f>
        <v>3.8729292731129597E-4</v>
      </c>
      <c r="E3" s="34" t="s">
        <v>82</v>
      </c>
      <c r="F3" s="34" t="s">
        <v>82</v>
      </c>
      <c r="G3" s="34" t="s">
        <v>82</v>
      </c>
      <c r="H3" s="34" t="s">
        <v>82</v>
      </c>
    </row>
    <row r="4" spans="1:9" ht="15" customHeight="1" x14ac:dyDescent="0.25">
      <c r="A4" s="66" t="s">
        <v>78</v>
      </c>
      <c r="B4" s="34">
        <f>'Emissão Maq e Equip'!H5</f>
        <v>1.6647659912698621E-3</v>
      </c>
      <c r="C4" s="34">
        <f>'Emissão Maq e Equip'!I5</f>
        <v>1.6647659912698621E-3</v>
      </c>
      <c r="D4" s="34">
        <f>'Emissão Maq e Equip'!J5</f>
        <v>1.6647659912698621E-3</v>
      </c>
      <c r="E4" s="34">
        <f>'Emissão Maq e Equip'!K5</f>
        <v>2.9765661960629793E-2</v>
      </c>
      <c r="F4" s="34">
        <f>'Emissão Maq e Equip'!L5</f>
        <v>3.1738359666981649E-5</v>
      </c>
      <c r="G4" s="34">
        <f>'Emissão Maq e Equip'!M5</f>
        <v>1.6803757379495292E-2</v>
      </c>
      <c r="H4" s="34">
        <f>'Emissão Maq e Equip'!N5</f>
        <v>3.8307276210432567E-3</v>
      </c>
    </row>
    <row r="5" spans="1:9" ht="15" customHeight="1" x14ac:dyDescent="0.25">
      <c r="A5" s="66" t="s">
        <v>79</v>
      </c>
      <c r="B5" s="34">
        <f>'Emissão Vias '!X6</f>
        <v>0.19638576778787231</v>
      </c>
      <c r="C5" s="34">
        <f>'Emissão Vias '!Y6</f>
        <v>5.2273345755022724E-2</v>
      </c>
      <c r="D5" s="34">
        <f>'Emissão Vias '!Z6</f>
        <v>5.2580216866612971E-3</v>
      </c>
      <c r="E5" s="34">
        <f>'Emissão Vias '!AA6</f>
        <v>1.0594700513481751E-3</v>
      </c>
      <c r="F5" s="34">
        <f>'Emissão Vias '!AB6</f>
        <v>4.1002594147330224E-5</v>
      </c>
      <c r="G5" s="34">
        <f>'Emissão Vias '!AC6</f>
        <v>2.0243302199476139E-4</v>
      </c>
      <c r="H5" s="34">
        <f>'Emissão Vias '!AD6</f>
        <v>4.8282506806755657E-5</v>
      </c>
    </row>
    <row r="6" spans="1:9" ht="15" customHeight="1" x14ac:dyDescent="0.25">
      <c r="A6" s="66" t="s">
        <v>80</v>
      </c>
      <c r="B6" s="34">
        <v>2.1950249922069385</v>
      </c>
      <c r="C6" s="34">
        <v>1.0975124961034692</v>
      </c>
      <c r="D6" s="34">
        <v>0.16462687441552037</v>
      </c>
      <c r="E6" s="34" t="s">
        <v>82</v>
      </c>
      <c r="F6" s="34" t="s">
        <v>82</v>
      </c>
      <c r="G6" s="34" t="s">
        <v>82</v>
      </c>
      <c r="H6" s="34" t="s">
        <v>82</v>
      </c>
    </row>
    <row r="7" spans="1:9" ht="15" customHeight="1" x14ac:dyDescent="0.25">
      <c r="A7" s="71" t="s">
        <v>129</v>
      </c>
      <c r="B7" s="67">
        <f t="shared" ref="B7:H7" si="0">SUM(B3:B6)</f>
        <v>2.3984830121409932</v>
      </c>
      <c r="C7" s="67">
        <f t="shared" si="0"/>
        <v>1.1540082026527609</v>
      </c>
      <c r="D7" s="67">
        <f t="shared" si="0"/>
        <v>0.17193695502076284</v>
      </c>
      <c r="E7" s="67">
        <f t="shared" si="0"/>
        <v>3.0825132011977969E-2</v>
      </c>
      <c r="F7" s="67">
        <f t="shared" si="0"/>
        <v>7.2740953814311873E-5</v>
      </c>
      <c r="G7" s="67">
        <f t="shared" si="0"/>
        <v>1.7006190401490054E-2</v>
      </c>
      <c r="H7" s="67">
        <f t="shared" si="0"/>
        <v>3.8790101278500123E-3</v>
      </c>
      <c r="I7" s="43"/>
    </row>
    <row r="9" spans="1:9" ht="15" customHeight="1" x14ac:dyDescent="0.25">
      <c r="A9" s="2" t="s">
        <v>141</v>
      </c>
    </row>
  </sheetData>
  <sheetProtection algorithmName="SHA-512" hashValue="jMs1aTUDjCrs280x33vB0Qdc7iTeSVGPw+uY9HFOnhGbX+ZI4ihwxgyZvZ9BftvDM5ginSDFyCcqsVaMYyiAnw==" saltValue="HdUb3ZXpURm83z8HNo7ixQ==" spinCount="100000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FE-Maq e Equip</vt:lpstr>
      <vt:lpstr>FE-Transferências</vt:lpstr>
      <vt:lpstr>FE-Vias</vt:lpstr>
      <vt:lpstr>Dados</vt:lpstr>
      <vt:lpstr>Emissão Transferências</vt:lpstr>
      <vt:lpstr>Emissão Maq e Equip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2019-06-06T20:39:52Z</dcterms:modified>
</cp:coreProperties>
</file>