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Concrevit - Vila Velha\"/>
    </mc:Choice>
  </mc:AlternateContent>
  <bookViews>
    <workbookView xWindow="0" yWindow="0" windowWidth="24000" windowHeight="9135" tabRatio="911" activeTab="7"/>
  </bookViews>
  <sheets>
    <sheet name="FE-Transferências" sheetId="26" r:id="rId1"/>
    <sheet name="FE-Maq e Equip" sheetId="23" r:id="rId2"/>
    <sheet name="Emissão Maq e Equip" sheetId="24" r:id="rId3"/>
    <sheet name="Dados" sheetId="32" r:id="rId4"/>
    <sheet name="Emissão Saídas dos Filtros " sheetId="33"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2" l="1"/>
  <c r="E7" i="33" s="1"/>
  <c r="F7" i="33" s="1"/>
  <c r="H7" i="33" s="1"/>
  <c r="I7" i="33" s="1"/>
  <c r="B12" i="32"/>
  <c r="E6" i="33" s="1"/>
  <c r="F6" i="33" s="1"/>
  <c r="H6" i="33" s="1"/>
  <c r="B11" i="32"/>
  <c r="E5" i="33" s="1"/>
  <c r="I6" i="33" l="1"/>
  <c r="J6" i="33"/>
  <c r="J7" i="33"/>
  <c r="G5" i="24" l="1"/>
  <c r="F5" i="24"/>
  <c r="B5" i="24"/>
  <c r="C14" i="27" l="1"/>
  <c r="C12" i="27"/>
  <c r="C10" i="27"/>
  <c r="L5" i="24" l="1"/>
  <c r="K5" i="24"/>
  <c r="J5" i="24"/>
  <c r="I5" i="24"/>
  <c r="H5" i="24"/>
  <c r="F5" i="33" l="1"/>
  <c r="H5" i="33" s="1"/>
  <c r="H8" i="33" s="1"/>
  <c r="J5" i="33" l="1"/>
  <c r="J8" i="33" s="1"/>
  <c r="I5" i="33"/>
  <c r="B6" i="28"/>
  <c r="A5" i="24"/>
  <c r="I8" i="33" l="1"/>
  <c r="C6" i="28" s="1"/>
  <c r="D6" i="28"/>
  <c r="R5" i="24" l="1"/>
  <c r="P5" i="24"/>
  <c r="P6" i="24" s="1"/>
  <c r="B3" i="27"/>
  <c r="F15" i="27" s="1"/>
  <c r="B2" i="27"/>
  <c r="Q5" i="24" l="1"/>
  <c r="S5" i="24"/>
  <c r="M5" i="24"/>
  <c r="F13" i="27"/>
  <c r="F14" i="27"/>
  <c r="F12" i="27"/>
  <c r="J10" i="27" l="1"/>
  <c r="L15" i="27" l="1"/>
  <c r="J15" i="27"/>
  <c r="K14" i="27"/>
  <c r="K15" i="27"/>
  <c r="L14" i="27"/>
  <c r="J14" i="27"/>
  <c r="K10" i="27"/>
  <c r="L13" i="27"/>
  <c r="O13" i="27" s="1"/>
  <c r="L12" i="27"/>
  <c r="O12" i="27" s="1"/>
  <c r="K13" i="27"/>
  <c r="N13" i="27" s="1"/>
  <c r="K12" i="27"/>
  <c r="N12" i="27" s="1"/>
  <c r="J13" i="27"/>
  <c r="M13" i="27" s="1"/>
  <c r="J12" i="27"/>
  <c r="M12" i="27" s="1"/>
  <c r="F11" i="27"/>
  <c r="L11" i="27"/>
  <c r="L10" i="27"/>
  <c r="K11" i="27"/>
  <c r="J11" i="27"/>
  <c r="O15" i="27" l="1"/>
  <c r="M15" i="27"/>
  <c r="N15" i="27"/>
  <c r="M11" i="27"/>
  <c r="N11" i="27"/>
  <c r="O11" i="27"/>
  <c r="F10" i="27"/>
  <c r="H16" i="26"/>
  <c r="H15" i="26"/>
  <c r="N14" i="27" l="1"/>
  <c r="O14" i="27"/>
  <c r="M14" i="27"/>
  <c r="M10" i="27"/>
  <c r="N10" i="27"/>
  <c r="O10" i="27"/>
  <c r="O16" i="27" l="1"/>
  <c r="D3" i="28" s="1"/>
  <c r="N16" i="27"/>
  <c r="C3" i="28" s="1"/>
  <c r="M16" i="27"/>
  <c r="B3" i="28" s="1"/>
  <c r="R6" i="24" l="1"/>
  <c r="G4" i="28" s="1"/>
  <c r="G7" i="28" s="1"/>
  <c r="M6" i="24"/>
  <c r="B4" i="28" s="1"/>
  <c r="B7" i="28" s="1"/>
  <c r="O5" i="24"/>
  <c r="N5" i="24"/>
  <c r="S6" i="24"/>
  <c r="H4" i="28" s="1"/>
  <c r="H7" i="28" s="1"/>
  <c r="Q6" i="24"/>
  <c r="F4" i="28" s="1"/>
  <c r="F7" i="28" s="1"/>
  <c r="E4" i="28"/>
  <c r="E7" i="28" s="1"/>
  <c r="N6" i="24" l="1"/>
  <c r="C4" i="28" s="1"/>
  <c r="C7" i="28" s="1"/>
  <c r="O6" i="24"/>
  <c r="D4" i="28" s="1"/>
  <c r="D7"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Andrielly Moutinho Knupp</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4.xml><?xml version="1.0" encoding="utf-8"?>
<comments xmlns="http://schemas.openxmlformats.org/spreadsheetml/2006/main">
  <authors>
    <author>Gabriel Aarão Gonçalves</author>
  </authors>
  <commentList>
    <comment ref="B11" authorId="0" shapeId="0">
      <text>
        <r>
          <rPr>
            <sz val="9"/>
            <color indexed="81"/>
            <rFont val="Segoe UI"/>
            <family val="2"/>
          </rPr>
          <t xml:space="preserve">A capacidade de permeabilidade de cada filtro é de 9,357576 m³/min.
Cada filtro possui 4 mangas
</t>
        </r>
      </text>
    </comment>
    <comment ref="C11" authorId="0" shapeId="0">
      <text>
        <r>
          <rPr>
            <sz val="9"/>
            <color indexed="81"/>
            <rFont val="Segoe UI"/>
            <family val="2"/>
          </rPr>
          <t xml:space="preserve">Temperatura de trabalho não fornecida pela empresa. Portanto, foi considerado o valor médio de 35ºC, que corresponde a a temperatura de trabalho da Granito Concreto VV, que utiliza o filtro de mangas com a mesma finalidade
</t>
        </r>
      </text>
    </comment>
    <comment ref="B12" authorId="0" shapeId="0">
      <text>
        <r>
          <rPr>
            <sz val="9"/>
            <color indexed="81"/>
            <rFont val="Segoe UI"/>
            <family val="2"/>
          </rPr>
          <t xml:space="preserve">A capacidade de permeabilidade de cada filtro é de 9,357576 m³/min.
Cada filtro possui 4 mangas
</t>
        </r>
      </text>
    </comment>
    <comment ref="C12" authorId="0" shapeId="0">
      <text>
        <r>
          <rPr>
            <sz val="9"/>
            <color indexed="81"/>
            <rFont val="Segoe UI"/>
            <family val="2"/>
          </rPr>
          <t xml:space="preserve">Temperatura de trabalho não fornecida pela empresa. Portanto, foi considerado o valor médio de 35ºC, que corresponde a a temperatura de trabalho da Granito Concreto VV, que utiliza o filtro de mangas com a mesma finalidade
</t>
        </r>
      </text>
    </comment>
    <comment ref="B13" authorId="0" shapeId="0">
      <text>
        <r>
          <rPr>
            <sz val="9"/>
            <color indexed="81"/>
            <rFont val="Segoe UI"/>
            <family val="2"/>
          </rPr>
          <t xml:space="preserve">A capacidade de permeabilidade de cada filtro é de 9,357576 m³/min.
Cada filtro possui 4 mangas
</t>
        </r>
      </text>
    </comment>
    <comment ref="C13" authorId="0" shapeId="0">
      <text>
        <r>
          <rPr>
            <sz val="9"/>
            <color indexed="81"/>
            <rFont val="Segoe UI"/>
            <family val="2"/>
          </rPr>
          <t xml:space="preserve">Temperatura de trabalho não fornecida pela empresa. Portanto, foi considerado o valor médio de 35ºC, que corresponde a a temperatura de trabalho da Granito Concreto VV, que utiliza o filtro de mangas com a mesma finalidade
</t>
        </r>
      </text>
    </comment>
    <comment ref="B18" authorId="0" shapeId="0">
      <text>
        <r>
          <rPr>
            <sz val="9"/>
            <color indexed="81"/>
            <rFont val="Segoe UI"/>
            <family val="2"/>
          </rPr>
          <t xml:space="preserve">Foi adicionado esse equipamento pois consta no fluxograma do processo produtivo
</t>
        </r>
      </text>
    </comment>
    <comment ref="B23" authorId="0" shapeId="0">
      <text>
        <r>
          <rPr>
            <sz val="9"/>
            <color indexed="81"/>
            <rFont val="Segoe UI"/>
            <family val="2"/>
          </rPr>
          <t xml:space="preserve">Não há informações sobre a aplicação desse sistema de controle. Portanto, essa medida não foi considerada </t>
        </r>
      </text>
    </comment>
    <comment ref="B27" authorId="0" shapeId="0">
      <text>
        <r>
          <rPr>
            <sz val="9"/>
            <color indexed="81"/>
            <rFont val="Segoe UI"/>
            <family val="2"/>
          </rPr>
          <t xml:space="preserve">Não há informações mais detalhadas sobre a posição da cortina verde. Portanto, essa medida de controle não foi considerada
</t>
        </r>
      </text>
    </comment>
  </commentList>
</comments>
</file>

<file path=xl/comments5.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Não há chaminé no filtro de mangas</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 ref="A6" authorId="0" shapeId="0">
      <text>
        <r>
          <rPr>
            <sz val="9"/>
            <color indexed="81"/>
            <rFont val="Segoe UI"/>
            <family val="2"/>
          </rPr>
          <t>Não há chaminé no filtro de mangas</t>
        </r>
      </text>
    </comment>
    <comment ref="G6"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 ref="A7" authorId="0" shapeId="0">
      <text>
        <r>
          <rPr>
            <sz val="9"/>
            <color indexed="81"/>
            <rFont val="Segoe UI"/>
            <family val="2"/>
          </rPr>
          <t>Não há chaminé no filtro de mangas</t>
        </r>
      </text>
    </comment>
    <comment ref="G7"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6.xml><?xml version="1.0" encoding="utf-8"?>
<comments xmlns="http://schemas.openxmlformats.org/spreadsheetml/2006/main">
  <authors>
    <author>Gabriel Aarão Gonçalves</author>
  </authors>
  <commentList>
    <comment ref="A4" authorId="0" shapeId="0">
      <text>
        <r>
          <rPr>
            <sz val="9"/>
            <color indexed="81"/>
            <rFont val="Segoe UI"/>
            <family val="2"/>
          </rPr>
          <t xml:space="preserve">Velocidade média do ano de 2015 da Estação Aeroporto
</t>
        </r>
      </text>
    </comment>
    <comment ref="E8" authorId="0" shapeId="0">
      <text>
        <r>
          <rPr>
            <sz val="9"/>
            <color indexed="81"/>
            <rFont val="Segoe UI"/>
            <family val="2"/>
          </rPr>
          <t>WRAP (2006) - Fugitive Dust Handobook</t>
        </r>
      </text>
    </comment>
    <comment ref="I10" authorId="0" shapeId="0">
      <text>
        <r>
          <rPr>
            <sz val="9"/>
            <color indexed="81"/>
            <rFont val="Segoe UI"/>
            <family val="2"/>
          </rPr>
          <t xml:space="preserve">Considerado um valor médio </t>
        </r>
        <r>
          <rPr>
            <sz val="9"/>
            <color indexed="81"/>
            <rFont val="Segoe UI"/>
            <family val="2"/>
          </rPr>
          <t xml:space="preserve">
</t>
        </r>
      </text>
    </comment>
    <comment ref="C11"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1" authorId="0" shapeId="0">
      <text>
        <r>
          <rPr>
            <sz val="9"/>
            <color indexed="81"/>
            <rFont val="Segoe UI"/>
            <family val="2"/>
          </rPr>
          <t xml:space="preserve">Considerado um valor médio </t>
        </r>
        <r>
          <rPr>
            <sz val="9"/>
            <color indexed="81"/>
            <rFont val="Segoe UI"/>
            <family val="2"/>
          </rPr>
          <t xml:space="preserve">
</t>
        </r>
      </text>
    </comment>
    <comment ref="I12" authorId="0" shapeId="0">
      <text>
        <r>
          <rPr>
            <sz val="9"/>
            <color indexed="81"/>
            <rFont val="Segoe UI"/>
            <family val="2"/>
          </rPr>
          <t xml:space="preserve">Considerado um valor médio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3" authorId="0" shapeId="0">
      <text>
        <r>
          <rPr>
            <sz val="9"/>
            <color indexed="81"/>
            <rFont val="Segoe UI"/>
            <family val="2"/>
          </rPr>
          <t xml:space="preserve">Considerado um valor médio 
</t>
        </r>
      </text>
    </comment>
    <comment ref="I14" authorId="0" shapeId="0">
      <text>
        <r>
          <rPr>
            <sz val="9"/>
            <color indexed="81"/>
            <rFont val="Segoe UI"/>
            <family val="2"/>
          </rPr>
          <t xml:space="preserve">Considerado um valor médio </t>
        </r>
        <r>
          <rPr>
            <sz val="9"/>
            <color indexed="81"/>
            <rFont val="Segoe UI"/>
            <family val="2"/>
          </rPr>
          <t xml:space="preserve">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5"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<sst xmlns="http://schemas.openxmlformats.org/spreadsheetml/2006/main" count="243" uniqueCount="171">
  <si>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</si>
  <si>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</si>
  <si>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</si>
  <si>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</si>
  <si>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</si>
  <si>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</si>
  <si>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</si>
  <si>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</si>
  <si>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</si>
  <si>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</si>
  <si>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</si>
  <si>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</si>
  <si>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</si>
  <si>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</si>
  <si>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</si>
  <si>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</si>
  <si>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</si>
  <si>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</si>
  <si>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</si>
  <si>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</si>
  <si>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</si>
  <si>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</si>
  <si>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</si>
  <si>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</si>
  <si>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</si>
  <si>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</si>
  <si>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</si>
  <si>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</si>
  <si>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</si>
  <si>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</si>
  <si>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</si>
  <si>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</si>
  <si>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</si>
  <si>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</si>
  <si>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</si>
  <si>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</si>
  <si>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</si>
  <si>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</si>
  <si>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</si>
  <si>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</si>
  <si>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</si>
  <si>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</si>
  <si>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</si>
  <si>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</si>
  <si>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</si>
  <si>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</si>
  <si>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</si>
  <si>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</si>
  <si>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</si>
  <si>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</si>
  <si>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</si>
  <si>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</si>
  <si>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</si>
  <si>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</si>
  <si>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</si>
  <si>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</si>
  <si>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</si>
  <si>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</si>
  <si>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</si>
  <si>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</si>
  <si>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</si>
  <si>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</si>
  <si>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Medidas de controle</t>
  </si>
  <si>
    <t>Filtro de mangas</t>
  </si>
  <si>
    <t>Máquinas e Equipamentos</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</si>
  <si>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</si>
  <si>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</si>
  <si>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</si>
  <si>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</si>
  <si>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</si>
  <si>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</si>
  <si>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</si>
  <si>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</si>
  <si>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</si>
  <si>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</si>
  <si>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</si>
  <si>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</si>
  <si>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</si>
  <si>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</si>
  <si>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</si>
  <si>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</si>
  <si>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</si>
  <si>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</si>
  <si>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</si>
  <si>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</si>
  <si>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</si>
  <si>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</si>
  <si>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</si>
  <si>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</si>
  <si>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</si>
  <si>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</si>
  <si>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</si>
  <si>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</si>
  <si>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</si>
  <si>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</si>
  <si>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</si>
  <si>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</si>
  <si>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</si>
  <si>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</si>
  <si>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</si>
  <si>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</si>
  <si>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</si>
  <si>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</si>
  <si>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</si>
  <si>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</si>
  <si>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</si>
  <si>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</si>
  <si>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</si>
  <si>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</si>
  <si>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</si>
  <si>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</si>
  <si>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</si>
  <si>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</si>
  <si>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LG 938</t>
  </si>
  <si>
    <t>13.573 L</t>
  </si>
  <si>
    <t>Pá Carregadeira 40</t>
  </si>
  <si>
    <t>Consumo de matéria prima - ano 2015 (t)</t>
  </si>
  <si>
    <t>Local</t>
  </si>
  <si>
    <t>Medida</t>
  </si>
  <si>
    <t>Área interna do ponto de carga</t>
  </si>
  <si>
    <t>Sistema de sucção de MP</t>
  </si>
  <si>
    <t>Aspersão em água</t>
  </si>
  <si>
    <t>Descarga de cimento</t>
  </si>
  <si>
    <t>Pilhas de areia e brita</t>
  </si>
  <si>
    <t>Periferia do terreno</t>
  </si>
  <si>
    <t>Cortina verde</t>
  </si>
  <si>
    <t>Quantidade areia  (t/h):</t>
  </si>
  <si>
    <t xml:space="preserve">TR - Caminhão / Pátio de areia </t>
  </si>
  <si>
    <t>Filtro de Mangas</t>
  </si>
  <si>
    <t>Fonte: Informações enviadas pelo empreendimento através dos Ofícios IEMA N° 454/2016</t>
  </si>
  <si>
    <t>Filtro</t>
  </si>
  <si>
    <t>Capacidade de permeabilidade (m³/min)</t>
  </si>
  <si>
    <t>Temperatura de Trabalho (ºC)</t>
  </si>
  <si>
    <t>Tipo de Controle</t>
  </si>
  <si>
    <t>Vazão do Filtro de Mangas
 [m³/h]</t>
  </si>
  <si>
    <t>Vazão do Filtro de Mangas
 [Nm³/h]</t>
  </si>
  <si>
    <t>Taxa de Emissão
 [kg/h]</t>
  </si>
  <si>
    <t xml:space="preserve">Funcionamento: 07 às 11 e 12 às 18 (horas): </t>
  </si>
  <si>
    <t>TR - Pá carregadeira (Areia) / Silo</t>
  </si>
  <si>
    <t>TR - Pá carregadeira (Brita) / Silo</t>
  </si>
  <si>
    <t>TR - Mistura Silo (Areia)</t>
  </si>
  <si>
    <t>TR - Mistura Silo (Brita)</t>
  </si>
  <si>
    <t>Concentração
 [mg/Nm³]</t>
  </si>
  <si>
    <t>Fator de Emissão [kg/h]</t>
  </si>
  <si>
    <t>Latitude [⁰]</t>
  </si>
  <si>
    <t>Longitude [⁰]</t>
  </si>
  <si>
    <t>Filtro de Mangas  1</t>
  </si>
  <si>
    <t>Filtro de Mangas  2</t>
  </si>
  <si>
    <t>Filtro de Mangas  3</t>
  </si>
  <si>
    <t>Saída do Filtro de Mangas</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</si>
  <si>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</si>
  <si>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</si>
  <si>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</si>
  <si>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Fonte: AP-42 (USEPA, 2006) - https://www3.epa.gov/ttn/chief/ap42/ch13/final/c13s0204.pdf</t>
  </si>
  <si>
    <t>Fonte: Informações enviadas pelo empreendimento através do Ofício IEMA N° 454/2016</t>
  </si>
  <si>
    <t>Item</t>
  </si>
  <si>
    <t>Equipamento</t>
  </si>
  <si>
    <t>Modelo</t>
  </si>
  <si>
    <t>Potência (hp)</t>
  </si>
  <si>
    <t>Horas Trabalhadas</t>
  </si>
  <si>
    <t>Consumo de Combustível (L/ano)</t>
  </si>
  <si>
    <t>Latitude [º]</t>
  </si>
  <si>
    <t>Longitude [º]</t>
  </si>
  <si>
    <t>VOC</t>
  </si>
  <si>
    <t>Saída do Filtro de Mangas 1 (silo 1)</t>
  </si>
  <si>
    <t>Saída do Filtro de Mangas 2 (silo 2)</t>
  </si>
  <si>
    <t>Saída do Filtro de Mangas 3 (silo 3)</t>
  </si>
  <si>
    <t>Nota: As principais matérias primas utilizadas são a brita, a areia e o cimento. As emissões relacionadas à movimentação/armazenamento do cimento foram estimadas na aba: "Emissão Saída do Filtro".</t>
  </si>
  <si>
    <t>Velocidade do Vento (m/s):</t>
  </si>
  <si>
    <t>Altura [m]</t>
  </si>
  <si>
    <t>Nota: "Erosão Eólica" foi calculada na Planilha: Memorial_Concrevit_Vila_Velha_Erosao_Eolica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</si>
</sst>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000"/>
    <numFmt numFmtId="168" formatCode="0.0"/>
    <numFmt numFmtId="169" formatCode="[&gt;=0.005]\ #,##0.00;[&lt;0.005]&quot;&lt;0,01&quot;"/>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17">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top/>
      <bottom style="thin">
        <color theme="0"/>
      </bottom>
      <diagonal/>
    </border>
    <border>
      <left/>
      <right/>
      <top/>
      <bottom style="thin">
        <color theme="0"/>
      </bottom>
      <diagonal/>
    </border>
    <border>
      <left/>
      <right style="thin">
        <color theme="0"/>
      </right>
      <top/>
      <bottom/>
      <diagonal/>
    </border>
  </borders>
  <cellStyleXfs count="2">
    <xf numFmtId="0" fontId="0" fillId="0" borderId="0"/>
    <xf numFmtId="0" fontId="1" fillId="0" borderId="0"/>
  </cellStyleXfs>
  <cellXfs count="102">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0" fillId="0" borderId="0" xfId="0" applyNumberFormat="1"/>
    <xf numFmtId="164" fontId="1" fillId="0" borderId="1" xfId="0" applyNumberFormat="1" applyFont="1" applyFill="1" applyBorder="1" applyAlignment="1">
      <alignment horizontal="center" vertical="center"/>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1" fontId="1" fillId="0"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xf numFmtId="0" fontId="1" fillId="0" borderId="0" xfId="0" applyFont="1" applyAlignment="1">
      <alignment horizontal="center"/>
    </xf>
    <xf numFmtId="169" fontId="1" fillId="0" borderId="0" xfId="0" applyNumberFormat="1" applyFont="1" applyFill="1" applyAlignment="1">
      <alignment horizontal="center" vertical="center"/>
    </xf>
    <xf numFmtId="0" fontId="1" fillId="0" borderId="0" xfId="0" applyFont="1" applyAlignment="1">
      <alignment horizontal="center"/>
    </xf>
    <xf numFmtId="0" fontId="5" fillId="2" borderId="1" xfId="0" applyFont="1" applyFill="1" applyBorder="1" applyAlignment="1">
      <alignment horizontal="center" vertical="center"/>
    </xf>
    <xf numFmtId="0" fontId="11" fillId="0" borderId="0" xfId="0" applyFont="1" applyAlignment="1">
      <alignment vertical="center"/>
    </xf>
    <xf numFmtId="0" fontId="1" fillId="0" borderId="0" xfId="0" applyFont="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166" fontId="1" fillId="0" borderId="0" xfId="0" applyNumberFormat="1" applyFont="1" applyAlignment="1">
      <alignment horizontal="center" vertical="center"/>
    </xf>
    <xf numFmtId="169"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0" borderId="0" xfId="0" applyFont="1" applyAlignment="1">
      <alignment horizontal="lef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1" fillId="3" borderId="0" xfId="0" applyFont="1" applyFill="1" applyAlignment="1">
      <alignment horizontal="center" vertical="center"/>
    </xf>
    <xf numFmtId="0" fontId="5" fillId="2" borderId="1"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5" fillId="2"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1" xfId="0" applyFont="1" applyBorder="1" applyAlignment="1">
      <alignment horizontal="left" vertical="center" wrapText="1"/>
    </xf>
    <xf numFmtId="0" fontId="5" fillId="2" borderId="16"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CE6F1"/>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zoomScaleNormal="100" workbookViewId="0">
      <selection activeCell="G25" sqref="G25"/>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153</v>
      </c>
    </row>
    <row r="2" spans="1:12" x14ac:dyDescent="0.25">
      <c r="A2" s="58" t="s">
        <v>65</v>
      </c>
      <c r="B2" s="59"/>
      <c r="C2" s="59"/>
      <c r="D2" s="59"/>
      <c r="E2" s="60"/>
      <c r="G2" s="58" t="s">
        <v>66</v>
      </c>
      <c r="H2" s="59"/>
      <c r="I2" s="59"/>
      <c r="J2" s="59"/>
      <c r="K2" s="59"/>
      <c r="L2" s="60"/>
    </row>
    <row r="3" spans="1:12" x14ac:dyDescent="0.25">
      <c r="A3" s="40" t="s">
        <v>68</v>
      </c>
      <c r="B3" s="40" t="s">
        <v>69</v>
      </c>
      <c r="C3" s="40" t="s">
        <v>70</v>
      </c>
      <c r="D3" s="40" t="s">
        <v>71</v>
      </c>
      <c r="E3" s="40" t="s">
        <v>72</v>
      </c>
      <c r="G3" s="61" t="s">
        <v>73</v>
      </c>
      <c r="H3" s="61" t="s">
        <v>74</v>
      </c>
      <c r="I3" s="61" t="s">
        <v>75</v>
      </c>
      <c r="J3" s="61"/>
      <c r="K3" s="61" t="s">
        <v>76</v>
      </c>
      <c r="L3" s="61"/>
    </row>
    <row r="4" spans="1:12" x14ac:dyDescent="0.25">
      <c r="A4" s="23">
        <v>0.74</v>
      </c>
      <c r="B4" s="24">
        <v>0.48</v>
      </c>
      <c r="C4" s="23">
        <v>0.35</v>
      </c>
      <c r="D4" s="24">
        <v>0.2</v>
      </c>
      <c r="E4" s="23">
        <v>5.2999999999999999E-2</v>
      </c>
      <c r="G4" s="61"/>
      <c r="H4" s="61"/>
      <c r="I4" s="40" t="s">
        <v>77</v>
      </c>
      <c r="J4" s="40" t="s">
        <v>78</v>
      </c>
      <c r="K4" s="40" t="s">
        <v>77</v>
      </c>
      <c r="L4" s="40" t="s">
        <v>78</v>
      </c>
    </row>
    <row r="5" spans="1:12" x14ac:dyDescent="0.25">
      <c r="G5" s="57" t="s">
        <v>81</v>
      </c>
      <c r="H5" s="28" t="s">
        <v>82</v>
      </c>
      <c r="I5" s="24" t="s">
        <v>60</v>
      </c>
      <c r="J5" s="24">
        <v>2.6</v>
      </c>
      <c r="K5" s="24" t="s">
        <v>60</v>
      </c>
      <c r="L5" s="24">
        <v>7.4</v>
      </c>
    </row>
    <row r="6" spans="1:12" ht="15" customHeight="1" x14ac:dyDescent="0.25">
      <c r="A6" s="54" t="s">
        <v>16</v>
      </c>
      <c r="B6" s="55"/>
      <c r="C6" s="55"/>
      <c r="D6" s="55"/>
      <c r="E6" s="55"/>
      <c r="G6" s="57"/>
      <c r="H6" s="28" t="s">
        <v>79</v>
      </c>
      <c r="I6" s="24" t="s">
        <v>83</v>
      </c>
      <c r="J6" s="24">
        <v>3.8</v>
      </c>
      <c r="K6" s="24" t="s">
        <v>84</v>
      </c>
      <c r="L6" s="24">
        <v>3.6</v>
      </c>
    </row>
    <row r="7" spans="1:12" x14ac:dyDescent="0.25">
      <c r="A7" s="54"/>
      <c r="B7" s="55"/>
      <c r="C7" s="55"/>
      <c r="D7" s="55"/>
      <c r="E7" s="55"/>
      <c r="G7" s="57"/>
      <c r="H7" s="28" t="s">
        <v>85</v>
      </c>
      <c r="I7" s="24" t="s">
        <v>86</v>
      </c>
      <c r="J7" s="24">
        <v>9</v>
      </c>
      <c r="K7" s="24" t="s">
        <v>87</v>
      </c>
      <c r="L7" s="24">
        <v>12</v>
      </c>
    </row>
    <row r="8" spans="1:12" x14ac:dyDescent="0.25">
      <c r="A8" s="54"/>
      <c r="B8" s="55"/>
      <c r="C8" s="55"/>
      <c r="D8" s="55"/>
      <c r="E8" s="55"/>
      <c r="G8" s="57"/>
      <c r="H8" s="28" t="s">
        <v>88</v>
      </c>
      <c r="I8" s="24" t="s">
        <v>60</v>
      </c>
      <c r="J8" s="24">
        <v>9.1999999999999993</v>
      </c>
      <c r="K8" s="24" t="s">
        <v>60</v>
      </c>
      <c r="L8" s="24">
        <v>14</v>
      </c>
    </row>
    <row r="9" spans="1:12" ht="15" customHeight="1" x14ac:dyDescent="0.25">
      <c r="A9" s="54"/>
      <c r="B9" s="55"/>
      <c r="C9" s="55"/>
      <c r="D9" s="55"/>
      <c r="E9" s="55"/>
      <c r="G9" s="57"/>
      <c r="H9" s="28" t="s">
        <v>89</v>
      </c>
      <c r="I9" s="24" t="s">
        <v>90</v>
      </c>
      <c r="J9" s="24">
        <v>6</v>
      </c>
      <c r="K9" s="24" t="s">
        <v>91</v>
      </c>
      <c r="L9" s="24">
        <v>10</v>
      </c>
    </row>
    <row r="10" spans="1:12" x14ac:dyDescent="0.25">
      <c r="A10" s="54"/>
      <c r="B10" s="55"/>
      <c r="C10" s="55"/>
      <c r="D10" s="55"/>
      <c r="E10" s="55"/>
      <c r="G10" s="57"/>
      <c r="H10" s="28" t="s">
        <v>92</v>
      </c>
      <c r="I10" s="24" t="s">
        <v>93</v>
      </c>
      <c r="J10" s="24">
        <v>80</v>
      </c>
      <c r="K10" s="24" t="s">
        <v>94</v>
      </c>
      <c r="L10" s="24">
        <v>27</v>
      </c>
    </row>
    <row r="11" spans="1:12" ht="15" customHeight="1" x14ac:dyDescent="0.25">
      <c r="A11" s="54"/>
      <c r="B11" s="56" t="s">
        <v>80</v>
      </c>
      <c r="C11" s="56"/>
      <c r="D11" s="56"/>
      <c r="E11" s="56"/>
      <c r="G11" s="57"/>
      <c r="H11" s="28" t="s">
        <v>95</v>
      </c>
      <c r="I11" s="24" t="s">
        <v>60</v>
      </c>
      <c r="J11" s="24">
        <v>12</v>
      </c>
      <c r="K11" s="24" t="s">
        <v>60</v>
      </c>
      <c r="L11" s="24">
        <v>11</v>
      </c>
    </row>
    <row r="12" spans="1:12" x14ac:dyDescent="0.25">
      <c r="A12" s="54"/>
      <c r="B12" s="56"/>
      <c r="C12" s="56"/>
      <c r="D12" s="56"/>
      <c r="E12" s="56"/>
      <c r="G12" s="28"/>
      <c r="H12" s="25"/>
      <c r="I12" s="26"/>
      <c r="J12" s="26"/>
      <c r="K12" s="26"/>
      <c r="L12" s="26"/>
    </row>
    <row r="13" spans="1:12" x14ac:dyDescent="0.25">
      <c r="A13" s="54"/>
      <c r="B13" s="56"/>
      <c r="C13" s="56"/>
      <c r="D13" s="56"/>
      <c r="E13" s="56"/>
      <c r="G13" s="28"/>
      <c r="H13" s="25"/>
      <c r="I13" s="26"/>
      <c r="J13" s="26"/>
      <c r="K13" s="26"/>
      <c r="L13" s="26"/>
    </row>
    <row r="14" spans="1:12" x14ac:dyDescent="0.25">
      <c r="A14" s="54"/>
      <c r="B14" s="56"/>
      <c r="C14" s="56"/>
      <c r="D14" s="56"/>
      <c r="E14" s="56"/>
      <c r="G14" s="58" t="s">
        <v>105</v>
      </c>
      <c r="H14" s="59"/>
      <c r="I14" s="26"/>
      <c r="J14" s="26"/>
      <c r="K14" s="26"/>
      <c r="L14" s="26"/>
    </row>
    <row r="15" spans="1:12" x14ac:dyDescent="0.25">
      <c r="A15" s="54"/>
      <c r="B15" s="56"/>
      <c r="C15" s="56"/>
      <c r="D15" s="56"/>
      <c r="E15" s="56"/>
      <c r="G15" s="24" t="s">
        <v>103</v>
      </c>
      <c r="H15" s="24">
        <f>1.52*1000</f>
        <v>1520</v>
      </c>
      <c r="I15" s="26"/>
      <c r="J15" s="26"/>
      <c r="K15" s="26"/>
      <c r="L15" s="26"/>
    </row>
    <row r="16" spans="1:12" x14ac:dyDescent="0.25">
      <c r="A16" s="2"/>
      <c r="G16" s="24" t="s">
        <v>104</v>
      </c>
      <c r="H16" s="24">
        <f>1.55*1000</f>
        <v>1550</v>
      </c>
      <c r="I16" s="26"/>
      <c r="J16" s="26"/>
      <c r="K16" s="26"/>
      <c r="L16" s="26"/>
    </row>
    <row r="17" spans="4:12" x14ac:dyDescent="0.25">
      <c r="I17" s="26"/>
      <c r="J17" s="26"/>
      <c r="K17" s="26"/>
      <c r="L17" s="26"/>
    </row>
    <row r="18" spans="4:12" x14ac:dyDescent="0.25">
      <c r="G18" s="28"/>
      <c r="H18" s="25"/>
      <c r="I18" s="26"/>
      <c r="J18" s="26"/>
      <c r="K18" s="26"/>
      <c r="L18" s="26"/>
    </row>
    <row r="19" spans="4:12" x14ac:dyDescent="0.25">
      <c r="D19" s="27"/>
      <c r="G19" s="28"/>
      <c r="H19" s="25"/>
      <c r="I19" s="26"/>
      <c r="J19" s="26"/>
      <c r="K19" s="26"/>
      <c r="L19" s="26"/>
    </row>
    <row r="20" spans="4:12" x14ac:dyDescent="0.25">
      <c r="D20" s="27"/>
      <c r="G20" s="28"/>
      <c r="H20" s="25"/>
      <c r="I20" s="26"/>
      <c r="J20" s="26"/>
      <c r="K20" s="26"/>
      <c r="L20" s="26"/>
    </row>
    <row r="21" spans="4:12" x14ac:dyDescent="0.25">
      <c r="G21" s="25"/>
      <c r="H21" s="25"/>
      <c r="I21" s="26"/>
      <c r="J21" s="26"/>
      <c r="K21" s="26"/>
      <c r="L21" s="26"/>
    </row>
  </sheetData>
  <sheetProtection algorithmName="SHA-512" hashValue="AS1Uqx8yc3mPT1XwM09TQGnMm55GIiT9Q+tq+x2hc+EU9I4Uo6HAieYMgNrLmWA5HUXbLa4+OR7lbzd9gLepuw==" saltValue="gokxEPkRAUrp/7Bj4FjIgA==" spinCount="100000"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E24" sqref="E24"/>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2"/>
      <c r="C1" s="1"/>
      <c r="D1" s="1"/>
      <c r="E1" s="1"/>
      <c r="F1" s="1"/>
      <c r="G1" s="1"/>
      <c r="H1" s="1"/>
      <c r="I1" s="1"/>
      <c r="J1" s="1"/>
    </row>
    <row r="2" spans="1:14" x14ac:dyDescent="0.25">
      <c r="A2" s="2" t="s">
        <v>61</v>
      </c>
      <c r="B2" s="47">
        <v>2007</v>
      </c>
      <c r="C2" s="1"/>
      <c r="D2" s="1"/>
      <c r="E2" s="1"/>
      <c r="F2" s="1"/>
      <c r="G2" s="1"/>
      <c r="H2" s="1"/>
      <c r="I2" s="1"/>
      <c r="J2" s="1"/>
    </row>
    <row r="3" spans="1:14" x14ac:dyDescent="0.25">
      <c r="A3" s="40" t="s">
        <v>42</v>
      </c>
      <c r="B3" s="40" t="s">
        <v>43</v>
      </c>
      <c r="C3" s="40" t="s">
        <v>44</v>
      </c>
      <c r="D3" s="40" t="s">
        <v>45</v>
      </c>
      <c r="E3" s="40" t="s">
        <v>46</v>
      </c>
      <c r="F3" s="40" t="s">
        <v>47</v>
      </c>
      <c r="G3" s="40" t="s">
        <v>48</v>
      </c>
      <c r="H3" s="40" t="s">
        <v>49</v>
      </c>
      <c r="I3" s="40" t="s">
        <v>50</v>
      </c>
      <c r="J3" s="1"/>
    </row>
    <row r="4" spans="1:14" ht="15" customHeight="1" x14ac:dyDescent="0.25">
      <c r="A4" s="83" t="s">
        <v>51</v>
      </c>
      <c r="B4" s="20" t="s">
        <v>52</v>
      </c>
      <c r="C4" s="7">
        <v>4.1647481574952775E-3</v>
      </c>
      <c r="D4" s="7">
        <v>6.5318933034944765E-2</v>
      </c>
      <c r="E4" s="7">
        <v>9.7431139391112798E-5</v>
      </c>
      <c r="F4" s="7">
        <v>3.2117661168667613E-2</v>
      </c>
      <c r="G4" s="7">
        <v>1.0013560541894806E-2</v>
      </c>
      <c r="H4" s="7">
        <v>7.6789363702976381</v>
      </c>
      <c r="I4" s="7">
        <v>9.0350737078986789E-4</v>
      </c>
      <c r="J4" s="1"/>
      <c r="N4" s="19"/>
    </row>
    <row r="5" spans="1:14" x14ac:dyDescent="0.25">
      <c r="A5" s="84"/>
      <c r="B5" s="20" t="s">
        <v>53</v>
      </c>
      <c r="C5" s="7">
        <v>1.9389461005136124E-2</v>
      </c>
      <c r="D5" s="7">
        <v>0.15850781980120351</v>
      </c>
      <c r="E5" s="7">
        <v>1.8265581631205882E-4</v>
      </c>
      <c r="F5" s="7">
        <v>0.19953638186759515</v>
      </c>
      <c r="G5" s="7">
        <v>8.7889870552575564E-2</v>
      </c>
      <c r="H5" s="7">
        <v>14.129238189499569</v>
      </c>
      <c r="I5" s="7">
        <v>7.9301638618412291E-3</v>
      </c>
      <c r="J5" s="1"/>
      <c r="N5" s="19"/>
    </row>
    <row r="6" spans="1:14" x14ac:dyDescent="0.25">
      <c r="A6" s="84"/>
      <c r="B6" s="20" t="s">
        <v>54</v>
      </c>
      <c r="C6" s="7">
        <v>3.5159649405128737E-2</v>
      </c>
      <c r="D6" s="7">
        <v>0.39013010201093185</v>
      </c>
      <c r="E6" s="7">
        <v>3.1347091665644508E-4</v>
      </c>
      <c r="F6" s="7">
        <v>0.2004419223709539</v>
      </c>
      <c r="G6" s="7">
        <v>6.7138814469940591E-2</v>
      </c>
      <c r="H6" s="7">
        <v>26.722695910514073</v>
      </c>
      <c r="I6" s="7">
        <v>6.0578280967871325E-3</v>
      </c>
      <c r="J6" s="1"/>
      <c r="K6" s="19"/>
      <c r="N6" s="19"/>
    </row>
    <row r="7" spans="1:14" x14ac:dyDescent="0.25">
      <c r="A7" s="84"/>
      <c r="B7" s="20" t="s">
        <v>55</v>
      </c>
      <c r="C7" s="7">
        <v>3.4873730864910753E-2</v>
      </c>
      <c r="D7" s="7">
        <v>0.62819014565488085</v>
      </c>
      <c r="E7" s="7">
        <v>5.4259968788077681E-4</v>
      </c>
      <c r="F7" s="7">
        <v>0.29143683660988179</v>
      </c>
      <c r="G7" s="7">
        <v>7.9806989940830519E-2</v>
      </c>
      <c r="H7" s="7">
        <v>48.223729179933819</v>
      </c>
      <c r="I7" s="7">
        <v>7.2008552575325378E-3</v>
      </c>
      <c r="J7" s="1"/>
      <c r="N7" s="19"/>
    </row>
    <row r="8" spans="1:14" x14ac:dyDescent="0.25">
      <c r="A8" s="84"/>
      <c r="B8" s="20" t="s">
        <v>56</v>
      </c>
      <c r="C8" s="7">
        <v>3.101083119228833E-2</v>
      </c>
      <c r="D8" s="7">
        <v>0.83698143551687265</v>
      </c>
      <c r="E8" s="7">
        <v>7.6033040375300068E-4</v>
      </c>
      <c r="F8" s="7">
        <v>0.22495851814724077</v>
      </c>
      <c r="G8" s="7">
        <v>8.0781384871570633E-2</v>
      </c>
      <c r="H8" s="7">
        <v>67.57462749683539</v>
      </c>
      <c r="I8" s="7">
        <v>7.2887737155482657E-3</v>
      </c>
      <c r="J8" s="1"/>
      <c r="N8" s="19"/>
    </row>
    <row r="9" spans="1:14" x14ac:dyDescent="0.25">
      <c r="A9" s="84"/>
      <c r="B9" s="20" t="s">
        <v>57</v>
      </c>
      <c r="C9" s="7">
        <v>4.4312637095619792E-2</v>
      </c>
      <c r="D9" s="7">
        <v>1.1811178567160983</v>
      </c>
      <c r="E9" s="7">
        <v>1.0551972934755545E-3</v>
      </c>
      <c r="F9" s="7">
        <v>0.44023160723795168</v>
      </c>
      <c r="G9" s="7">
        <v>0.11468313954524458</v>
      </c>
      <c r="H9" s="7">
        <v>107.50511325477065</v>
      </c>
      <c r="I9" s="7">
        <v>1.0347677695252593E-2</v>
      </c>
      <c r="J9" s="1"/>
    </row>
    <row r="10" spans="1:14" x14ac:dyDescent="0.25">
      <c r="A10" s="84"/>
      <c r="B10" s="20" t="s">
        <v>58</v>
      </c>
      <c r="C10" s="7">
        <v>9.1699292295937748E-2</v>
      </c>
      <c r="D10" s="7">
        <v>2.4816495823931239</v>
      </c>
      <c r="E10" s="7">
        <v>2.2143711863278365E-3</v>
      </c>
      <c r="F10" s="7">
        <v>0.8977989810489746</v>
      </c>
      <c r="G10" s="7">
        <v>0.2376690359121682</v>
      </c>
      <c r="H10" s="7">
        <v>220.23193257962103</v>
      </c>
      <c r="I10" s="7">
        <v>2.1444490325478866E-2</v>
      </c>
      <c r="J10" s="1"/>
    </row>
    <row r="11" spans="1:14" x14ac:dyDescent="0.25">
      <c r="A11" s="84"/>
      <c r="B11" s="20" t="s">
        <v>59</v>
      </c>
      <c r="C11" s="7">
        <v>0.11281698418835924</v>
      </c>
      <c r="D11" s="7">
        <v>3.6320533542247149</v>
      </c>
      <c r="E11" s="7">
        <v>2.708513011176045E-3</v>
      </c>
      <c r="F11" s="7">
        <v>1.2834306373108464</v>
      </c>
      <c r="G11" s="7">
        <v>0.33188731556128104</v>
      </c>
      <c r="H11" s="7">
        <v>269.37717766866973</v>
      </c>
      <c r="I11" s="7">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41</v>
      </c>
      <c r="B14" s="1"/>
      <c r="C14" s="1"/>
      <c r="D14" s="1"/>
      <c r="E14" s="1"/>
      <c r="F14" s="1"/>
      <c r="G14" s="1"/>
      <c r="H14" s="1"/>
      <c r="I14" s="1"/>
      <c r="J14" s="1"/>
    </row>
    <row r="15" spans="1:14" x14ac:dyDescent="0.25">
      <c r="A15" s="62" t="s">
        <v>16</v>
      </c>
      <c r="B15" s="65"/>
      <c r="C15" s="66"/>
      <c r="D15" s="66"/>
      <c r="E15" s="67"/>
      <c r="F15" s="1"/>
      <c r="G15" s="1"/>
      <c r="H15" s="1"/>
      <c r="I15" s="1"/>
      <c r="J15" s="1"/>
    </row>
    <row r="16" spans="1:14" x14ac:dyDescent="0.25">
      <c r="A16" s="63"/>
      <c r="B16" s="68"/>
      <c r="C16" s="69"/>
      <c r="D16" s="69"/>
      <c r="E16" s="70"/>
      <c r="F16" s="1"/>
      <c r="G16" s="1"/>
      <c r="H16" s="1"/>
      <c r="I16" s="1"/>
      <c r="J16" s="1"/>
    </row>
    <row r="17" spans="1:10" x14ac:dyDescent="0.25">
      <c r="A17" s="63"/>
      <c r="B17" s="71"/>
      <c r="C17" s="72"/>
      <c r="D17" s="72"/>
      <c r="E17" s="73"/>
      <c r="F17" s="1"/>
      <c r="G17" s="1"/>
      <c r="H17" s="1"/>
      <c r="I17" s="1"/>
      <c r="J17" s="1"/>
    </row>
    <row r="18" spans="1:10" x14ac:dyDescent="0.25">
      <c r="A18" s="63"/>
      <c r="B18" s="74" t="s">
        <v>112</v>
      </c>
      <c r="C18" s="75"/>
      <c r="D18" s="75"/>
      <c r="E18" s="76"/>
      <c r="F18" s="1"/>
      <c r="G18" s="1"/>
      <c r="H18" s="1"/>
      <c r="I18" s="1"/>
      <c r="J18" s="1"/>
    </row>
    <row r="19" spans="1:10" x14ac:dyDescent="0.25">
      <c r="A19" s="63"/>
      <c r="B19" s="77"/>
      <c r="C19" s="78"/>
      <c r="D19" s="78"/>
      <c r="E19" s="79"/>
      <c r="F19" s="1"/>
      <c r="G19" s="1"/>
      <c r="H19" s="1"/>
      <c r="I19" s="1"/>
      <c r="J19" s="1"/>
    </row>
    <row r="20" spans="1:10" x14ac:dyDescent="0.25">
      <c r="A20" s="63"/>
      <c r="B20" s="77"/>
      <c r="C20" s="78"/>
      <c r="D20" s="78"/>
      <c r="E20" s="79"/>
      <c r="F20" s="1"/>
      <c r="G20" s="1"/>
      <c r="H20" s="1"/>
      <c r="I20" s="1"/>
      <c r="J20" s="1"/>
    </row>
    <row r="21" spans="1:10" x14ac:dyDescent="0.25">
      <c r="A21" s="64"/>
      <c r="B21" s="80"/>
      <c r="C21" s="81"/>
      <c r="D21" s="81"/>
      <c r="E21" s="82"/>
      <c r="F21" s="1"/>
      <c r="G21" s="1"/>
      <c r="H21" s="1"/>
      <c r="I21" s="1"/>
      <c r="J21" s="1"/>
    </row>
    <row r="22" spans="1:10" x14ac:dyDescent="0.25">
      <c r="A22" s="1"/>
      <c r="B22" s="1"/>
      <c r="C22" s="1"/>
      <c r="D22" s="1"/>
      <c r="E22" s="1"/>
      <c r="F22" s="1"/>
      <c r="G22" s="1"/>
      <c r="H22" s="1"/>
      <c r="I22" s="1"/>
      <c r="J22" s="1"/>
    </row>
  </sheetData>
  <sheetProtection algorithmName="SHA-512" hashValue="thnv963U7PMlZ6RBalBb4v8vOk3+1iEuBkneJFkb+xTmcC9xA5EKfu3N31OZRDQmQD67mVyU0y3V/+CNW/aGPg==" saltValue="BCutXgg7EgG3H/7JrmKSww==" spinCount="100000"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topLeftCell="C1" zoomScaleNormal="100" workbookViewId="0">
      <selection activeCell="F28" sqref="F28"/>
    </sheetView>
  </sheetViews>
  <sheetFormatPr defaultRowHeight="15" customHeight="1" x14ac:dyDescent="0.2"/>
  <cols>
    <col min="1" max="1" width="28.85546875" style="1" customWidth="1"/>
    <col min="2" max="2" width="13.7109375" style="1" customWidth="1"/>
    <col min="3" max="3" width="25.5703125" style="1" customWidth="1"/>
    <col min="4" max="5" width="13.7109375" style="1" customWidth="1"/>
    <col min="6" max="6" width="12.140625" style="1" customWidth="1"/>
    <col min="7" max="7" width="11.7109375" style="1" customWidth="1"/>
    <col min="8" max="19" width="10.7109375" style="1" customWidth="1"/>
    <col min="20" max="16384" width="9.140625" style="1"/>
  </cols>
  <sheetData>
    <row r="1" spans="1:19" ht="15" customHeight="1" x14ac:dyDescent="0.25">
      <c r="A1" s="1" t="s">
        <v>154</v>
      </c>
      <c r="B1"/>
      <c r="C1"/>
    </row>
    <row r="3" spans="1:19" ht="15" customHeight="1" x14ac:dyDescent="0.2">
      <c r="A3" s="86" t="s">
        <v>0</v>
      </c>
      <c r="B3" s="86" t="s">
        <v>37</v>
      </c>
      <c r="C3" s="86" t="s">
        <v>38</v>
      </c>
      <c r="D3" s="87" t="s">
        <v>161</v>
      </c>
      <c r="E3" s="87" t="s">
        <v>162</v>
      </c>
      <c r="F3" s="86" t="s">
        <v>36</v>
      </c>
      <c r="G3" s="86" t="s">
        <v>39</v>
      </c>
      <c r="H3" s="86" t="s">
        <v>143</v>
      </c>
      <c r="I3" s="86"/>
      <c r="J3" s="86"/>
      <c r="K3" s="86"/>
      <c r="L3" s="86"/>
      <c r="M3" s="86" t="s">
        <v>1</v>
      </c>
      <c r="N3" s="86"/>
      <c r="O3" s="86"/>
      <c r="P3" s="86"/>
      <c r="Q3" s="86"/>
      <c r="R3" s="86"/>
      <c r="S3" s="86"/>
    </row>
    <row r="4" spans="1:19" ht="15" customHeight="1" x14ac:dyDescent="0.2">
      <c r="A4" s="86"/>
      <c r="B4" s="86"/>
      <c r="C4" s="86"/>
      <c r="D4" s="87"/>
      <c r="E4" s="87"/>
      <c r="F4" s="86"/>
      <c r="G4" s="86"/>
      <c r="H4" s="45" t="s">
        <v>2</v>
      </c>
      <c r="I4" s="45" t="s">
        <v>5</v>
      </c>
      <c r="J4" s="45" t="s">
        <v>6</v>
      </c>
      <c r="K4" s="45" t="s">
        <v>4</v>
      </c>
      <c r="L4" s="45" t="s">
        <v>163</v>
      </c>
      <c r="M4" s="45" t="s">
        <v>2</v>
      </c>
      <c r="N4" s="45" t="s">
        <v>3</v>
      </c>
      <c r="O4" s="45" t="s">
        <v>40</v>
      </c>
      <c r="P4" s="45" t="s">
        <v>5</v>
      </c>
      <c r="Q4" s="45" t="s">
        <v>6</v>
      </c>
      <c r="R4" s="45" t="s">
        <v>4</v>
      </c>
      <c r="S4" s="45" t="s">
        <v>163</v>
      </c>
    </row>
    <row r="5" spans="1:19" ht="15" customHeight="1" x14ac:dyDescent="0.2">
      <c r="A5" s="8" t="str">
        <f>Dados!B18</f>
        <v>Pá Carregadeira 40</v>
      </c>
      <c r="B5" s="47">
        <f>Dados!E18</f>
        <v>92</v>
      </c>
      <c r="C5" s="47" t="s">
        <v>54</v>
      </c>
      <c r="D5" s="47">
        <v>-20.354842000000001</v>
      </c>
      <c r="E5" s="47">
        <v>-40.297817999999999</v>
      </c>
      <c r="F5" s="47">
        <f>Dados!D18</f>
        <v>1</v>
      </c>
      <c r="G5" s="30">
        <f>Dados!F18</f>
        <v>8</v>
      </c>
      <c r="H5" s="7">
        <f>(INDEX(FE_Maq_Equip,MATCH($C5,Pot_Equip,0),2))</f>
        <v>3.5159649405128737E-2</v>
      </c>
      <c r="I5" s="7">
        <f>(INDEX(FE_Maq_Equip,MATCH($C5,Pot_Equip,0),3))</f>
        <v>0.39013010201093185</v>
      </c>
      <c r="J5" s="7">
        <f>(INDEX(FE_Maq_Equip,MATCH($C5,Pot_Equip,0),4))</f>
        <v>3.1347091665644508E-4</v>
      </c>
      <c r="K5" s="7">
        <f>(INDEX(FE_Maq_Equip,MATCH($C5,Pot_Equip,0),5))</f>
        <v>0.2004419223709539</v>
      </c>
      <c r="L5" s="7">
        <f>(INDEX(FE_Maq_Equip,MATCH($C5,Pot_Equip,0),6))</f>
        <v>6.7138814469940591E-2</v>
      </c>
      <c r="M5" s="50">
        <f>H5*F5*G5/24</f>
        <v>1.1719883135042913E-2</v>
      </c>
      <c r="N5" s="50">
        <f>M5</f>
        <v>1.1719883135042913E-2</v>
      </c>
      <c r="O5" s="50">
        <f>M5</f>
        <v>1.1719883135042913E-2</v>
      </c>
      <c r="P5" s="50">
        <f>I5*$F$5*$G$5/24</f>
        <v>0.13004336733697727</v>
      </c>
      <c r="Q5" s="50">
        <f t="shared" ref="Q5:S5" si="0">J5*$F$5*$G$5/24</f>
        <v>1.0449030555214836E-4</v>
      </c>
      <c r="R5" s="50">
        <f t="shared" si="0"/>
        <v>6.6813974123651296E-2</v>
      </c>
      <c r="S5" s="50">
        <f t="shared" si="0"/>
        <v>2.2379604823313529E-2</v>
      </c>
    </row>
    <row r="6" spans="1:19" ht="15" customHeight="1" x14ac:dyDescent="0.2">
      <c r="A6" s="85" t="s">
        <v>102</v>
      </c>
      <c r="B6" s="85"/>
      <c r="C6" s="85"/>
      <c r="D6" s="85"/>
      <c r="E6" s="85"/>
      <c r="F6" s="85"/>
      <c r="G6" s="85"/>
      <c r="H6" s="85"/>
      <c r="I6" s="85"/>
      <c r="J6" s="85"/>
      <c r="K6" s="85"/>
      <c r="L6" s="85"/>
      <c r="M6" s="51">
        <f t="shared" ref="M6:S6" si="1">SUM(M5:M5)</f>
        <v>1.1719883135042913E-2</v>
      </c>
      <c r="N6" s="51">
        <f t="shared" si="1"/>
        <v>1.1719883135042913E-2</v>
      </c>
      <c r="O6" s="51">
        <f t="shared" si="1"/>
        <v>1.1719883135042913E-2</v>
      </c>
      <c r="P6" s="51">
        <f t="shared" si="1"/>
        <v>0.13004336733697727</v>
      </c>
      <c r="Q6" s="51">
        <f t="shared" si="1"/>
        <v>1.0449030555214836E-4</v>
      </c>
      <c r="R6" s="51">
        <f t="shared" si="1"/>
        <v>6.6813974123651296E-2</v>
      </c>
      <c r="S6" s="51">
        <f t="shared" si="1"/>
        <v>2.2379604823313529E-2</v>
      </c>
    </row>
    <row r="7" spans="1:19" ht="15" customHeight="1" x14ac:dyDescent="0.2">
      <c r="M7" s="14"/>
      <c r="N7" s="14"/>
      <c r="O7" s="14"/>
      <c r="P7" s="14"/>
      <c r="Q7" s="15"/>
      <c r="R7" s="14"/>
      <c r="S7" s="14"/>
    </row>
    <row r="8" spans="1:19" ht="15" customHeight="1" x14ac:dyDescent="0.2">
      <c r="M8" s="16"/>
      <c r="N8" s="16"/>
      <c r="O8" s="16"/>
      <c r="P8" s="17"/>
      <c r="Q8" s="17"/>
      <c r="R8" s="17"/>
      <c r="S8" s="17"/>
    </row>
    <row r="9" spans="1:19" ht="15" customHeight="1" x14ac:dyDescent="0.2">
      <c r="P9" s="4"/>
      <c r="R9" s="4"/>
    </row>
    <row r="10" spans="1:19" ht="11.25" x14ac:dyDescent="0.2">
      <c r="A10" s="18"/>
      <c r="C10" s="2"/>
      <c r="D10" s="13"/>
      <c r="E10" s="13"/>
      <c r="G10" s="13"/>
      <c r="H10" s="13"/>
      <c r="I10" s="13"/>
      <c r="J10" s="13"/>
      <c r="K10" s="13"/>
      <c r="L10" s="13"/>
      <c r="M10" s="13"/>
      <c r="N10" s="13"/>
      <c r="O10" s="13"/>
      <c r="P10" s="13"/>
      <c r="Q10" s="13"/>
      <c r="R10" s="13"/>
      <c r="S10" s="13"/>
    </row>
    <row r="11" spans="1:19" ht="15" customHeight="1" x14ac:dyDescent="0.2">
      <c r="D11" s="13"/>
      <c r="E11" s="13"/>
      <c r="G11" s="13"/>
      <c r="H11" s="13"/>
      <c r="I11" s="13"/>
      <c r="J11" s="13"/>
      <c r="K11" s="13"/>
      <c r="L11" s="13"/>
      <c r="M11" s="7"/>
      <c r="N11" s="7"/>
      <c r="O11" s="13"/>
      <c r="P11" s="13"/>
      <c r="Q11" s="13"/>
      <c r="R11" s="13"/>
      <c r="S11" s="13"/>
    </row>
    <row r="12" spans="1:19" ht="15" customHeight="1" x14ac:dyDescent="0.2">
      <c r="A12" s="13"/>
      <c r="M12" s="13"/>
      <c r="N12" s="13"/>
      <c r="O12" s="13"/>
      <c r="P12" s="13"/>
      <c r="Q12" s="13"/>
      <c r="R12" s="13"/>
      <c r="S12" s="13"/>
    </row>
    <row r="13" spans="1:19" ht="15" customHeight="1" x14ac:dyDescent="0.2">
      <c r="D13" s="13"/>
      <c r="E13" s="13"/>
      <c r="G13" s="13"/>
      <c r="H13" s="13"/>
      <c r="I13" s="13"/>
      <c r="J13" s="13"/>
      <c r="K13" s="13"/>
      <c r="L13" s="13"/>
      <c r="M13" s="13"/>
      <c r="N13" s="13"/>
      <c r="O13" s="13"/>
      <c r="P13" s="13"/>
      <c r="Q13" s="13"/>
      <c r="R13" s="13"/>
      <c r="S13" s="13"/>
    </row>
    <row r="14" spans="1:19" ht="15" customHeight="1" x14ac:dyDescent="0.2">
      <c r="D14" s="13"/>
      <c r="E14" s="13"/>
      <c r="G14" s="13"/>
      <c r="H14" s="13"/>
      <c r="I14" s="13"/>
      <c r="J14" s="13"/>
      <c r="K14" s="13"/>
      <c r="L14" s="13"/>
      <c r="M14" s="13"/>
      <c r="N14" s="13"/>
      <c r="O14" s="13"/>
      <c r="P14" s="13"/>
      <c r="Q14" s="13"/>
      <c r="R14" s="13"/>
      <c r="S14" s="13"/>
    </row>
    <row r="15" spans="1:19" ht="15" customHeight="1" x14ac:dyDescent="0.2">
      <c r="D15" s="13"/>
      <c r="E15" s="13"/>
      <c r="G15" s="13"/>
      <c r="H15" s="13"/>
      <c r="I15" s="13"/>
      <c r="J15" s="13"/>
      <c r="K15" s="13"/>
      <c r="L15" s="13"/>
      <c r="M15" s="13"/>
      <c r="N15" s="13"/>
      <c r="O15" s="13"/>
      <c r="P15" s="13"/>
      <c r="Q15" s="13"/>
      <c r="R15" s="13"/>
      <c r="S15" s="13"/>
    </row>
    <row r="16" spans="1:19" ht="15" customHeight="1" x14ac:dyDescent="0.2">
      <c r="D16" s="13"/>
      <c r="E16" s="13"/>
      <c r="G16" s="13"/>
      <c r="H16" s="13"/>
      <c r="I16" s="13"/>
      <c r="J16" s="13"/>
      <c r="K16" s="13"/>
      <c r="L16" s="13"/>
      <c r="M16" s="13"/>
      <c r="N16" s="13"/>
      <c r="O16" s="13"/>
      <c r="P16" s="13"/>
      <c r="Q16" s="13"/>
      <c r="R16" s="13"/>
      <c r="S16" s="13"/>
    </row>
    <row r="17" spans="4:19" ht="15" customHeight="1" x14ac:dyDescent="0.2">
      <c r="D17" s="13"/>
      <c r="E17" s="13"/>
      <c r="G17" s="13"/>
      <c r="H17" s="13"/>
      <c r="I17" s="13"/>
      <c r="J17" s="13"/>
      <c r="K17" s="13"/>
      <c r="L17" s="13"/>
      <c r="M17" s="13"/>
      <c r="N17" s="13"/>
      <c r="O17" s="13"/>
      <c r="P17" s="13"/>
      <c r="Q17" s="13"/>
      <c r="R17" s="13"/>
      <c r="S17" s="13"/>
    </row>
    <row r="18" spans="4:19" ht="15" customHeight="1" x14ac:dyDescent="0.2">
      <c r="D18" s="13"/>
      <c r="E18" s="13"/>
      <c r="G18" s="13"/>
      <c r="H18" s="13"/>
      <c r="I18" s="13"/>
      <c r="J18" s="13"/>
      <c r="K18" s="13"/>
      <c r="L18" s="13"/>
      <c r="M18" s="13"/>
      <c r="N18" s="13"/>
      <c r="O18" s="13"/>
      <c r="P18" s="13"/>
      <c r="Q18" s="13"/>
      <c r="R18" s="13"/>
      <c r="S18" s="13"/>
    </row>
    <row r="19" spans="4:19" ht="15" customHeight="1" x14ac:dyDescent="0.2">
      <c r="D19" s="13"/>
      <c r="E19" s="13"/>
      <c r="G19" s="13"/>
      <c r="H19" s="13"/>
      <c r="I19" s="13"/>
      <c r="J19" s="13"/>
      <c r="K19" s="13"/>
      <c r="L19" s="13"/>
      <c r="M19" s="13"/>
      <c r="N19" s="13"/>
      <c r="O19" s="13"/>
      <c r="P19" s="13"/>
      <c r="Q19" s="13"/>
      <c r="R19" s="13"/>
      <c r="S19" s="13"/>
    </row>
    <row r="20" spans="4:19" ht="15" customHeight="1" x14ac:dyDescent="0.2">
      <c r="D20" s="13"/>
      <c r="E20" s="13"/>
      <c r="G20" s="13"/>
      <c r="H20" s="13"/>
      <c r="I20" s="13"/>
      <c r="J20" s="13"/>
      <c r="K20" s="13"/>
      <c r="L20" s="13"/>
      <c r="M20" s="13"/>
      <c r="N20" s="13"/>
      <c r="O20" s="13"/>
      <c r="P20" s="13"/>
      <c r="Q20" s="13"/>
      <c r="R20" s="13"/>
      <c r="S20" s="13"/>
    </row>
    <row r="21" spans="4:19" ht="15" customHeight="1" x14ac:dyDescent="0.2">
      <c r="D21" s="13"/>
      <c r="E21" s="13"/>
      <c r="G21" s="13"/>
      <c r="H21" s="13"/>
      <c r="I21" s="13"/>
      <c r="J21" s="13"/>
      <c r="K21" s="13"/>
      <c r="L21" s="13"/>
      <c r="M21" s="13"/>
      <c r="N21" s="13"/>
      <c r="O21" s="13"/>
      <c r="P21" s="13"/>
      <c r="Q21" s="13"/>
      <c r="R21" s="13"/>
      <c r="S21" s="13"/>
    </row>
    <row r="22" spans="4:19" ht="15" customHeight="1" x14ac:dyDescent="0.2">
      <c r="D22" s="13"/>
      <c r="E22" s="13"/>
      <c r="F22" s="12"/>
      <c r="G22" s="13"/>
      <c r="H22" s="13"/>
      <c r="I22" s="13"/>
      <c r="J22" s="13"/>
      <c r="K22" s="13"/>
      <c r="L22" s="13"/>
      <c r="M22" s="13"/>
      <c r="N22" s="13"/>
      <c r="O22" s="13"/>
      <c r="P22" s="13"/>
      <c r="Q22" s="13"/>
      <c r="R22" s="13"/>
      <c r="S22" s="13"/>
    </row>
    <row r="23" spans="4:19" ht="15" customHeight="1" x14ac:dyDescent="0.2">
      <c r="M23" s="14"/>
      <c r="N23" s="14"/>
      <c r="O23" s="14"/>
      <c r="P23" s="14"/>
      <c r="Q23" s="14"/>
      <c r="R23" s="14"/>
      <c r="S23" s="14"/>
    </row>
  </sheetData>
  <sheetProtection algorithmName="SHA-512" hashValue="ORPnKdJnjhohCe0srsixCLEF2Fj7SWYaOfznOJe9DzfH4C5zNRHsZaXp2InYdKuYZyETqjxECA85+IMHonbQcw==" saltValue="JwTFtdMaULiavLV7gh5VDQ==" spinCount="100000"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'FE-Maq e Equip'!$B$4:$B$11</xm:f>
          </x14:formula1>
          <xm:sqref>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6"/>
  <sheetViews>
    <sheetView zoomScaleNormal="100" workbookViewId="0">
      <selection activeCell="C24" sqref="C24"/>
    </sheetView>
  </sheetViews>
  <sheetFormatPr defaultRowHeight="15" x14ac:dyDescent="0.25"/>
  <cols>
    <col min="1" max="1" width="23.7109375" customWidth="1"/>
    <col min="2" max="2" width="37" customWidth="1"/>
    <col min="3" max="3" width="22.7109375" customWidth="1"/>
    <col min="4" max="4" width="24.5703125" bestFit="1" customWidth="1"/>
    <col min="5" max="5" width="11" bestFit="1" customWidth="1"/>
    <col min="6" max="6" width="18.7109375" customWidth="1"/>
    <col min="7" max="7" width="25.5703125" customWidth="1"/>
    <col min="8" max="22" width="10.7109375" customWidth="1"/>
  </cols>
  <sheetData>
    <row r="1" spans="1:17" x14ac:dyDescent="0.25">
      <c r="A1" s="1" t="s">
        <v>154</v>
      </c>
      <c r="B1" s="1"/>
      <c r="C1" s="1"/>
      <c r="D1" s="1"/>
      <c r="E1" s="1"/>
      <c r="F1" s="1"/>
      <c r="G1" s="1"/>
      <c r="H1" s="1"/>
      <c r="I1" s="1"/>
      <c r="J1" s="1"/>
      <c r="K1" s="1"/>
      <c r="L1" s="1"/>
      <c r="M1" s="1"/>
      <c r="N1" s="1"/>
      <c r="O1" s="1"/>
      <c r="P1" s="1"/>
      <c r="Q1" s="1"/>
    </row>
    <row r="2" spans="1:17" x14ac:dyDescent="0.25">
      <c r="G2" s="1"/>
      <c r="H2" s="1"/>
      <c r="I2" s="1"/>
      <c r="Q2" s="1"/>
    </row>
    <row r="3" spans="1:17" x14ac:dyDescent="0.25">
      <c r="A3" s="1"/>
      <c r="B3" s="1"/>
      <c r="C3" s="1"/>
      <c r="G3" s="1"/>
      <c r="H3" s="1"/>
      <c r="I3" s="1"/>
      <c r="Q3" s="1"/>
    </row>
    <row r="4" spans="1:17" x14ac:dyDescent="0.25">
      <c r="A4" s="89" t="s">
        <v>116</v>
      </c>
      <c r="B4" s="90"/>
      <c r="C4" s="1"/>
      <c r="D4" s="1"/>
      <c r="E4" s="4"/>
      <c r="F4" s="42"/>
      <c r="G4" s="1"/>
      <c r="H4" s="1"/>
      <c r="I4" s="1"/>
      <c r="Q4" s="1"/>
    </row>
    <row r="5" spans="1:17" x14ac:dyDescent="0.25">
      <c r="A5" s="47" t="s">
        <v>103</v>
      </c>
      <c r="B5" s="10">
        <v>62255.28</v>
      </c>
      <c r="C5" s="41"/>
      <c r="D5" s="1"/>
      <c r="E5" s="1"/>
      <c r="F5" s="1"/>
      <c r="G5" s="1"/>
      <c r="H5" s="1"/>
      <c r="I5" s="1"/>
      <c r="Q5" s="1"/>
    </row>
    <row r="6" spans="1:17" x14ac:dyDescent="0.25">
      <c r="A6" s="47" t="s">
        <v>104</v>
      </c>
      <c r="B6" s="10">
        <v>71592</v>
      </c>
      <c r="C6" s="41"/>
      <c r="D6" s="1"/>
      <c r="E6" s="1"/>
      <c r="F6" s="1"/>
      <c r="G6" s="1"/>
      <c r="H6" s="1"/>
      <c r="I6" s="1"/>
      <c r="Q6" s="1"/>
    </row>
    <row r="7" spans="1:17" x14ac:dyDescent="0.25">
      <c r="A7" s="1"/>
      <c r="B7" s="1"/>
      <c r="C7" s="1"/>
      <c r="D7" s="1"/>
      <c r="E7" s="1"/>
      <c r="F7" s="1"/>
      <c r="G7" s="1"/>
      <c r="H7" s="1"/>
      <c r="I7" s="1"/>
      <c r="Q7" s="1"/>
    </row>
    <row r="8" spans="1:17" x14ac:dyDescent="0.25">
      <c r="A8" s="1"/>
      <c r="B8" s="1"/>
      <c r="C8" s="1"/>
      <c r="D8" s="1"/>
      <c r="E8" s="1"/>
      <c r="F8" s="1"/>
      <c r="G8" s="1"/>
      <c r="H8" s="1"/>
      <c r="I8" s="1"/>
      <c r="Q8" s="1"/>
    </row>
    <row r="9" spans="1:17" x14ac:dyDescent="0.25">
      <c r="A9" s="61" t="s">
        <v>128</v>
      </c>
      <c r="B9" s="61"/>
      <c r="C9" s="61"/>
      <c r="D9" s="1"/>
      <c r="E9" s="1"/>
      <c r="F9" s="1"/>
      <c r="G9" s="1"/>
      <c r="H9" s="1"/>
      <c r="I9" s="1"/>
      <c r="Q9" s="1"/>
    </row>
    <row r="10" spans="1:17" x14ac:dyDescent="0.25">
      <c r="A10" s="40" t="s">
        <v>130</v>
      </c>
      <c r="B10" s="40" t="s">
        <v>131</v>
      </c>
      <c r="C10" s="40" t="s">
        <v>132</v>
      </c>
      <c r="D10" s="1"/>
      <c r="E10" s="1"/>
      <c r="F10" s="1"/>
      <c r="G10" s="1"/>
      <c r="H10" s="1"/>
      <c r="I10" s="1"/>
      <c r="Q10" s="1"/>
    </row>
    <row r="11" spans="1:17" x14ac:dyDescent="0.25">
      <c r="A11" s="47" t="s">
        <v>146</v>
      </c>
      <c r="B11" s="11">
        <f>9.357576*4</f>
        <v>37.430304</v>
      </c>
      <c r="C11" s="8">
        <v>35</v>
      </c>
      <c r="D11" s="1"/>
      <c r="E11" s="1"/>
      <c r="F11" s="1"/>
      <c r="G11" s="1"/>
      <c r="H11" s="1"/>
      <c r="I11" s="1"/>
      <c r="Q11" s="1"/>
    </row>
    <row r="12" spans="1:17" x14ac:dyDescent="0.25">
      <c r="A12" s="47" t="s">
        <v>147</v>
      </c>
      <c r="B12" s="11">
        <f>9.357576*4</f>
        <v>37.430304</v>
      </c>
      <c r="C12" s="8">
        <v>35</v>
      </c>
      <c r="D12" s="1"/>
      <c r="E12" s="1"/>
      <c r="F12" s="1"/>
      <c r="G12" s="1"/>
      <c r="H12" s="1"/>
      <c r="I12" s="1"/>
      <c r="Q12" s="1"/>
    </row>
    <row r="13" spans="1:17" x14ac:dyDescent="0.25">
      <c r="A13" s="47" t="s">
        <v>148</v>
      </c>
      <c r="B13" s="11">
        <f>9.357576*4</f>
        <v>37.430304</v>
      </c>
      <c r="C13" s="8">
        <v>35</v>
      </c>
      <c r="D13" s="1"/>
      <c r="E13" s="1"/>
      <c r="F13" s="1"/>
      <c r="G13" s="1"/>
      <c r="H13" s="1"/>
      <c r="I13" s="1"/>
      <c r="Q13" s="1"/>
    </row>
    <row r="14" spans="1:17" x14ac:dyDescent="0.25">
      <c r="D14" s="41"/>
      <c r="E14" s="1"/>
      <c r="F14" s="1"/>
      <c r="G14" s="1"/>
      <c r="H14" s="1"/>
      <c r="I14" s="1"/>
      <c r="Q14" s="1"/>
    </row>
    <row r="15" spans="1:17" x14ac:dyDescent="0.25">
      <c r="D15" s="41"/>
      <c r="E15" s="1"/>
      <c r="F15" s="1"/>
      <c r="G15" s="1"/>
      <c r="H15" s="1"/>
      <c r="I15" s="1"/>
      <c r="Q15" s="1"/>
    </row>
    <row r="16" spans="1:17" x14ac:dyDescent="0.25">
      <c r="A16" s="61" t="s">
        <v>64</v>
      </c>
      <c r="B16" s="61"/>
      <c r="C16" s="61"/>
      <c r="D16" s="61"/>
      <c r="E16" s="61"/>
      <c r="F16" s="61"/>
      <c r="G16" s="61"/>
      <c r="H16" s="1"/>
      <c r="I16" s="1"/>
      <c r="Q16" s="1"/>
    </row>
    <row r="17" spans="1:17" x14ac:dyDescent="0.25">
      <c r="A17" s="40" t="s">
        <v>155</v>
      </c>
      <c r="B17" s="40" t="s">
        <v>156</v>
      </c>
      <c r="C17" s="40" t="s">
        <v>157</v>
      </c>
      <c r="D17" s="40" t="s">
        <v>36</v>
      </c>
      <c r="E17" s="40" t="s">
        <v>158</v>
      </c>
      <c r="F17" s="40" t="s">
        <v>159</v>
      </c>
      <c r="G17" s="40" t="s">
        <v>160</v>
      </c>
      <c r="H17" s="1"/>
      <c r="I17" s="1"/>
      <c r="Q17" s="1"/>
    </row>
    <row r="18" spans="1:17" x14ac:dyDescent="0.25">
      <c r="A18" s="47">
        <v>1</v>
      </c>
      <c r="B18" s="47" t="s">
        <v>115</v>
      </c>
      <c r="C18" s="47" t="s">
        <v>113</v>
      </c>
      <c r="D18" s="47">
        <v>1</v>
      </c>
      <c r="E18" s="47">
        <v>92</v>
      </c>
      <c r="F18" s="30">
        <v>8</v>
      </c>
      <c r="G18" s="47" t="s">
        <v>114</v>
      </c>
      <c r="H18" s="1"/>
      <c r="I18" s="1"/>
      <c r="Q18" s="1"/>
    </row>
    <row r="19" spans="1:17" x14ac:dyDescent="0.25">
      <c r="H19" s="1"/>
      <c r="I19" s="1"/>
      <c r="Q19" s="1"/>
    </row>
    <row r="20" spans="1:17" x14ac:dyDescent="0.25">
      <c r="H20" s="1"/>
      <c r="I20" s="1"/>
      <c r="Q20" s="1"/>
    </row>
    <row r="21" spans="1:17" x14ac:dyDescent="0.25">
      <c r="A21" s="61" t="s">
        <v>62</v>
      </c>
      <c r="B21" s="61"/>
      <c r="H21" s="1"/>
      <c r="I21" s="1"/>
      <c r="Q21" s="1"/>
    </row>
    <row r="22" spans="1:17" x14ac:dyDescent="0.25">
      <c r="A22" s="40" t="s">
        <v>117</v>
      </c>
      <c r="B22" s="40" t="s">
        <v>118</v>
      </c>
      <c r="H22" s="1"/>
      <c r="I22" s="1"/>
      <c r="J22" s="1"/>
      <c r="K22" s="1"/>
      <c r="L22" s="1"/>
      <c r="M22" s="1"/>
      <c r="N22" s="1"/>
      <c r="O22" s="1"/>
      <c r="P22" s="1"/>
      <c r="Q22" s="1"/>
    </row>
    <row r="23" spans="1:17" x14ac:dyDescent="0.25">
      <c r="A23" s="88" t="s">
        <v>119</v>
      </c>
      <c r="B23" s="47" t="s">
        <v>120</v>
      </c>
      <c r="H23" s="1"/>
      <c r="I23" s="1"/>
      <c r="J23" s="1"/>
      <c r="K23" s="1"/>
      <c r="L23" s="1"/>
      <c r="M23" s="1"/>
      <c r="N23" s="1"/>
      <c r="O23" s="1"/>
      <c r="P23" s="1"/>
      <c r="Q23" s="1"/>
    </row>
    <row r="24" spans="1:17" x14ac:dyDescent="0.25">
      <c r="A24" s="88"/>
      <c r="B24" s="47" t="s">
        <v>121</v>
      </c>
      <c r="H24" s="1"/>
      <c r="I24" s="1"/>
      <c r="J24" s="1"/>
      <c r="K24" s="1"/>
      <c r="L24" s="1"/>
      <c r="M24" s="1"/>
      <c r="N24" s="1"/>
      <c r="O24" s="1"/>
      <c r="P24" s="1"/>
      <c r="Q24" s="1"/>
    </row>
    <row r="25" spans="1:17" x14ac:dyDescent="0.25">
      <c r="A25" s="47" t="s">
        <v>122</v>
      </c>
      <c r="B25" s="47" t="s">
        <v>63</v>
      </c>
      <c r="H25" s="1"/>
      <c r="I25" s="1"/>
      <c r="Q25" s="1"/>
    </row>
    <row r="26" spans="1:17" x14ac:dyDescent="0.25">
      <c r="A26" s="47" t="s">
        <v>123</v>
      </c>
      <c r="B26" s="47" t="s">
        <v>121</v>
      </c>
    </row>
    <row r="27" spans="1:17" x14ac:dyDescent="0.25">
      <c r="A27" s="47" t="s">
        <v>124</v>
      </c>
      <c r="B27" s="47" t="s">
        <v>125</v>
      </c>
      <c r="C27" s="1"/>
      <c r="D27" s="1"/>
      <c r="E27" s="1"/>
      <c r="F27" s="1"/>
      <c r="G27" s="1"/>
    </row>
    <row r="28" spans="1:17" x14ac:dyDescent="0.25">
      <c r="C28" s="1"/>
      <c r="D28" s="1"/>
      <c r="E28" s="1"/>
      <c r="F28" s="1"/>
      <c r="G28" s="1"/>
    </row>
    <row r="29" spans="1:17" x14ac:dyDescent="0.25">
      <c r="C29" s="1"/>
      <c r="D29" s="1"/>
      <c r="E29" s="1"/>
      <c r="F29" s="1"/>
      <c r="G29" s="1"/>
    </row>
    <row r="30" spans="1:17" x14ac:dyDescent="0.25">
      <c r="C30" s="1"/>
      <c r="D30" s="1"/>
      <c r="E30" s="1"/>
      <c r="F30" s="1"/>
      <c r="G30" s="1"/>
    </row>
    <row r="31" spans="1:17" x14ac:dyDescent="0.25">
      <c r="C31" s="1"/>
      <c r="D31" s="1"/>
      <c r="E31" s="1"/>
      <c r="F31" s="1"/>
      <c r="G31" s="1"/>
    </row>
    <row r="32" spans="1:17" x14ac:dyDescent="0.25">
      <c r="C32" s="1"/>
      <c r="D32" s="1"/>
      <c r="E32" s="1"/>
      <c r="F32" s="1"/>
      <c r="G32" s="1"/>
    </row>
    <row r="33" spans="3:7" x14ac:dyDescent="0.25">
      <c r="C33" s="1"/>
      <c r="D33" s="1"/>
      <c r="E33" s="1"/>
      <c r="F33" s="1"/>
      <c r="G33" s="1"/>
    </row>
    <row r="34" spans="3:7" x14ac:dyDescent="0.25">
      <c r="C34" s="1"/>
      <c r="D34" s="1"/>
      <c r="E34" s="1"/>
      <c r="F34" s="1"/>
      <c r="G34" s="1"/>
    </row>
    <row r="35" spans="3:7" x14ac:dyDescent="0.25">
      <c r="C35" s="1"/>
      <c r="D35" s="1"/>
      <c r="E35" s="1"/>
      <c r="F35" s="1"/>
      <c r="G35" s="1"/>
    </row>
    <row r="36" spans="3:7" x14ac:dyDescent="0.25">
      <c r="C36" s="1"/>
      <c r="D36" s="1"/>
      <c r="E36" s="1"/>
      <c r="F36" s="1"/>
      <c r="G36" s="1"/>
    </row>
  </sheetData>
  <sheetProtection algorithmName="SHA-512" hashValue="MHG9RWbWeNb4t+v3kZzJlqw1Fnj2yMWrWwzOPcG6T8MH/Kc8RVSTy34KRHiY1W9ZaN6BThTVvf8SUecR4hvTrA==" saltValue="wkW7DFWhU5TkIdYpF2Jw5w==" spinCount="100000" sheet="1" objects="1" scenarios="1"/>
  <mergeCells count="5">
    <mergeCell ref="A23:A24"/>
    <mergeCell ref="A21:B21"/>
    <mergeCell ref="A16:G16"/>
    <mergeCell ref="A9:C9"/>
    <mergeCell ref="A4:B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workbookViewId="0">
      <selection activeCell="G13" sqref="G13"/>
    </sheetView>
  </sheetViews>
  <sheetFormatPr defaultRowHeight="15" x14ac:dyDescent="0.25"/>
  <cols>
    <col min="1" max="1" width="26.85546875" bestFit="1" customWidth="1"/>
    <col min="2" max="2" width="21.7109375" customWidth="1"/>
    <col min="3" max="3" width="19.7109375" customWidth="1"/>
    <col min="4" max="4" width="15.7109375" bestFit="1" customWidth="1"/>
    <col min="5" max="6" width="19.7109375" bestFit="1" customWidth="1"/>
    <col min="7" max="7" width="16.85546875" bestFit="1" customWidth="1"/>
    <col min="8" max="10" width="12.28515625" customWidth="1"/>
  </cols>
  <sheetData>
    <row r="1" spans="1:12" x14ac:dyDescent="0.25">
      <c r="A1" s="2" t="s">
        <v>129</v>
      </c>
      <c r="B1" s="4"/>
      <c r="C1" s="4"/>
      <c r="D1" s="4"/>
      <c r="E1" s="4"/>
      <c r="F1" s="4"/>
      <c r="G1" s="4"/>
      <c r="H1" s="4"/>
      <c r="I1" s="4"/>
      <c r="J1" s="4"/>
      <c r="K1" s="4"/>
      <c r="L1" s="4"/>
    </row>
    <row r="2" spans="1:12" x14ac:dyDescent="0.25">
      <c r="A2" s="4"/>
      <c r="B2" s="4"/>
      <c r="C2" s="4"/>
      <c r="D2" s="4"/>
      <c r="E2" s="4"/>
      <c r="F2" s="4"/>
      <c r="G2" s="4"/>
      <c r="H2" s="4"/>
      <c r="I2" s="4"/>
      <c r="J2" s="4"/>
      <c r="K2" s="4"/>
      <c r="L2" s="4"/>
    </row>
    <row r="3" spans="1:12" ht="21.75" customHeight="1" x14ac:dyDescent="0.25">
      <c r="A3" s="86" t="s">
        <v>0</v>
      </c>
      <c r="B3" s="86" t="s">
        <v>144</v>
      </c>
      <c r="C3" s="86" t="s">
        <v>145</v>
      </c>
      <c r="D3" s="86" t="s">
        <v>133</v>
      </c>
      <c r="E3" s="91" t="s">
        <v>134</v>
      </c>
      <c r="F3" s="91" t="s">
        <v>135</v>
      </c>
      <c r="G3" s="91" t="s">
        <v>142</v>
      </c>
      <c r="H3" s="91" t="s">
        <v>136</v>
      </c>
      <c r="I3" s="86"/>
      <c r="J3" s="86"/>
      <c r="K3" s="4"/>
      <c r="L3" s="4"/>
    </row>
    <row r="4" spans="1:12" ht="19.5" customHeight="1" x14ac:dyDescent="0.25">
      <c r="A4" s="86"/>
      <c r="B4" s="86"/>
      <c r="C4" s="86"/>
      <c r="D4" s="86"/>
      <c r="E4" s="86"/>
      <c r="F4" s="86"/>
      <c r="G4" s="86"/>
      <c r="H4" s="45" t="s">
        <v>67</v>
      </c>
      <c r="I4" s="45" t="s">
        <v>151</v>
      </c>
      <c r="J4" s="45" t="s">
        <v>152</v>
      </c>
      <c r="K4" s="4"/>
      <c r="L4" s="4"/>
    </row>
    <row r="5" spans="1:12" x14ac:dyDescent="0.25">
      <c r="A5" s="47" t="s">
        <v>164</v>
      </c>
      <c r="B5" s="47">
        <v>-20.354306000000001</v>
      </c>
      <c r="C5" s="47">
        <v>-40.298194000000002</v>
      </c>
      <c r="D5" s="47" t="s">
        <v>128</v>
      </c>
      <c r="E5" s="47">
        <f>Dados!B11*60</f>
        <v>2245.8182400000001</v>
      </c>
      <c r="F5" s="36">
        <f>(E5)*(273.15/(Dados!C11+273.15))</f>
        <v>1990.7358502547461</v>
      </c>
      <c r="G5" s="47">
        <v>50</v>
      </c>
      <c r="H5" s="7">
        <f>F5*G5/1000000</f>
        <v>9.9536792512737296E-2</v>
      </c>
      <c r="I5" s="7">
        <f>H5*0.85</f>
        <v>8.4606273635826693E-2</v>
      </c>
      <c r="J5" s="7">
        <f>H5*0.3</f>
        <v>2.9861037753821186E-2</v>
      </c>
      <c r="K5" s="4"/>
      <c r="L5" s="4"/>
    </row>
    <row r="6" spans="1:12" x14ac:dyDescent="0.25">
      <c r="A6" s="47" t="s">
        <v>165</v>
      </c>
      <c r="B6" s="47">
        <v>-20.354333</v>
      </c>
      <c r="C6" s="47">
        <v>-40.298222000000003</v>
      </c>
      <c r="D6" s="47" t="s">
        <v>128</v>
      </c>
      <c r="E6" s="47">
        <f>Dados!B12*60</f>
        <v>2245.8182400000001</v>
      </c>
      <c r="F6" s="36">
        <f>(E6)*(273.15/(Dados!C12+273.15))</f>
        <v>1990.7358502547461</v>
      </c>
      <c r="G6" s="49">
        <v>50</v>
      </c>
      <c r="H6" s="7">
        <f t="shared" ref="H6:H7" si="0">F6*G6/1000000</f>
        <v>9.9536792512737296E-2</v>
      </c>
      <c r="I6" s="7">
        <f t="shared" ref="I6:I7" si="1">H6*0.85</f>
        <v>8.4606273635826693E-2</v>
      </c>
      <c r="J6" s="7">
        <f t="shared" ref="J6:J7" si="2">H6*0.3</f>
        <v>2.9861037753821186E-2</v>
      </c>
      <c r="K6" s="44"/>
      <c r="L6" s="44"/>
    </row>
    <row r="7" spans="1:12" x14ac:dyDescent="0.25">
      <c r="A7" s="47" t="s">
        <v>166</v>
      </c>
      <c r="B7" s="47">
        <v>-20.354333</v>
      </c>
      <c r="C7" s="47">
        <v>-40.298138999999999</v>
      </c>
      <c r="D7" s="47" t="s">
        <v>128</v>
      </c>
      <c r="E7" s="47">
        <f>Dados!B13*60</f>
        <v>2245.8182400000001</v>
      </c>
      <c r="F7" s="36">
        <f>(E7)*(273.15/(Dados!C13+273.15))</f>
        <v>1990.7358502547461</v>
      </c>
      <c r="G7" s="49">
        <v>50</v>
      </c>
      <c r="H7" s="7">
        <f t="shared" si="0"/>
        <v>9.9536792512737296E-2</v>
      </c>
      <c r="I7" s="7">
        <f t="shared" si="1"/>
        <v>8.4606273635826693E-2</v>
      </c>
      <c r="J7" s="7">
        <f t="shared" si="2"/>
        <v>2.9861037753821186E-2</v>
      </c>
      <c r="K7" s="44"/>
      <c r="L7" s="44"/>
    </row>
    <row r="8" spans="1:12" x14ac:dyDescent="0.25">
      <c r="A8" s="61" t="s">
        <v>102</v>
      </c>
      <c r="B8" s="61"/>
      <c r="C8" s="61"/>
      <c r="D8" s="61"/>
      <c r="E8" s="61"/>
      <c r="F8" s="61"/>
      <c r="G8" s="61"/>
      <c r="H8" s="52">
        <f>SUM(H5:H7)</f>
        <v>0.2986103775382119</v>
      </c>
      <c r="I8" s="52">
        <f t="shared" ref="I8:J8" si="3">SUM(I5:I7)</f>
        <v>0.25381882090748009</v>
      </c>
      <c r="J8" s="52">
        <f t="shared" si="3"/>
        <v>8.9583113261463565E-2</v>
      </c>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row r="11" spans="1:12" x14ac:dyDescent="0.25">
      <c r="A11" s="4"/>
      <c r="B11" s="4"/>
      <c r="C11" s="4"/>
      <c r="D11" s="4"/>
      <c r="E11" s="4"/>
      <c r="F11" s="4"/>
      <c r="G11" s="4"/>
      <c r="H11" s="4"/>
      <c r="I11" s="4"/>
      <c r="J11" s="4"/>
      <c r="K11" s="4"/>
      <c r="L11" s="4"/>
    </row>
  </sheetData>
  <sheetProtection algorithmName="SHA-512" hashValue="/2lsm66ks1V5Hybf5IIdejVbLJ7WQ40LRE3bu4RgQBpm3VMobXOBS9mXnZi+C6NrN9F+2rcFt2t7IS1E+S0Y9w==" saltValue="kB76nQ3iHytfVlnXQD0eOQ==" spinCount="100000" sheet="1" objects="1" scenarios="1"/>
  <mergeCells count="9">
    <mergeCell ref="G3:G4"/>
    <mergeCell ref="H3:J3"/>
    <mergeCell ref="A8:G8"/>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5"/>
  <sheetViews>
    <sheetView zoomScaleNormal="100" workbookViewId="0">
      <selection activeCell="G23" sqref="G23"/>
    </sheetView>
  </sheetViews>
  <sheetFormatPr defaultRowHeight="15" customHeight="1" x14ac:dyDescent="0.25"/>
  <cols>
    <col min="1" max="1" width="42.5703125" style="2" customWidth="1"/>
    <col min="2" max="3" width="18.28515625" style="2" customWidth="1"/>
    <col min="4" max="5" width="18" style="2" customWidth="1"/>
    <col min="6" max="6" width="18" style="21" customWidth="1"/>
    <col min="7" max="8" width="15.7109375" style="2" customWidth="1"/>
    <col min="9" max="9" width="9.5703125" style="21" customWidth="1"/>
    <col min="10" max="12" width="9.140625" style="21"/>
    <col min="13" max="16384" width="9.140625" style="2"/>
  </cols>
  <sheetData>
    <row r="1" spans="1:15" ht="15" customHeight="1" x14ac:dyDescent="0.25">
      <c r="A1" s="29" t="s">
        <v>137</v>
      </c>
      <c r="B1" s="22">
        <v>10</v>
      </c>
      <c r="C1" s="22"/>
    </row>
    <row r="2" spans="1:15" ht="15" customHeight="1" x14ac:dyDescent="0.25">
      <c r="A2" s="2" t="s">
        <v>126</v>
      </c>
      <c r="B2" s="36">
        <f>Dados!B5/(365*24)</f>
        <v>7.1067671232876712</v>
      </c>
      <c r="C2" s="30"/>
    </row>
    <row r="3" spans="1:15" ht="15" customHeight="1" x14ac:dyDescent="0.25">
      <c r="A3" s="2" t="s">
        <v>106</v>
      </c>
      <c r="B3" s="10">
        <f>Dados!B6/(365*24)</f>
        <v>8.1726027397260275</v>
      </c>
      <c r="C3" s="30"/>
    </row>
    <row r="4" spans="1:15" ht="15" customHeight="1" x14ac:dyDescent="0.25">
      <c r="A4" s="2" t="s">
        <v>168</v>
      </c>
      <c r="B4" s="31">
        <v>4.2</v>
      </c>
      <c r="C4" s="30"/>
    </row>
    <row r="5" spans="1:15" ht="15" customHeight="1" x14ac:dyDescent="0.25">
      <c r="A5"/>
      <c r="B5" s="37"/>
      <c r="C5" s="31"/>
    </row>
    <row r="7" spans="1:15" ht="15" customHeight="1" x14ac:dyDescent="0.25">
      <c r="A7" s="29" t="s">
        <v>154</v>
      </c>
    </row>
    <row r="8" spans="1:15" ht="15" customHeight="1" x14ac:dyDescent="0.25">
      <c r="A8" s="86" t="s">
        <v>0</v>
      </c>
      <c r="B8" s="86" t="s">
        <v>74</v>
      </c>
      <c r="C8" s="91" t="s">
        <v>96</v>
      </c>
      <c r="D8" s="87" t="s">
        <v>97</v>
      </c>
      <c r="E8" s="87" t="s">
        <v>98</v>
      </c>
      <c r="F8" s="87" t="s">
        <v>99</v>
      </c>
      <c r="G8" s="86" t="s">
        <v>144</v>
      </c>
      <c r="H8" s="86" t="s">
        <v>145</v>
      </c>
      <c r="I8" s="87" t="s">
        <v>169</v>
      </c>
      <c r="J8" s="86" t="s">
        <v>100</v>
      </c>
      <c r="K8" s="86"/>
      <c r="L8" s="86"/>
      <c r="M8" s="86" t="s">
        <v>1</v>
      </c>
      <c r="N8" s="86"/>
      <c r="O8" s="86"/>
    </row>
    <row r="9" spans="1:15" ht="15" customHeight="1" x14ac:dyDescent="0.25">
      <c r="A9" s="86"/>
      <c r="B9" s="86"/>
      <c r="C9" s="91"/>
      <c r="D9" s="87"/>
      <c r="E9" s="87"/>
      <c r="F9" s="87"/>
      <c r="G9" s="86"/>
      <c r="H9" s="86"/>
      <c r="I9" s="87"/>
      <c r="J9" s="48" t="s">
        <v>2</v>
      </c>
      <c r="K9" s="48" t="s">
        <v>3</v>
      </c>
      <c r="L9" s="48" t="s">
        <v>101</v>
      </c>
      <c r="M9" s="48" t="s">
        <v>2</v>
      </c>
      <c r="N9" s="48" t="s">
        <v>3</v>
      </c>
      <c r="O9" s="48" t="s">
        <v>101</v>
      </c>
    </row>
    <row r="10" spans="1:15" s="3" customFormat="1" ht="15" customHeight="1" x14ac:dyDescent="0.25">
      <c r="A10" s="32" t="s">
        <v>127</v>
      </c>
      <c r="B10" s="8" t="s">
        <v>103</v>
      </c>
      <c r="C10" s="35">
        <f>'FE-Transferências'!$L$5</f>
        <v>7.4</v>
      </c>
      <c r="D10" s="8" t="s">
        <v>121</v>
      </c>
      <c r="E10" s="8">
        <v>50</v>
      </c>
      <c r="F10" s="38">
        <f>B2</f>
        <v>7.1067671232876712</v>
      </c>
      <c r="G10" s="92">
        <v>-20.354372000000001</v>
      </c>
      <c r="H10" s="92">
        <v>-40.298180000000002</v>
      </c>
      <c r="I10" s="8">
        <v>5</v>
      </c>
      <c r="J10" s="33">
        <f>'FE-Transferências'!$A$4*0.0016*((($B$4/2.2)^1.3)/($C$10/2)^1.4)</f>
        <v>4.3948482222233288E-4</v>
      </c>
      <c r="K10" s="33">
        <f>'FE-Transferências'!$C$4*0.0016*((($B$4/2.2)^1.3)/($C$10/2)^1.4)</f>
        <v>2.0786444294299528E-4</v>
      </c>
      <c r="L10" s="33">
        <f>'FE-Transferências'!$E$4*0.0016*((($B$4/2.2)^1.3)/($C$10/2)^1.4)</f>
        <v>3.1476615645653572E-5</v>
      </c>
      <c r="M10" s="34">
        <f t="shared" ref="M10:M11" si="0">F10*J10*(1-E10/100)</f>
        <v>1.5616581428768012E-3</v>
      </c>
      <c r="N10" s="34">
        <f t="shared" ref="N10:N11" si="1">F10*K10*(1-E10/100)</f>
        <v>7.386220946038924E-4</v>
      </c>
      <c r="O10" s="34">
        <f t="shared" ref="O10:O11" si="2">F10*L10*(1-E10/100)</f>
        <v>1.1184848861144657E-4</v>
      </c>
    </row>
    <row r="11" spans="1:15" s="3" customFormat="1" ht="15" customHeight="1" x14ac:dyDescent="0.25">
      <c r="A11" s="53" t="s">
        <v>111</v>
      </c>
      <c r="B11" s="47" t="s">
        <v>104</v>
      </c>
      <c r="C11" s="47">
        <v>1</v>
      </c>
      <c r="D11" s="8" t="s">
        <v>121</v>
      </c>
      <c r="E11" s="8">
        <v>50</v>
      </c>
      <c r="F11" s="10">
        <f>B3</f>
        <v>8.1726027397260275</v>
      </c>
      <c r="G11" s="93"/>
      <c r="H11" s="93"/>
      <c r="I11" s="8">
        <v>5</v>
      </c>
      <c r="J11" s="33">
        <f>'FE-Transferências'!$A$4*0.0016*((($B$4/2.2)^1.3)/($C$10/2)^1.4)</f>
        <v>4.3948482222233288E-4</v>
      </c>
      <c r="K11" s="33">
        <f>'FE-Transferências'!$C$4*0.0016*((($B$4/2.2)^1.3)/($C$10/2)^1.4)</f>
        <v>2.0786444294299528E-4</v>
      </c>
      <c r="L11" s="33">
        <f>'FE-Transferências'!$E$4*0.0016*((($B$4/2.2)^1.3)/($C$10/2)^1.4)</f>
        <v>3.1476615645653572E-5</v>
      </c>
      <c r="M11" s="34">
        <f t="shared" si="0"/>
        <v>1.795867431081122E-3</v>
      </c>
      <c r="N11" s="34">
        <f t="shared" si="1"/>
        <v>8.4939675794377392E-4</v>
      </c>
      <c r="O11" s="34">
        <f t="shared" si="2"/>
        <v>1.2862293763148575E-4</v>
      </c>
    </row>
    <row r="12" spans="1:15" s="3" customFormat="1" ht="15" customHeight="1" x14ac:dyDescent="0.25">
      <c r="A12" s="53" t="s">
        <v>138</v>
      </c>
      <c r="B12" s="47" t="s">
        <v>103</v>
      </c>
      <c r="C12" s="35">
        <f>'FE-Transferências'!$L$5</f>
        <v>7.4</v>
      </c>
      <c r="D12" s="47" t="s">
        <v>107</v>
      </c>
      <c r="E12" s="47">
        <v>70</v>
      </c>
      <c r="F12" s="30">
        <f>B2</f>
        <v>7.1067671232876712</v>
      </c>
      <c r="G12" s="93"/>
      <c r="H12" s="93"/>
      <c r="I12" s="8">
        <v>10</v>
      </c>
      <c r="J12" s="33">
        <f>'FE-Transferências'!$A$4*0.0016*((($B$4/2.2)^1.3)/($C$10/2)^1.4)</f>
        <v>4.3948482222233288E-4</v>
      </c>
      <c r="K12" s="33">
        <f>'FE-Transferências'!$C$4*0.0016*((($B$4/2.2)^1.3)/($C$10/2)^1.4)</f>
        <v>2.0786444294299528E-4</v>
      </c>
      <c r="L12" s="33">
        <f>'FE-Transferências'!$E$4*0.0016*((($B$4/2.2)^1.3)/($C$10/2)^1.4)</f>
        <v>3.1476615645653572E-5</v>
      </c>
      <c r="M12" s="34">
        <f t="shared" ref="M12:M13" si="3">F12*J12*(1-E12/100)</f>
        <v>9.3699488572608083E-4</v>
      </c>
      <c r="N12" s="34">
        <f t="shared" ref="N12:N15" si="4">F12*K12*(1-E12/100)</f>
        <v>4.4317325676233551E-4</v>
      </c>
      <c r="O12" s="34">
        <f t="shared" ref="O12:O15" si="5">F12*L12*(1-E12/100)</f>
        <v>6.7109093166867949E-5</v>
      </c>
    </row>
    <row r="13" spans="1:15" s="3" customFormat="1" ht="15" customHeight="1" x14ac:dyDescent="0.25">
      <c r="A13" s="53" t="s">
        <v>139</v>
      </c>
      <c r="B13" s="47" t="s">
        <v>104</v>
      </c>
      <c r="C13" s="47">
        <v>1</v>
      </c>
      <c r="D13" s="47" t="s">
        <v>107</v>
      </c>
      <c r="E13" s="47">
        <v>70</v>
      </c>
      <c r="F13" s="10">
        <f>B3</f>
        <v>8.1726027397260275</v>
      </c>
      <c r="G13" s="93"/>
      <c r="H13" s="93"/>
      <c r="I13" s="8">
        <v>10</v>
      </c>
      <c r="J13" s="33">
        <f>'FE-Transferências'!$A$4*0.0016*((($B$4/2.2)^1.3)/($C$10/2)^1.4)</f>
        <v>4.3948482222233288E-4</v>
      </c>
      <c r="K13" s="33">
        <f>'FE-Transferências'!$C$4*0.0016*((($B$4/2.2)^1.3)/($C$10/2)^1.4)</f>
        <v>2.0786444294299528E-4</v>
      </c>
      <c r="L13" s="33">
        <f>'FE-Transferências'!$E$4*0.0016*((($B$4/2.2)^1.3)/($C$10/2)^1.4)</f>
        <v>3.1476615645653572E-5</v>
      </c>
      <c r="M13" s="34">
        <f t="shared" si="3"/>
        <v>1.0775204586486733E-3</v>
      </c>
      <c r="N13" s="34">
        <f t="shared" si="4"/>
        <v>5.0963805476626441E-4</v>
      </c>
      <c r="O13" s="34">
        <f t="shared" si="5"/>
        <v>7.717376257889146E-5</v>
      </c>
    </row>
    <row r="14" spans="1:15" s="3" customFormat="1" ht="15" customHeight="1" x14ac:dyDescent="0.25">
      <c r="A14" s="53" t="s">
        <v>140</v>
      </c>
      <c r="B14" s="8" t="s">
        <v>103</v>
      </c>
      <c r="C14" s="35">
        <f>'FE-Transferências'!$L$5</f>
        <v>7.4</v>
      </c>
      <c r="D14" s="47" t="s">
        <v>107</v>
      </c>
      <c r="E14" s="47">
        <v>70</v>
      </c>
      <c r="F14" s="30">
        <f>B2</f>
        <v>7.1067671232876712</v>
      </c>
      <c r="G14" s="93"/>
      <c r="H14" s="93"/>
      <c r="I14" s="8">
        <v>5</v>
      </c>
      <c r="J14" s="33">
        <f>'FE-Transferências'!$A$4*0.0016*((($B$4/2.2)^1.3)/($C$10/2)^1.4)</f>
        <v>4.3948482222233288E-4</v>
      </c>
      <c r="K14" s="33">
        <f>'FE-Transferências'!$C$4*0.0016*((($B$4/2.2)^1.3)/($C$10/2)^1.4)</f>
        <v>2.0786444294299528E-4</v>
      </c>
      <c r="L14" s="33">
        <f>'FE-Transferências'!$E$4*0.0016*((($B$4/2.2)^1.3)/($C$10/2)^1.4)</f>
        <v>3.1476615645653572E-5</v>
      </c>
      <c r="M14" s="34">
        <f t="shared" ref="M14:M15" si="6">F14*J14*(1-E14/100)</f>
        <v>9.3699488572608083E-4</v>
      </c>
      <c r="N14" s="34">
        <f t="shared" si="4"/>
        <v>4.4317325676233551E-4</v>
      </c>
      <c r="O14" s="34">
        <f t="shared" si="5"/>
        <v>6.7109093166867949E-5</v>
      </c>
    </row>
    <row r="15" spans="1:15" s="3" customFormat="1" ht="15" customHeight="1" x14ac:dyDescent="0.25">
      <c r="A15" s="53" t="s">
        <v>141</v>
      </c>
      <c r="B15" s="47" t="s">
        <v>104</v>
      </c>
      <c r="C15" s="47">
        <v>1</v>
      </c>
      <c r="D15" s="47" t="s">
        <v>107</v>
      </c>
      <c r="E15" s="47">
        <v>70</v>
      </c>
      <c r="F15" s="10">
        <f>B3</f>
        <v>8.1726027397260275</v>
      </c>
      <c r="G15" s="93"/>
      <c r="H15" s="93"/>
      <c r="I15" s="8">
        <v>5</v>
      </c>
      <c r="J15" s="33">
        <f>'FE-Transferências'!$A$4*0.0016*((($B$4/2.2)^1.3)/($C$10/2)^1.4)</f>
        <v>4.3948482222233288E-4</v>
      </c>
      <c r="K15" s="33">
        <f>'FE-Transferências'!$C$4*0.0016*((($B$4/2.2)^1.3)/($C$10/2)^1.4)</f>
        <v>2.0786444294299528E-4</v>
      </c>
      <c r="L15" s="33">
        <f>'FE-Transferências'!$E$4*0.0016*((($B$4/2.2)^1.3)/($C$10/2)^1.4)</f>
        <v>3.1476615645653572E-5</v>
      </c>
      <c r="M15" s="34">
        <f t="shared" si="6"/>
        <v>1.0775204586486733E-3</v>
      </c>
      <c r="N15" s="34">
        <f t="shared" si="4"/>
        <v>5.0963805476626441E-4</v>
      </c>
      <c r="O15" s="34">
        <f t="shared" si="5"/>
        <v>7.717376257889146E-5</v>
      </c>
    </row>
    <row r="16" spans="1:15" ht="15" customHeight="1" x14ac:dyDescent="0.25">
      <c r="A16" s="58" t="s">
        <v>102</v>
      </c>
      <c r="B16" s="59"/>
      <c r="C16" s="59"/>
      <c r="D16" s="59"/>
      <c r="E16" s="59"/>
      <c r="F16" s="59"/>
      <c r="G16" s="59"/>
      <c r="H16" s="59"/>
      <c r="I16" s="59"/>
      <c r="J16" s="59"/>
      <c r="K16" s="59"/>
      <c r="L16" s="60"/>
      <c r="M16" s="51">
        <f>SUM(M10:M15)</f>
        <v>7.3865562627074312E-3</v>
      </c>
      <c r="N16" s="51">
        <f>SUM(N10:N15)</f>
        <v>3.4936414756048667E-3</v>
      </c>
      <c r="O16" s="51">
        <f>SUM(O10:O15)</f>
        <v>5.2903713773445112E-4</v>
      </c>
    </row>
    <row r="17" spans="1:10" ht="15" customHeight="1" x14ac:dyDescent="0.2">
      <c r="A17" s="2" t="s">
        <v>167</v>
      </c>
      <c r="B17" s="1"/>
      <c r="C17" s="1"/>
    </row>
    <row r="18" spans="1:10" ht="15" customHeight="1" x14ac:dyDescent="0.2">
      <c r="A18" s="46"/>
      <c r="B18" s="1"/>
      <c r="C18" s="1"/>
      <c r="J18" s="39"/>
    </row>
    <row r="19" spans="1:10" ht="15" customHeight="1" x14ac:dyDescent="0.2">
      <c r="A19" s="1"/>
      <c r="B19" s="1"/>
      <c r="C19" s="1"/>
    </row>
    <row r="20" spans="1:10" ht="15" customHeight="1" x14ac:dyDescent="0.2">
      <c r="A20" s="1"/>
      <c r="B20" s="1"/>
      <c r="C20" s="1"/>
    </row>
    <row r="21" spans="1:10" ht="15" customHeight="1" x14ac:dyDescent="0.2">
      <c r="A21" s="1"/>
      <c r="B21" s="1"/>
      <c r="C21" s="1"/>
    </row>
    <row r="22" spans="1:10" ht="15" customHeight="1" x14ac:dyDescent="0.2">
      <c r="A22" s="1"/>
      <c r="B22" s="1"/>
      <c r="C22" s="1"/>
    </row>
    <row r="23" spans="1:10" ht="15" customHeight="1" x14ac:dyDescent="0.25">
      <c r="A23"/>
      <c r="B23"/>
      <c r="C23"/>
    </row>
    <row r="24" spans="1:10" ht="15" customHeight="1" x14ac:dyDescent="0.25">
      <c r="A24"/>
      <c r="B24"/>
      <c r="C24"/>
    </row>
    <row r="25" spans="1:10" ht="15" customHeight="1" x14ac:dyDescent="0.25">
      <c r="A25"/>
      <c r="B25"/>
      <c r="C25"/>
    </row>
  </sheetData>
  <sheetProtection algorithmName="SHA-512" hashValue="eb4HRKPp6owx02rwiz6J/vS1akcJzsbKPpvNmw3jeMa4qMuSE8yqy55NHgM8nlt0w6A0325rIpDpSTwDnqNVEQ==" saltValue="8Dd3l3L8eXuZhF3YNGJolQ==" spinCount="100000" sheet="1" objects="1" scenarios="1"/>
  <mergeCells count="14">
    <mergeCell ref="A16:L16"/>
    <mergeCell ref="J8:L8"/>
    <mergeCell ref="M8:O8"/>
    <mergeCell ref="F8:F9"/>
    <mergeCell ref="G8:G9"/>
    <mergeCell ref="H8:H9"/>
    <mergeCell ref="I8:I9"/>
    <mergeCell ref="A8:A9"/>
    <mergeCell ref="B8:B9"/>
    <mergeCell ref="C8:C9"/>
    <mergeCell ref="D8:D9"/>
    <mergeCell ref="E8:E9"/>
    <mergeCell ref="G10:G15"/>
    <mergeCell ref="H10:H15"/>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O24" sqref="O24"/>
    </sheetView>
  </sheetViews>
  <sheetFormatPr defaultRowHeight="15" x14ac:dyDescent="0.25"/>
  <sheetData>
    <row r="1" spans="1:8" ht="15" customHeight="1" x14ac:dyDescent="0.25">
      <c r="A1" s="94" t="s">
        <v>150</v>
      </c>
      <c r="B1" s="94"/>
      <c r="C1" s="94"/>
      <c r="D1" s="94"/>
      <c r="E1" s="94"/>
      <c r="F1" s="94"/>
      <c r="G1" s="94"/>
      <c r="H1" s="94"/>
    </row>
    <row r="2" spans="1:8" x14ac:dyDescent="0.25">
      <c r="A2" s="94"/>
      <c r="B2" s="94"/>
      <c r="C2" s="94"/>
      <c r="D2" s="94"/>
      <c r="E2" s="94"/>
      <c r="F2" s="94"/>
      <c r="G2" s="94"/>
      <c r="H2" s="94"/>
    </row>
    <row r="3" spans="1:8" x14ac:dyDescent="0.25">
      <c r="A3" s="94"/>
      <c r="B3" s="94"/>
      <c r="C3" s="94"/>
      <c r="D3" s="94"/>
      <c r="E3" s="94"/>
      <c r="F3" s="94"/>
      <c r="G3" s="94"/>
      <c r="H3" s="94"/>
    </row>
    <row r="4" spans="1:8" x14ac:dyDescent="0.25">
      <c r="A4" s="94"/>
      <c r="B4" s="94"/>
      <c r="C4" s="94"/>
      <c r="D4" s="94"/>
      <c r="E4" s="94"/>
      <c r="F4" s="94"/>
      <c r="G4" s="94"/>
      <c r="H4" s="94"/>
    </row>
    <row r="5" spans="1:8" x14ac:dyDescent="0.25">
      <c r="A5" s="94"/>
      <c r="B5" s="94"/>
      <c r="C5" s="94"/>
      <c r="D5" s="94"/>
      <c r="E5" s="94"/>
      <c r="F5" s="94"/>
      <c r="G5" s="94"/>
      <c r="H5" s="94"/>
    </row>
  </sheetData>
  <sheetProtection algorithmName="SHA-512" hashValue="OEL/oTmEqL1aagB+3CGFjkLFXo0Dyh2QFyJKGJPR37CP0VQUI+urlNsvD70Hl75vHWhDPzWeJoY1Dc54RZvyHg==" saltValue="4AfYZuOShVOlAE+tz+EVSA==" spinCount="100000"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A10" sqref="A10"/>
    </sheetView>
  </sheetViews>
  <sheetFormatPr defaultRowHeight="15" x14ac:dyDescent="0.25"/>
  <cols>
    <col min="1" max="1" width="21.42578125" customWidth="1"/>
  </cols>
  <sheetData>
    <row r="1" spans="1:8" x14ac:dyDescent="0.25">
      <c r="A1" s="95" t="s">
        <v>108</v>
      </c>
      <c r="B1" s="96" t="s">
        <v>1</v>
      </c>
      <c r="C1" s="97"/>
      <c r="D1" s="97"/>
      <c r="E1" s="97"/>
      <c r="F1" s="97"/>
      <c r="G1" s="97"/>
      <c r="H1" s="97"/>
    </row>
    <row r="2" spans="1:8" x14ac:dyDescent="0.25">
      <c r="A2" s="95"/>
      <c r="B2" s="5" t="s">
        <v>2</v>
      </c>
      <c r="C2" s="5" t="s">
        <v>3</v>
      </c>
      <c r="D2" s="5" t="s">
        <v>40</v>
      </c>
      <c r="E2" s="5" t="s">
        <v>5</v>
      </c>
      <c r="F2" s="5" t="s">
        <v>6</v>
      </c>
      <c r="G2" s="5" t="s">
        <v>4</v>
      </c>
      <c r="H2" s="5" t="s">
        <v>163</v>
      </c>
    </row>
    <row r="3" spans="1:8" x14ac:dyDescent="0.25">
      <c r="A3" s="2" t="s">
        <v>109</v>
      </c>
      <c r="B3" s="43">
        <f>'Emissão Transferências'!M16</f>
        <v>7.3865562627074312E-3</v>
      </c>
      <c r="C3" s="43">
        <f>'Emissão Transferências'!N16</f>
        <v>3.4936414756048667E-3</v>
      </c>
      <c r="D3" s="43">
        <f>'Emissão Transferências'!O16</f>
        <v>5.2903713773445112E-4</v>
      </c>
      <c r="E3" s="43" t="s">
        <v>60</v>
      </c>
      <c r="F3" s="43" t="s">
        <v>60</v>
      </c>
      <c r="G3" s="43" t="s">
        <v>60</v>
      </c>
      <c r="H3" s="43" t="s">
        <v>60</v>
      </c>
    </row>
    <row r="4" spans="1:8" x14ac:dyDescent="0.25">
      <c r="A4" s="2" t="s">
        <v>64</v>
      </c>
      <c r="B4" s="43">
        <f>'Emissão Maq e Equip'!M6</f>
        <v>1.1719883135042913E-2</v>
      </c>
      <c r="C4" s="43">
        <f>'Emissão Maq e Equip'!N6</f>
        <v>1.1719883135042913E-2</v>
      </c>
      <c r="D4" s="43">
        <f>'Emissão Maq e Equip'!O6</f>
        <v>1.1719883135042913E-2</v>
      </c>
      <c r="E4" s="43">
        <f>'Emissão Maq e Equip'!P6</f>
        <v>0.13004336733697727</v>
      </c>
      <c r="F4" s="43">
        <f>'Emissão Maq e Equip'!Q6</f>
        <v>1.0449030555214836E-4</v>
      </c>
      <c r="G4" s="43">
        <f>'Emissão Maq e Equip'!R6</f>
        <v>6.6813974123651296E-2</v>
      </c>
      <c r="H4" s="43">
        <f>'Emissão Maq e Equip'!S6</f>
        <v>2.2379604823313529E-2</v>
      </c>
    </row>
    <row r="5" spans="1:8" x14ac:dyDescent="0.25">
      <c r="A5" s="2" t="s">
        <v>110</v>
      </c>
      <c r="B5" s="43">
        <v>4.5250526424393145E-2</v>
      </c>
      <c r="C5" s="43">
        <v>2.2625263212196572E-2</v>
      </c>
      <c r="D5" s="43">
        <v>3.393789481829486E-3</v>
      </c>
      <c r="E5" s="43" t="s">
        <v>60</v>
      </c>
      <c r="F5" s="43" t="s">
        <v>60</v>
      </c>
      <c r="G5" s="43" t="s">
        <v>60</v>
      </c>
      <c r="H5" s="43" t="s">
        <v>60</v>
      </c>
    </row>
    <row r="6" spans="1:8" x14ac:dyDescent="0.25">
      <c r="A6" s="2" t="s">
        <v>149</v>
      </c>
      <c r="B6" s="43">
        <f>'Emissão Saídas dos Filtros '!H8</f>
        <v>0.2986103775382119</v>
      </c>
      <c r="C6" s="43">
        <f>'Emissão Saídas dos Filtros '!I8</f>
        <v>0.25381882090748009</v>
      </c>
      <c r="D6" s="43">
        <f>'Emissão Saídas dos Filtros '!J8</f>
        <v>8.9583113261463565E-2</v>
      </c>
      <c r="E6" s="43" t="s">
        <v>60</v>
      </c>
      <c r="F6" s="43" t="s">
        <v>60</v>
      </c>
      <c r="G6" s="43" t="s">
        <v>60</v>
      </c>
      <c r="H6" s="43" t="s">
        <v>60</v>
      </c>
    </row>
    <row r="7" spans="1:8" x14ac:dyDescent="0.25">
      <c r="A7" s="40" t="s">
        <v>102</v>
      </c>
      <c r="B7" s="51">
        <f t="shared" ref="B7:H7" si="0">SUM(B3:B6)</f>
        <v>0.36296734336035541</v>
      </c>
      <c r="C7" s="51">
        <f t="shared" si="0"/>
        <v>0.29165760873032442</v>
      </c>
      <c r="D7" s="51">
        <f t="shared" si="0"/>
        <v>0.10522582301607042</v>
      </c>
      <c r="E7" s="51">
        <f t="shared" si="0"/>
        <v>0.13004336733697727</v>
      </c>
      <c r="F7" s="51">
        <f t="shared" si="0"/>
        <v>1.0449030555214836E-4</v>
      </c>
      <c r="G7" s="51">
        <f t="shared" si="0"/>
        <v>6.6813974123651296E-2</v>
      </c>
      <c r="H7" s="51">
        <f t="shared" si="0"/>
        <v>2.2379604823313529E-2</v>
      </c>
    </row>
    <row r="9" spans="1:8" x14ac:dyDescent="0.25">
      <c r="A9" s="2" t="s">
        <v>170</v>
      </c>
    </row>
  </sheetData>
  <sheetProtection algorithmName="SHA-512" hashValue="9YQ459Cx2tFj3PX/LqtHd3um9jgVuwwPwipX4l8ti9HeOHFQlxQT62hV+m3wFSFbgMWvYyL9jO7xBS2pBi5JUw==" saltValue="oCaGD7e9Wq6LTVxqzAqxWw==" spinCount="100000"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98" t="s">
        <v>17</v>
      </c>
      <c r="B1" s="99"/>
      <c r="C1" s="99"/>
      <c r="D1" s="99"/>
      <c r="E1" s="100"/>
    </row>
    <row r="2" spans="1:10" x14ac:dyDescent="0.25">
      <c r="A2" s="62" t="s">
        <v>16</v>
      </c>
      <c r="B2" s="65"/>
      <c r="C2" s="66"/>
      <c r="D2" s="66"/>
      <c r="E2" s="67"/>
    </row>
    <row r="3" spans="1:10" x14ac:dyDescent="0.25">
      <c r="A3" s="63"/>
      <c r="B3" s="68"/>
      <c r="C3" s="69"/>
      <c r="D3" s="69"/>
      <c r="E3" s="70"/>
    </row>
    <row r="4" spans="1:10" x14ac:dyDescent="0.25">
      <c r="A4" s="63"/>
      <c r="B4" s="71"/>
      <c r="C4" s="72"/>
      <c r="D4" s="72"/>
      <c r="E4" s="73"/>
    </row>
    <row r="5" spans="1:10" ht="15" customHeight="1" x14ac:dyDescent="0.25">
      <c r="A5" s="63"/>
      <c r="B5" s="74" t="s">
        <v>34</v>
      </c>
      <c r="C5" s="75"/>
      <c r="D5" s="75"/>
      <c r="E5" s="76"/>
    </row>
    <row r="6" spans="1:10" x14ac:dyDescent="0.25">
      <c r="A6" s="63"/>
      <c r="B6" s="77"/>
      <c r="C6" s="78"/>
      <c r="D6" s="78"/>
      <c r="E6" s="79"/>
    </row>
    <row r="7" spans="1:10" x14ac:dyDescent="0.25">
      <c r="A7" s="63"/>
      <c r="B7" s="77"/>
      <c r="C7" s="78"/>
      <c r="D7" s="78"/>
      <c r="E7" s="79"/>
    </row>
    <row r="8" spans="1:10" x14ac:dyDescent="0.25">
      <c r="A8" s="63"/>
      <c r="B8" s="77"/>
      <c r="C8" s="78"/>
      <c r="D8" s="78"/>
      <c r="E8" s="79"/>
    </row>
    <row r="9" spans="1:10" x14ac:dyDescent="0.25">
      <c r="A9" s="64"/>
      <c r="B9" s="80"/>
      <c r="C9" s="81"/>
      <c r="D9" s="81"/>
      <c r="E9" s="82"/>
    </row>
    <row r="12" spans="1:10" x14ac:dyDescent="0.25">
      <c r="A12" s="101" t="s">
        <v>35</v>
      </c>
      <c r="B12" s="101"/>
      <c r="C12" s="1"/>
      <c r="D12" s="1"/>
      <c r="E12" s="9" t="s">
        <v>33</v>
      </c>
      <c r="F12" s="9" t="s">
        <v>28</v>
      </c>
      <c r="G12" s="9" t="s">
        <v>32</v>
      </c>
      <c r="H12" s="9" t="s">
        <v>31</v>
      </c>
      <c r="I12" s="9" t="s">
        <v>29</v>
      </c>
      <c r="J12" s="9" t="s">
        <v>30</v>
      </c>
    </row>
    <row r="13" spans="1:10" x14ac:dyDescent="0.25">
      <c r="A13" s="2" t="s">
        <v>18</v>
      </c>
      <c r="B13" s="11">
        <v>46.005499999999998</v>
      </c>
      <c r="C13" s="1"/>
      <c r="D13" s="1"/>
      <c r="E13" s="2" t="s">
        <v>12</v>
      </c>
      <c r="F13" s="10" t="e">
        <f>#REF!</f>
        <v>#REF!</v>
      </c>
      <c r="G13" s="6" t="e">
        <f>#REF!</f>
        <v>#REF!</v>
      </c>
      <c r="H13" s="6" t="e">
        <f>G13+273.15</f>
        <v>#REF!</v>
      </c>
      <c r="I13" s="88">
        <v>1</v>
      </c>
      <c r="J13" s="11" t="e">
        <f>F13*0.04087*$B$15*(($I$13/1)*(298.15/H13))</f>
        <v>#REF!</v>
      </c>
    </row>
    <row r="14" spans="1:10" x14ac:dyDescent="0.25">
      <c r="A14" s="2" t="s">
        <v>19</v>
      </c>
      <c r="B14" s="11">
        <v>30.01</v>
      </c>
      <c r="C14" s="1"/>
      <c r="D14" s="1"/>
      <c r="E14" s="2" t="s">
        <v>13</v>
      </c>
      <c r="F14" s="10" t="e">
        <f>#REF!</f>
        <v>#REF!</v>
      </c>
      <c r="G14" s="6" t="e">
        <f>#REF!</f>
        <v>#REF!</v>
      </c>
      <c r="H14" s="6" t="e">
        <f t="shared" ref="H14:H21" si="0">G14+273.15</f>
        <v>#REF!</v>
      </c>
      <c r="I14" s="88"/>
      <c r="J14" s="11" t="e">
        <f t="shared" ref="J14:J21" si="1">F14*0.04087*$B$15*(($I$13/1)*(298.15/H14))</f>
        <v>#REF!</v>
      </c>
    </row>
    <row r="15" spans="1:10" x14ac:dyDescent="0.25">
      <c r="A15" s="2" t="s">
        <v>4</v>
      </c>
      <c r="B15" s="11">
        <v>28.01</v>
      </c>
      <c r="C15" s="1"/>
      <c r="D15" s="1"/>
      <c r="E15" s="2" t="s">
        <v>9</v>
      </c>
      <c r="F15" s="10" t="e">
        <f>#REF!</f>
        <v>#REF!</v>
      </c>
      <c r="G15" s="6" t="e">
        <f>#REF!</f>
        <v>#REF!</v>
      </c>
      <c r="H15" s="6" t="e">
        <f t="shared" si="0"/>
        <v>#REF!</v>
      </c>
      <c r="I15" s="88"/>
      <c r="J15" s="11" t="e">
        <f t="shared" si="1"/>
        <v>#REF!</v>
      </c>
    </row>
    <row r="16" spans="1:10" x14ac:dyDescent="0.25">
      <c r="A16" s="2" t="s">
        <v>20</v>
      </c>
      <c r="B16" s="11">
        <v>48</v>
      </c>
      <c r="C16" s="1"/>
      <c r="D16" s="1"/>
      <c r="E16" s="2" t="s">
        <v>8</v>
      </c>
      <c r="F16" s="10" t="e">
        <f>#REF!</f>
        <v>#REF!</v>
      </c>
      <c r="G16" s="6" t="e">
        <f>#REF!</f>
        <v>#REF!</v>
      </c>
      <c r="H16" s="6" t="e">
        <f t="shared" si="0"/>
        <v>#REF!</v>
      </c>
      <c r="I16" s="88"/>
      <c r="J16" s="11" t="e">
        <f t="shared" si="1"/>
        <v>#REF!</v>
      </c>
    </row>
    <row r="17" spans="1:10" x14ac:dyDescent="0.25">
      <c r="A17" s="2" t="s">
        <v>21</v>
      </c>
      <c r="B17" s="11">
        <v>34.1</v>
      </c>
      <c r="C17" s="1"/>
      <c r="D17" s="1"/>
      <c r="E17" s="2" t="s">
        <v>10</v>
      </c>
      <c r="F17" s="10" t="e">
        <f>#REF!</f>
        <v>#REF!</v>
      </c>
      <c r="G17" s="6" t="e">
        <f>#REF!</f>
        <v>#REF!</v>
      </c>
      <c r="H17" s="6" t="e">
        <f t="shared" si="0"/>
        <v>#REF!</v>
      </c>
      <c r="I17" s="88"/>
      <c r="J17" s="11" t="e">
        <f t="shared" si="1"/>
        <v>#REF!</v>
      </c>
    </row>
    <row r="18" spans="1:10" x14ac:dyDescent="0.25">
      <c r="A18" s="2" t="s">
        <v>22</v>
      </c>
      <c r="B18" s="11">
        <v>64.066000000000003</v>
      </c>
      <c r="C18" s="1"/>
      <c r="D18" s="1"/>
      <c r="E18" s="2" t="s">
        <v>11</v>
      </c>
      <c r="F18" s="10" t="e">
        <f>#REF!</f>
        <v>#REF!</v>
      </c>
      <c r="G18" s="6" t="e">
        <f>#REF!</f>
        <v>#REF!</v>
      </c>
      <c r="H18" s="6" t="e">
        <f t="shared" si="0"/>
        <v>#REF!</v>
      </c>
      <c r="I18" s="88"/>
      <c r="J18" s="11" t="e">
        <f t="shared" si="1"/>
        <v>#REF!</v>
      </c>
    </row>
    <row r="19" spans="1:10" x14ac:dyDescent="0.25">
      <c r="A19" s="2" t="s">
        <v>23</v>
      </c>
      <c r="B19" s="11">
        <v>36.46</v>
      </c>
      <c r="C19" s="1"/>
      <c r="D19" s="1"/>
      <c r="E19" s="3" t="s">
        <v>7</v>
      </c>
      <c r="F19" s="10" t="e">
        <f>#REF!</f>
        <v>#REF!</v>
      </c>
      <c r="G19" s="6" t="e">
        <f>#REF!</f>
        <v>#REF!</v>
      </c>
      <c r="H19" s="6" t="e">
        <f t="shared" si="0"/>
        <v>#REF!</v>
      </c>
      <c r="I19" s="88"/>
      <c r="J19" s="11" t="e">
        <f t="shared" si="1"/>
        <v>#REF!</v>
      </c>
    </row>
    <row r="20" spans="1:10" x14ac:dyDescent="0.25">
      <c r="A20" s="2" t="s">
        <v>24</v>
      </c>
      <c r="B20" s="11">
        <v>20.0063</v>
      </c>
      <c r="C20" s="1"/>
      <c r="D20" s="1"/>
      <c r="E20" s="2" t="s">
        <v>14</v>
      </c>
      <c r="F20" s="10" t="e">
        <f>#REF!</f>
        <v>#REF!</v>
      </c>
      <c r="G20" s="6" t="e">
        <f>#REF!</f>
        <v>#REF!</v>
      </c>
      <c r="H20" s="6" t="e">
        <f t="shared" si="0"/>
        <v>#REF!</v>
      </c>
      <c r="I20" s="88"/>
      <c r="J20" s="11" t="e">
        <f t="shared" si="1"/>
        <v>#REF!</v>
      </c>
    </row>
    <row r="21" spans="1:10" x14ac:dyDescent="0.25">
      <c r="A21" s="2" t="s">
        <v>25</v>
      </c>
      <c r="B21" s="11">
        <v>44.1</v>
      </c>
      <c r="C21" s="1"/>
      <c r="D21" s="1"/>
      <c r="E21" s="2" t="s">
        <v>15</v>
      </c>
      <c r="F21" s="10" t="e">
        <f>#REF!</f>
        <v>#REF!</v>
      </c>
      <c r="G21" s="6" t="e">
        <f>#REF!</f>
        <v>#REF!</v>
      </c>
      <c r="H21" s="6" t="e">
        <f t="shared" si="0"/>
        <v>#REF!</v>
      </c>
      <c r="I21" s="88"/>
      <c r="J21" s="11" t="e">
        <f t="shared" si="1"/>
        <v>#REF!</v>
      </c>
    </row>
    <row r="22" spans="1:10" x14ac:dyDescent="0.25">
      <c r="A22" s="2" t="s">
        <v>26</v>
      </c>
      <c r="B22" s="11">
        <v>78.11</v>
      </c>
      <c r="C22" s="1"/>
      <c r="D22" s="1"/>
      <c r="E22" s="1"/>
      <c r="F22" s="1"/>
      <c r="G22" s="1"/>
      <c r="H22" s="1"/>
      <c r="I22" s="1"/>
    </row>
    <row r="23" spans="1:10" x14ac:dyDescent="0.25">
      <c r="A23" s="2" t="s">
        <v>27</v>
      </c>
      <c r="B23" s="11">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Emissão Maq e Equip</vt:lpstr>
      <vt:lpstr>Dados</vt:lpstr>
      <vt:lpstr>Emissão Saídas dos Filtros </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Tatiane Jardim Morais</cp:lastModifiedBy>
  <dcterms:created xsi:type="dcterms:W3CDTF">2016-12-13T12:13:55Z</dcterms:created>
  <dcterms:modified xsi:type="dcterms:W3CDTF">2019-06-06T20:49:10Z</dcterms:modified>
</cp:coreProperties>
</file>