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Ecoareia\"/>
    </mc:Choice>
  </mc:AlternateContent>
  <bookViews>
    <workbookView xWindow="0" yWindow="0" windowWidth="24000" windowHeight="9135" tabRatio="793" activeTab="7"/>
  </bookViews>
  <sheets>
    <sheet name="FE-Maq e Equip" sheetId="13" r:id="rId1"/>
    <sheet name="FE-Transferências" sheetId="17" r:id="rId2"/>
    <sheet name="FE-Vias" sheetId="19" r:id="rId3"/>
    <sheet name="Dados" sheetId="9" r:id="rId4"/>
    <sheet name="Emissão Vias " sheetId="15" r:id="rId5"/>
    <sheet name="Emissão Transferências" sheetId="18" r:id="rId6"/>
    <sheet name="Emissão Maq e Equip" sheetId="12" r:id="rId7"/>
    <sheet name="Resumo" sheetId="21" r:id="rId8"/>
    <sheet name="ppm to mg.m-3" sheetId="6" state="hidden" r:id="rId9"/>
  </sheets>
  <definedNames>
    <definedName name="FE_Equipamentos">'FE-Maq e Equip'!$B$4:$I$11</definedName>
    <definedName name="Pot_Equip">'FE-Maq e Equip'!$B$4:$B$11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9" l="1"/>
  <c r="D8" i="18" l="1"/>
  <c r="D7" i="18"/>
  <c r="D6" i="18"/>
  <c r="D5" i="18"/>
  <c r="F3" i="12"/>
  <c r="G3" i="12"/>
  <c r="L8" i="15" l="1"/>
  <c r="L7" i="15"/>
  <c r="J15" i="19"/>
  <c r="N8" i="15" s="1"/>
  <c r="M14" i="19"/>
  <c r="M13" i="19"/>
  <c r="M12" i="19"/>
  <c r="M11" i="19"/>
  <c r="M10" i="19"/>
  <c r="M9" i="19"/>
  <c r="M8" i="19"/>
  <c r="M7" i="19"/>
  <c r="M6" i="19"/>
  <c r="M5" i="19"/>
  <c r="M4" i="19"/>
  <c r="M3" i="19"/>
  <c r="M8" i="15" l="1"/>
  <c r="N6" i="15"/>
  <c r="M6" i="15"/>
  <c r="N7" i="15"/>
  <c r="L6" i="15"/>
  <c r="M7" i="15"/>
  <c r="B3" i="15" l="1"/>
  <c r="F7" i="15" s="1"/>
  <c r="F6" i="15" l="1"/>
  <c r="F8" i="15"/>
  <c r="O6" i="15"/>
  <c r="H5" i="18"/>
  <c r="T7" i="15" l="1"/>
  <c r="T8" i="15"/>
  <c r="T6" i="15"/>
  <c r="S7" i="15"/>
  <c r="S8" i="15"/>
  <c r="S6" i="15"/>
  <c r="U7" i="15"/>
  <c r="U8" i="15"/>
  <c r="U6" i="15"/>
  <c r="R7" i="15"/>
  <c r="R8" i="15"/>
  <c r="R6" i="15"/>
  <c r="Q7" i="15"/>
  <c r="Q8" i="15"/>
  <c r="Q6" i="15"/>
  <c r="P7" i="15"/>
  <c r="P8" i="15"/>
  <c r="P6" i="15"/>
  <c r="O7" i="15"/>
  <c r="O8" i="15"/>
  <c r="H6" i="18" l="1"/>
  <c r="H7" i="18"/>
  <c r="K7" i="18" s="1"/>
  <c r="H8" i="18"/>
  <c r="G6" i="18"/>
  <c r="G7" i="18"/>
  <c r="G8" i="18"/>
  <c r="G5" i="18"/>
  <c r="F6" i="18"/>
  <c r="I6" i="18" s="1"/>
  <c r="F7" i="18"/>
  <c r="F8" i="18"/>
  <c r="I8" i="18" s="1"/>
  <c r="F5" i="18"/>
  <c r="G8" i="15"/>
  <c r="G7" i="15"/>
  <c r="G6" i="15"/>
  <c r="V6" i="15" s="1"/>
  <c r="J7" i="18" l="1"/>
  <c r="J6" i="18"/>
  <c r="K6" i="18"/>
  <c r="I5" i="18"/>
  <c r="J5" i="18"/>
  <c r="K5" i="18"/>
  <c r="K8" i="18"/>
  <c r="I7" i="18"/>
  <c r="J8" i="18"/>
  <c r="X8" i="15"/>
  <c r="AA6" i="15"/>
  <c r="V7" i="15"/>
  <c r="AA7" i="15"/>
  <c r="W7" i="15"/>
  <c r="AB8" i="15"/>
  <c r="V8" i="15"/>
  <c r="Y7" i="15"/>
  <c r="Z8" i="15"/>
  <c r="AB7" i="15"/>
  <c r="W8" i="15"/>
  <c r="Y8" i="15"/>
  <c r="AA8" i="15"/>
  <c r="X7" i="15"/>
  <c r="Z7" i="15"/>
  <c r="Z6" i="15"/>
  <c r="Y6" i="15"/>
  <c r="X6" i="15"/>
  <c r="AB6" i="15"/>
  <c r="W6" i="15"/>
  <c r="J9" i="18" l="1"/>
  <c r="C3" i="21" s="1"/>
  <c r="K9" i="18"/>
  <c r="D3" i="21" s="1"/>
  <c r="AB9" i="15"/>
  <c r="H5" i="21" s="1"/>
  <c r="AA9" i="15"/>
  <c r="G5" i="21" s="1"/>
  <c r="I9" i="18"/>
  <c r="B3" i="21" s="1"/>
  <c r="Y9" i="15"/>
  <c r="E5" i="21" s="1"/>
  <c r="W9" i="15"/>
  <c r="C5" i="21" s="1"/>
  <c r="V9" i="15"/>
  <c r="B5" i="21" s="1"/>
  <c r="Z9" i="15"/>
  <c r="F5" i="21" s="1"/>
  <c r="X9" i="15"/>
  <c r="D5" i="21" s="1"/>
  <c r="N3" i="12" l="1"/>
  <c r="N4" i="12" s="1"/>
  <c r="H4" i="21" s="1"/>
  <c r="H7" i="21" s="1"/>
  <c r="H3" i="12"/>
  <c r="K3" i="12"/>
  <c r="L3" i="12"/>
  <c r="M3" i="12"/>
  <c r="K4" i="12" l="1"/>
  <c r="E4" i="21" s="1"/>
  <c r="E7" i="21" s="1"/>
  <c r="L4" i="12"/>
  <c r="F4" i="21" s="1"/>
  <c r="F7" i="21" s="1"/>
  <c r="M4" i="12"/>
  <c r="G4" i="21" s="1"/>
  <c r="G7" i="21" s="1"/>
  <c r="J3" i="12" l="1"/>
  <c r="J4" i="12" s="1"/>
  <c r="D4" i="21" s="1"/>
  <c r="H4" i="12"/>
  <c r="B4" i="21" s="1"/>
  <c r="I3" i="12"/>
  <c r="I4" i="12" s="1"/>
  <c r="C4" i="21" s="1"/>
  <c r="F13" i="6" l="1"/>
  <c r="F21" i="6" l="1"/>
  <c r="F20" i="6"/>
  <c r="F14" i="6"/>
  <c r="F18" i="6"/>
  <c r="F17" i="6"/>
  <c r="F15" i="6"/>
  <c r="F16" i="6"/>
  <c r="F19" i="6"/>
  <c r="G17" i="6" l="1"/>
  <c r="H17" i="6" s="1"/>
  <c r="J17" i="6" s="1"/>
  <c r="G13" i="6"/>
  <c r="H13" i="6" s="1"/>
  <c r="J13" i="6" s="1"/>
  <c r="G20" i="6"/>
  <c r="H20" i="6" s="1"/>
  <c r="J20" i="6" s="1"/>
  <c r="G18" i="6"/>
  <c r="H18" i="6" s="1"/>
  <c r="J18" i="6" s="1"/>
  <c r="G16" i="6"/>
  <c r="H16" i="6" s="1"/>
  <c r="J16" i="6" s="1"/>
  <c r="G15" i="6"/>
  <c r="H15" i="6" s="1"/>
  <c r="J15" i="6" s="1"/>
  <c r="G14" i="6"/>
  <c r="H14" i="6" s="1"/>
  <c r="J14" i="6" s="1"/>
  <c r="G21" i="6"/>
  <c r="H21" i="6" s="1"/>
  <c r="J21" i="6" s="1"/>
  <c r="G19" i="6"/>
  <c r="H19" i="6" s="1"/>
  <c r="J19" i="6" s="1"/>
  <c r="B7" i="21" l="1"/>
  <c r="D7" i="21" l="1"/>
  <c r="C7" i="21"/>
</calcChain>
</file>

<file path=xl/comments1.xml><?xml version="1.0" encoding="utf-8"?>
<comments xmlns="http://schemas.openxmlformats.org/spreadsheetml/2006/main">
  <authors>
    <author>Gabriel Aarão Gonçalves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Ano de fabricação da máquina não fornecida. Portanto, considerou-se o ano de cenário mais conservador (2007)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I1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3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3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3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3.xml><?xml version="1.0" encoding="utf-8"?>
<comments xmlns="http://schemas.openxmlformats.org/spreadsheetml/2006/main">
  <authors>
    <author>Gabriel Aarão Gonçalves</author>
  </authors>
  <commentList>
    <comment ref="B17" authorId="0" shapeId="0">
      <text>
        <r>
          <rPr>
            <sz val="9"/>
            <color indexed="81"/>
            <rFont val="Segoe UI"/>
            <family val="2"/>
          </rPr>
          <t xml:space="preserve">Dado fornecido: 1 ou 2 vezes por dia. </t>
        </r>
      </text>
    </comment>
  </commentList>
</comments>
</file>

<file path=xl/comments4.xml><?xml version="1.0" encoding="utf-8"?>
<comments xmlns="http://schemas.openxmlformats.org/spreadsheetml/2006/main">
  <authors>
    <author>Gabriel Aarão Gonçalves</author>
    <author>Alinie Rossi dos Santos</author>
    <author>Vanessa Brusco Filete</author>
  </authors>
  <commentList>
    <comment ref="F4" authorId="0" shapeId="0">
      <text>
        <r>
          <rPr>
            <sz val="9"/>
            <color indexed="81"/>
            <rFont val="Segoe UI"/>
            <family val="2"/>
          </rPr>
          <t xml:space="preserve">O valor informado pelo empreendimento refere-se à entrada e saída de caminhões
</t>
        </r>
      </text>
    </comment>
    <comment ref="H4" authorId="1" shapeId="0">
      <text>
        <r>
          <rPr>
            <sz val="9"/>
            <color indexed="81"/>
            <rFont val="Segoe UI"/>
            <family val="2"/>
          </rPr>
          <t xml:space="preserve">USEPA (2006) - Unpaved Roads. Table 13.2.2-1 - Stone quarrying and processing
</t>
        </r>
      </text>
    </comment>
    <comment ref="I4" authorId="1" shapeId="0">
      <text>
        <r>
          <rPr>
            <sz val="9"/>
            <color indexed="81"/>
            <rFont val="Segoe UI"/>
            <family val="2"/>
          </rPr>
          <t>Como não foi informado pela empresa foi considerado um peso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>médio de um caminhão caçamba/basculante.
http://www1.dnit.gov.br/Pesagem/sis_sgpv/QFV/QFV%202008%20Divulga%C3%A7%C3%A3o.pdf</t>
        </r>
      </text>
    </comment>
    <comment ref="J4" authorId="1" shapeId="0">
      <text>
        <r>
          <rPr>
            <sz val="9"/>
            <color indexed="81"/>
            <rFont val="Segoe UI"/>
            <family val="2"/>
          </rPr>
          <t>Informado pela empresa que ocorre umectação das vias entre 1 a 2 vezes ao dia</t>
        </r>
      </text>
    </comment>
    <comment ref="K4" authorId="1" shapeId="0">
      <text>
        <r>
          <rPr>
            <sz val="9"/>
            <color indexed="81"/>
            <rFont val="Segoe UI"/>
            <family val="2"/>
          </rPr>
          <t xml:space="preserve">WRAP (2006) </t>
        </r>
      </text>
    </comment>
    <comment ref="U5" authorId="2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F6" authorId="0" shapeId="0">
      <text>
        <r>
          <rPr>
            <sz val="9"/>
            <color indexed="81"/>
            <rFont val="Segoe UI"/>
            <family val="2"/>
          </rPr>
          <t xml:space="preserve">Foi considerado que metade dos caminhões totais trafegam nos trechos 1 e 2.
</t>
        </r>
      </text>
    </comment>
    <comment ref="F7" authorId="0" shapeId="0">
      <text>
        <r>
          <rPr>
            <sz val="9"/>
            <color indexed="81"/>
            <rFont val="Segoe UI"/>
            <family val="2"/>
          </rPr>
          <t xml:space="preserve">Foi considerado que metade dos caminhões totais trafegam nos trechos 1 e 2.
</t>
        </r>
      </text>
    </comment>
  </commentList>
</comments>
</file>

<file path=xl/comments5.xml><?xml version="1.0" encoding="utf-8"?>
<comments xmlns="http://schemas.openxmlformats.org/spreadsheetml/2006/main">
  <authors>
    <author>Alinie Rossi dos Santos</author>
    <author>Gabriel Aarão Gonçalves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>Velocidade média do ano de 2015 da Estação Aeroporto</t>
        </r>
      </text>
    </comment>
    <comment ref="D3" authorId="1" shapeId="0">
      <text>
        <r>
          <rPr>
            <sz val="9"/>
            <color indexed="81"/>
            <rFont val="Segoe UI"/>
            <family val="2"/>
          </rPr>
          <t xml:space="preserve">Como não há informação sobre a quantidade movimentada de material em cada processo, foi considerado que cada etapa movimenta a mesma quantidade (valor médio)
</t>
        </r>
      </text>
    </comment>
    <comment ref="E3" authorId="0" shapeId="0">
      <text>
        <r>
          <rPr>
            <sz val="9"/>
            <color indexed="81"/>
            <rFont val="Segoe UI"/>
            <family val="2"/>
          </rPr>
          <t xml:space="preserve">USEPA (2006) : umidade para a areia obtida da Tabela 13.2.4-1: TYPICAL SILT AND MOISTURE CONTENTS OF MATERIALS AT VARIOUS INDUSTRIES. </t>
        </r>
      </text>
    </comment>
  </commentList>
</comments>
</file>

<file path=xl/comments6.xml><?xml version="1.0" encoding="utf-8"?>
<comments xmlns="http://schemas.openxmlformats.org/spreadsheetml/2006/main">
  <authors>
    <author>Andrielly Moutinho Knupp</author>
    <author>Alinie Rossi dos Santos</author>
    <author>Gabriel Aarão Gonçalves</author>
  </authors>
  <commentList>
    <comment ref="I2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J2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L2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N2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A3" authorId="1" shapeId="0">
      <text>
        <r>
          <rPr>
            <sz val="9"/>
            <color indexed="81"/>
            <rFont val="Segoe UI"/>
            <family val="2"/>
          </rPr>
          <t>Modelo L60F - informado pelo empreendimento</t>
        </r>
      </text>
    </comment>
    <comment ref="B3" authorId="1" shapeId="0">
      <text>
        <r>
          <rPr>
            <sz val="9"/>
            <color indexed="81"/>
            <rFont val="Segoe UI"/>
            <family val="2"/>
          </rPr>
          <t xml:space="preserve">Dado fornecido pelo empreendimento através de resposta ao Ofício
</t>
        </r>
      </text>
    </comment>
    <comment ref="G3" authorId="2" shapeId="0">
      <text>
        <r>
          <rPr>
            <sz val="9"/>
            <color indexed="81"/>
            <rFont val="Segoe UI"/>
            <family val="2"/>
          </rPr>
          <t xml:space="preserve">O valor de 6600 representa as horas trabalhadas pelas três máquinas. Portanto, o resultado foi dividido por três
</t>
        </r>
      </text>
    </comment>
  </commentList>
</comments>
</file>

<file path=xl/sharedStrings.xml><?xml version="1.0" encoding="utf-8"?>
<sst xmlns="http://schemas.openxmlformats.org/spreadsheetml/2006/main" count="230" uniqueCount="172">
  <si>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</si>
  <si>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</si>
  <si>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</si>
  <si>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</si>
  <si>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</si>
  <si>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</si>
  <si>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</si>
  <si>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Produção</t>
  </si>
  <si>
    <t>Chaminé do Secador de Borra</t>
  </si>
  <si>
    <t>Chaminé do Silo de Borra Úmida</t>
  </si>
  <si>
    <t>Chaminé da Caldeira Bremmer</t>
  </si>
  <si>
    <t>Chaminé do Multiciclone da Torre I</t>
  </si>
  <si>
    <t>Chaminé do Multiciclone da Torre II</t>
  </si>
  <si>
    <t>Chaminé do Torrador I</t>
  </si>
  <si>
    <t>Chaminé do Torrador II</t>
  </si>
  <si>
    <t>Chaminé do Gerador I</t>
  </si>
  <si>
    <t>Chaminé do Gerador II</t>
  </si>
  <si>
    <t>Equação Geral:</t>
  </si>
  <si>
    <t>Conversão ppm para mg/m³:</t>
  </si>
  <si>
    <t>NO2</t>
  </si>
  <si>
    <t>NO</t>
  </si>
  <si>
    <t>O3</t>
  </si>
  <si>
    <t>H2S</t>
  </si>
  <si>
    <t>SO2</t>
  </si>
  <si>
    <t>HCl</t>
  </si>
  <si>
    <t>HF</t>
  </si>
  <si>
    <t>C3H8</t>
  </si>
  <si>
    <t>Benzeno</t>
  </si>
  <si>
    <t>CO2</t>
  </si>
  <si>
    <t>Concentração CO [ppm]</t>
  </si>
  <si>
    <t>Pressão [atm]</t>
  </si>
  <si>
    <t>Concentração CO [mg/m³]</t>
  </si>
  <si>
    <t xml:space="preserve">Temperatura [K] </t>
  </si>
  <si>
    <t xml:space="preserve">Temperatura [ºC] </t>
  </si>
  <si>
    <t>Fonte</t>
  </si>
  <si>
    <r>
      <t>Onde:
MW (g/mol) - massa molar
P (atm) - pressão do gás
P</t>
    </r>
    <r>
      <rPr>
        <vertAlign val="subscript"/>
        <sz val="8"/>
        <color theme="1"/>
        <rFont val="Arial"/>
        <family val="2"/>
      </rPr>
      <t>0</t>
    </r>
    <r>
      <rPr>
        <sz val="8"/>
        <color theme="1"/>
        <rFont val="Arial"/>
        <family val="2"/>
      </rPr>
      <t xml:space="preserve"> - 1 atm (CNTP)
T (K) - temperatura do gás 
T</t>
    </r>
    <r>
      <rPr>
        <vertAlign val="subscript"/>
        <sz val="8"/>
        <color theme="1"/>
        <rFont val="Arial"/>
        <family val="2"/>
      </rPr>
      <t>0</t>
    </r>
    <r>
      <rPr>
        <sz val="8"/>
        <color theme="1"/>
        <rFont val="Arial"/>
        <family val="2"/>
      </rPr>
      <t xml:space="preserve"> - 298,15 K (25 ºC) (CNTP) </t>
    </r>
  </si>
  <si>
    <t>Massa Molar - MW [g/mol]</t>
  </si>
  <si>
    <t>Total</t>
  </si>
  <si>
    <t>Quantidade de areia extraída (t/ano)</t>
  </si>
  <si>
    <t>Processo</t>
  </si>
  <si>
    <t>Latitude</t>
  </si>
  <si>
    <t>Longitude</t>
  </si>
  <si>
    <t>Quantidade média de entrada e saída de caminhões - ano de 2015</t>
  </si>
  <si>
    <t>Medidas de controle</t>
  </si>
  <si>
    <t>Umectação das vias internas de tráfego</t>
  </si>
  <si>
    <t>Tipo</t>
  </si>
  <si>
    <t>Quantidade</t>
  </si>
  <si>
    <t>Área Lavrada (ha)</t>
  </si>
  <si>
    <t>Máquinas e Equipamentos</t>
  </si>
  <si>
    <t>Pá Carregadeira</t>
  </si>
  <si>
    <t>Potência [hp]</t>
  </si>
  <si>
    <t>Equipamento [hp]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</si>
  <si>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</si>
  <si>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</si>
  <si>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 xml:space="preserve">
</t>
  </si>
  <si>
    <t>Fonte: AQMD (2016) - http://www.aqmd.gov/home/regulations/ceqa/air-quality-analysis-handbook/off-road-mobile-source-emission-factors</t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</si>
  <si>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</si>
  <si>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</si>
  <si>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</si>
  <si>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</si>
  <si>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</si>
  <si>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</si>
  <si>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</si>
  <si>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</si>
  <si>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</si>
  <si>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Rubber Tired Loaders
(Pá Carregadeira)</t>
  </si>
  <si>
    <t>Rubber Tired Loaders - 25</t>
  </si>
  <si>
    <t>Rubber Tired Loaders - 50</t>
  </si>
  <si>
    <t>Rubber Tired Loaders - 120</t>
  </si>
  <si>
    <t>Rubber Tired Loaders - 175</t>
  </si>
  <si>
    <t>Rubber Tired Loaders - 250</t>
  </si>
  <si>
    <t>Rubber Tired Loaders - 500</t>
  </si>
  <si>
    <t>Rubber Tired Loaders - 750</t>
  </si>
  <si>
    <t>Rubber Tired Loaders - 1000</t>
  </si>
  <si>
    <t xml:space="preserve"> (nº de vezes/dia)</t>
  </si>
  <si>
    <t>Ano de fabricação das máquinas considerado:</t>
  </si>
  <si>
    <t>Umectação</t>
  </si>
  <si>
    <t>Não Pavimentada</t>
  </si>
  <si>
    <t>Controle</t>
  </si>
  <si>
    <t xml:space="preserve">Fonte Emissora </t>
  </si>
  <si>
    <t>Fonte: Informações fornecidos pelo empreendimento à solicitação através dos Ofícios N°040-2017 e 020-2018</t>
  </si>
  <si>
    <t>Via Trecho 1 (47293209)</t>
  </si>
  <si>
    <t>Via Trecho 2 (52448509)</t>
  </si>
  <si>
    <t>Via Trecho 3 (Entrada/Saída)</t>
  </si>
  <si>
    <t>-</t>
  </si>
  <si>
    <t>TR - Carregamento 1 (caminhão basculante)</t>
  </si>
  <si>
    <t>TR - Carregamento 2 (caminhão basculante)</t>
  </si>
  <si>
    <t xml:space="preserve">PM 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</si>
  <si>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</si>
  <si>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</si>
  <si>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Velocidade do Vento (m/s)</t>
  </si>
  <si>
    <t>Fonte: USEPA (2006) - https://www3.epa.gov/ttn/chief/ap42/ch13/final/c13s0204.pdf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</si>
  <si>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</si>
  <si>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</si>
  <si>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</si>
  <si>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</si>
  <si>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Fonte: USEPA (2006) https://www3.epa.gov/ttn/chief/ap42/ch13/final/c13s0202.pdf</t>
  </si>
  <si>
    <t>AP42 - 13.2.2 Unpaved Roads</t>
  </si>
  <si>
    <t>Table 13.2.2-2 Constants for Equations 1a and 1b</t>
  </si>
  <si>
    <t>Constant</t>
  </si>
  <si>
    <t>Industrial Roads (Equation 1a)</t>
  </si>
  <si>
    <t>PM2.5</t>
  </si>
  <si>
    <t>PM10</t>
  </si>
  <si>
    <t>PM30</t>
  </si>
  <si>
    <t>k (lb/VMT)</t>
  </si>
  <si>
    <t>a</t>
  </si>
  <si>
    <t>b</t>
  </si>
  <si>
    <t>1 lb/VMT</t>
  </si>
  <si>
    <t>g/VKT</t>
  </si>
  <si>
    <t>Equation</t>
  </si>
  <si>
    <t>Classe de Veículo</t>
  </si>
  <si>
    <t>Fator de emissão médio da frota veicular da RGV [g/km]</t>
  </si>
  <si>
    <t>Escapamento</t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</si>
  <si>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</si>
  <si>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</si>
  <si>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</si>
  <si>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HCT</t>
  </si>
  <si>
    <t>Veículos Pesados</t>
  </si>
  <si>
    <t>Ano 2015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</si>
  <si>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</si>
  <si>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</si>
  <si>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</si>
  <si>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</si>
  <si>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</si>
  <si>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</si>
  <si>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</si>
  <si>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</si>
  <si>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</si>
  <si>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</si>
  <si>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</si>
  <si>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</si>
  <si>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</si>
  <si>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</si>
  <si>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</si>
  <si>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</si>
  <si>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</si>
  <si>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</si>
  <si>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Onde:
E - emissão (lb/dia)
n - número de equipamentos de cada categoria
H - número de horas diárias de operação do equipamento
EF - fator de emissão (lb/h)</t>
  </si>
  <si>
    <t>Onde:
FE - fator de emissão de material particulado (lb/VMT)
k - constante de tamanho da partícula (lb/VMT)
sL - teor de silt na superfície de rodagem (%)
W - peso médio dos veículos que trafegam na via (t)
P - número de dias onde a precipitação durante o período observado foi no mínimo 0,254 mm</t>
  </si>
  <si>
    <t>Fontes Emissoras</t>
  </si>
  <si>
    <t>Transferências</t>
  </si>
  <si>
    <t>Vias de Tráfego</t>
  </si>
  <si>
    <t>Erosão Eólica</t>
  </si>
  <si>
    <t>Máquina/Equipamento</t>
  </si>
  <si>
    <t>Pá Carregadeira - L60F</t>
  </si>
  <si>
    <t>Horas trabalhadas (2015)</t>
  </si>
  <si>
    <t>Nº Equipamentos</t>
  </si>
  <si>
    <t>Segunda à quinta-feira</t>
  </si>
  <si>
    <t>Sexta-feira</t>
  </si>
  <si>
    <t>Horário de Funcionamento</t>
  </si>
  <si>
    <t>06:00 às 16:00</t>
  </si>
  <si>
    <t>06:00 às 15:00</t>
  </si>
  <si>
    <t>TR - Pilha 1</t>
  </si>
  <si>
    <t xml:space="preserve">TR - Pilha 2 </t>
  </si>
  <si>
    <t>Comprimento [m]</t>
  </si>
  <si>
    <r>
      <t>Nº de Caminhões por Hora [h</t>
    </r>
    <r>
      <rPr>
        <b/>
        <vertAlign val="superscript"/>
        <sz val="8"/>
        <color theme="0"/>
        <rFont val="Arial"/>
        <family val="2"/>
      </rPr>
      <t>-1</t>
    </r>
    <r>
      <rPr>
        <b/>
        <sz val="8"/>
        <color theme="0"/>
        <rFont val="Arial"/>
        <family val="2"/>
      </rPr>
      <t>]</t>
    </r>
  </si>
  <si>
    <t>Teor de Silte [%]</t>
  </si>
  <si>
    <t>DMT [km/h]</t>
  </si>
  <si>
    <t>Peso Médio dos Caminhões [t]</t>
  </si>
  <si>
    <t>Eficiência de Controle [%]</t>
  </si>
  <si>
    <t>Fator de Emissão - Gases Escapamento [kg/km]</t>
  </si>
  <si>
    <t>Fator de Emissão - Ressuspensão [kg/VKT]</t>
  </si>
  <si>
    <t>Movimentação material [t/h]</t>
  </si>
  <si>
    <t>Umidade do Material [%]</t>
  </si>
  <si>
    <t>Fator de Emissão [kg/t]</t>
  </si>
  <si>
    <t>Fonte: Informações enviadas pelo empreendimento através do Ofício IEMA N° 549/2016</t>
  </si>
  <si>
    <t>Latitude [º]</t>
  </si>
  <si>
    <t>Longitude [º]</t>
  </si>
  <si>
    <t>Tráfego médio diário:</t>
  </si>
  <si>
    <t>VOC</t>
  </si>
  <si>
    <t>TOTAL</t>
  </si>
  <si>
    <t>Nota: "Erosão Eólica" foi calculada na Planilha: Erosão Eólica_Ecoareia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</si>
</sst>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0.0000"/>
    <numFmt numFmtId="165" formatCode="#,##0.000000"/>
    <numFmt numFmtId="166" formatCode="0.000"/>
    <numFmt numFmtId="167" formatCode="0.00000"/>
    <numFmt numFmtId="168" formatCode="_-* #,##0_-;\-* #,##0_-;_-* &quot;-&quot;??_-;_-@_-"/>
    <numFmt numFmtId="169" formatCode="[&gt;=0.005]\ #,##0.00;[&lt;0.005]&quot;&lt;0,01&quot;"/>
    <numFmt numFmtId="170" formatCode="0.0"/>
    <numFmt numFmtId="171" formatCode="#,##0.00000"/>
    <numFmt numFmtId="172" formatCode="0.000000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vertAlign val="subscript"/>
      <sz val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b/>
      <vertAlign val="superscript"/>
      <sz val="8"/>
      <color theme="0"/>
      <name val="Arial"/>
      <family val="2"/>
    </font>
    <font>
      <b/>
      <sz val="9"/>
      <color indexed="81"/>
      <name val="Segoe UI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Fill="1" applyAlignment="1">
      <alignment horizontal="center" vertical="center"/>
    </xf>
    <xf numFmtId="166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164" fontId="0" fillId="0" borderId="0" xfId="0" applyNumberFormat="1"/>
    <xf numFmtId="164" fontId="1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169" fontId="1" fillId="3" borderId="0" xfId="0" applyNumberFormat="1" applyFont="1" applyFill="1" applyAlignment="1">
      <alignment horizontal="center" vertical="center"/>
    </xf>
    <xf numFmtId="16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1" fillId="0" borderId="1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center" wrapText="1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9" xfId="0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172" fontId="1" fillId="0" borderId="0" xfId="0" applyNumberFormat="1" applyFont="1" applyFill="1" applyAlignment="1">
      <alignment horizontal="center" vertical="center"/>
    </xf>
    <xf numFmtId="0" fontId="1" fillId="0" borderId="0" xfId="0" applyFont="1" applyBorder="1"/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2" fillId="0" borderId="0" xfId="0" applyFont="1" applyFill="1" applyBorder="1" applyAlignment="1">
      <alignment horizontal="center"/>
    </xf>
    <xf numFmtId="4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4" borderId="10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67" fontId="1" fillId="0" borderId="19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68" fontId="1" fillId="0" borderId="0" xfId="1" applyNumberFormat="1" applyFont="1" applyFill="1" applyAlignment="1">
      <alignment vertical="center"/>
    </xf>
    <xf numFmtId="169" fontId="1" fillId="0" borderId="5" xfId="0" applyNumberFormat="1" applyFont="1" applyFill="1" applyBorder="1" applyAlignment="1">
      <alignment horizontal="center" vertical="center"/>
    </xf>
    <xf numFmtId="169" fontId="1" fillId="3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67" fontId="1" fillId="0" borderId="5" xfId="0" applyNumberFormat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0" fontId="1" fillId="0" borderId="0" xfId="0" applyNumberFormat="1" applyFont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DCE6F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13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971675" y="71389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1971675" y="71389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(𝑈/2,2)^1,3∕(𝑀/2)^1,4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9</xdr:row>
      <xdr:rowOff>47625</xdr:rowOff>
    </xdr:from>
    <xdr:to>
      <xdr:col>3</xdr:col>
      <xdr:colOff>752475</xdr:colOff>
      <xdr:row>10</xdr:row>
      <xdr:rowOff>228601</xdr:rowOff>
    </xdr:to>
    <xdr:sp macro="" textlink="">
      <xdr:nvSpPr>
        <xdr:cNvPr id="5" name="Elipse 4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3086100" y="2000250"/>
          <a:ext cx="1028700" cy="37147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oneCellAnchor>
    <xdr:from>
      <xdr:col>0</xdr:col>
      <xdr:colOff>542925</xdr:colOff>
      <xdr:row>9</xdr:row>
      <xdr:rowOff>9525</xdr:rowOff>
    </xdr:from>
    <xdr:ext cx="3381375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=""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542925" y="1895475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542925" y="1895475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438150</xdr:colOff>
      <xdr:row>1</xdr:row>
      <xdr:rowOff>119062</xdr:rowOff>
    </xdr:from>
    <xdr:ext cx="269557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819275" y="309562"/>
              <a:ext cx="269557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𝑚𝑔</m:t>
                        </m:r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𝑝𝑝𝑚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. 0,04087 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𝑀𝑊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819275" y="309562"/>
              <a:ext cx="269557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𝑚𝑔/𝑚^3 =𝑝𝑝𝑚 . 0,04087 . 𝑀𝑊 . [(𝑃/𝑃_0 ).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𝑇_0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"/>
  <sheetViews>
    <sheetView workbookViewId="0">
      <selection activeCell="F17" sqref="F17"/>
    </sheetView>
  </sheetViews>
  <sheetFormatPr defaultRowHeight="15" x14ac:dyDescent="0.25"/>
  <cols>
    <col min="1" max="1" width="35.5703125" customWidth="1"/>
    <col min="2" max="2" width="21.140625" bestFit="1" customWidth="1"/>
  </cols>
  <sheetData>
    <row r="1" spans="1:14" x14ac:dyDescent="0.25">
      <c r="A1" s="2" t="s">
        <v>55</v>
      </c>
      <c r="B1" s="63"/>
      <c r="C1" s="63"/>
      <c r="D1" s="63"/>
      <c r="E1" s="63"/>
      <c r="F1" s="63"/>
      <c r="G1" s="63"/>
      <c r="H1" s="63"/>
      <c r="I1" s="63"/>
    </row>
    <row r="2" spans="1:14" x14ac:dyDescent="0.25">
      <c r="A2" s="2" t="s">
        <v>75</v>
      </c>
      <c r="B2" s="2">
        <v>2007</v>
      </c>
      <c r="C2" s="63"/>
      <c r="D2" s="63"/>
      <c r="E2" s="63"/>
      <c r="F2" s="63"/>
      <c r="G2" s="63"/>
      <c r="H2" s="63"/>
      <c r="I2" s="63"/>
    </row>
    <row r="3" spans="1:14" x14ac:dyDescent="0.25">
      <c r="A3" s="57" t="s">
        <v>56</v>
      </c>
      <c r="B3" s="57" t="s">
        <v>57</v>
      </c>
      <c r="C3" s="57" t="s">
        <v>58</v>
      </c>
      <c r="D3" s="57" t="s">
        <v>59</v>
      </c>
      <c r="E3" s="57" t="s">
        <v>60</v>
      </c>
      <c r="F3" s="57" t="s">
        <v>61</v>
      </c>
      <c r="G3" s="57" t="s">
        <v>62</v>
      </c>
      <c r="H3" s="57" t="s">
        <v>63</v>
      </c>
      <c r="I3" s="57" t="s">
        <v>64</v>
      </c>
    </row>
    <row r="4" spans="1:14" ht="15" customHeight="1" x14ac:dyDescent="0.25">
      <c r="A4" s="84" t="s">
        <v>65</v>
      </c>
      <c r="B4" s="56" t="s">
        <v>66</v>
      </c>
      <c r="C4" s="7">
        <v>4.1647481574952775E-3</v>
      </c>
      <c r="D4" s="7">
        <v>6.5318933034944765E-2</v>
      </c>
      <c r="E4" s="7">
        <v>9.7431139391112798E-5</v>
      </c>
      <c r="F4" s="7">
        <v>3.2117661168667613E-2</v>
      </c>
      <c r="G4" s="7">
        <v>1.0013560541894806E-2</v>
      </c>
      <c r="H4" s="7">
        <v>7.6789363702976381</v>
      </c>
      <c r="I4" s="7">
        <v>9.0350737078986789E-4</v>
      </c>
      <c r="N4" s="23"/>
    </row>
    <row r="5" spans="1:14" x14ac:dyDescent="0.25">
      <c r="A5" s="85"/>
      <c r="B5" s="56" t="s">
        <v>67</v>
      </c>
      <c r="C5" s="7">
        <v>1.9389461005136124E-2</v>
      </c>
      <c r="D5" s="7">
        <v>0.15850781980120351</v>
      </c>
      <c r="E5" s="7">
        <v>1.8265581631205882E-4</v>
      </c>
      <c r="F5" s="7">
        <v>0.19953638186759515</v>
      </c>
      <c r="G5" s="7">
        <v>8.7889870552575564E-2</v>
      </c>
      <c r="H5" s="7">
        <v>14.129238189499569</v>
      </c>
      <c r="I5" s="7">
        <v>7.9301638618412291E-3</v>
      </c>
      <c r="N5" s="23"/>
    </row>
    <row r="6" spans="1:14" x14ac:dyDescent="0.25">
      <c r="A6" s="85"/>
      <c r="B6" s="56" t="s">
        <v>68</v>
      </c>
      <c r="C6" s="7">
        <v>3.5159649405128737E-2</v>
      </c>
      <c r="D6" s="7">
        <v>0.39013010201093185</v>
      </c>
      <c r="E6" s="7">
        <v>3.1347091665644508E-4</v>
      </c>
      <c r="F6" s="7">
        <v>0.2004419223709539</v>
      </c>
      <c r="G6" s="7">
        <v>6.7138814469940591E-2</v>
      </c>
      <c r="H6" s="7">
        <v>26.722695910514073</v>
      </c>
      <c r="I6" s="7">
        <v>6.0578280967871325E-3</v>
      </c>
      <c r="K6" s="23"/>
      <c r="N6" s="23"/>
    </row>
    <row r="7" spans="1:14" x14ac:dyDescent="0.25">
      <c r="A7" s="85"/>
      <c r="B7" s="56" t="s">
        <v>69</v>
      </c>
      <c r="C7" s="7">
        <v>3.4873730864910753E-2</v>
      </c>
      <c r="D7" s="7">
        <v>0.62819014565488085</v>
      </c>
      <c r="E7" s="7">
        <v>5.4259968788077681E-4</v>
      </c>
      <c r="F7" s="7">
        <v>0.29143683660988179</v>
      </c>
      <c r="G7" s="7">
        <v>7.9806989940830519E-2</v>
      </c>
      <c r="H7" s="7">
        <v>48.223729179933819</v>
      </c>
      <c r="I7" s="7">
        <v>7.2008552575325378E-3</v>
      </c>
      <c r="N7" s="23"/>
    </row>
    <row r="8" spans="1:14" x14ac:dyDescent="0.25">
      <c r="A8" s="85"/>
      <c r="B8" s="56" t="s">
        <v>70</v>
      </c>
      <c r="C8" s="7">
        <v>3.101083119228833E-2</v>
      </c>
      <c r="D8" s="7">
        <v>0.83698143551687265</v>
      </c>
      <c r="E8" s="7">
        <v>7.6033040375300068E-4</v>
      </c>
      <c r="F8" s="7">
        <v>0.22495851814724077</v>
      </c>
      <c r="G8" s="7">
        <v>8.0781384871570633E-2</v>
      </c>
      <c r="H8" s="7">
        <v>67.57462749683539</v>
      </c>
      <c r="I8" s="7">
        <v>7.2887737155482657E-3</v>
      </c>
      <c r="N8" s="23"/>
    </row>
    <row r="9" spans="1:14" x14ac:dyDescent="0.25">
      <c r="A9" s="85"/>
      <c r="B9" s="56" t="s">
        <v>71</v>
      </c>
      <c r="C9" s="7">
        <v>4.4312637095619792E-2</v>
      </c>
      <c r="D9" s="7">
        <v>1.1811178567160983</v>
      </c>
      <c r="E9" s="7">
        <v>1.0551972934755545E-3</v>
      </c>
      <c r="F9" s="7">
        <v>0.44023160723795168</v>
      </c>
      <c r="G9" s="7">
        <v>0.11468313954524458</v>
      </c>
      <c r="H9" s="7">
        <v>107.50511325477065</v>
      </c>
      <c r="I9" s="7">
        <v>1.0347677695252593E-2</v>
      </c>
    </row>
    <row r="10" spans="1:14" x14ac:dyDescent="0.25">
      <c r="A10" s="85"/>
      <c r="B10" s="56" t="s">
        <v>72</v>
      </c>
      <c r="C10" s="7">
        <v>9.1699292295937748E-2</v>
      </c>
      <c r="D10" s="7">
        <v>2.4816495823931239</v>
      </c>
      <c r="E10" s="7">
        <v>2.2143711863278365E-3</v>
      </c>
      <c r="F10" s="7">
        <v>0.8977989810489746</v>
      </c>
      <c r="G10" s="7">
        <v>0.2376690359121682</v>
      </c>
      <c r="H10" s="7">
        <v>220.23193257962103</v>
      </c>
      <c r="I10" s="7">
        <v>2.1444490325478866E-2</v>
      </c>
    </row>
    <row r="11" spans="1:14" x14ac:dyDescent="0.25">
      <c r="A11" s="85"/>
      <c r="B11" s="56" t="s">
        <v>73</v>
      </c>
      <c r="C11" s="7">
        <v>0.11281698418835924</v>
      </c>
      <c r="D11" s="7">
        <v>3.6320533542247149</v>
      </c>
      <c r="E11" s="7">
        <v>2.708513011176045E-3</v>
      </c>
      <c r="F11" s="7">
        <v>1.2834306373108464</v>
      </c>
      <c r="G11" s="7">
        <v>0.33188731556128104</v>
      </c>
      <c r="H11" s="7">
        <v>269.37717766866973</v>
      </c>
      <c r="I11" s="7">
        <v>2.9945664738985911E-2</v>
      </c>
    </row>
    <row r="12" spans="1:14" x14ac:dyDescent="0.25">
      <c r="B12" s="24"/>
    </row>
    <row r="13" spans="1:14" x14ac:dyDescent="0.25">
      <c r="A13" s="86" t="s">
        <v>17</v>
      </c>
      <c r="B13" s="89"/>
      <c r="C13" s="90"/>
      <c r="D13" s="90"/>
      <c r="E13" s="91"/>
    </row>
    <row r="14" spans="1:14" x14ac:dyDescent="0.25">
      <c r="A14" s="87"/>
      <c r="B14" s="92"/>
      <c r="C14" s="93"/>
      <c r="D14" s="93"/>
      <c r="E14" s="94"/>
    </row>
    <row r="15" spans="1:14" x14ac:dyDescent="0.25">
      <c r="A15" s="87"/>
      <c r="B15" s="95"/>
      <c r="C15" s="96"/>
      <c r="D15" s="96"/>
      <c r="E15" s="97"/>
    </row>
    <row r="16" spans="1:14" x14ac:dyDescent="0.25">
      <c r="A16" s="87"/>
      <c r="B16" s="98" t="s">
        <v>137</v>
      </c>
      <c r="C16" s="99"/>
      <c r="D16" s="99"/>
      <c r="E16" s="100"/>
    </row>
    <row r="17" spans="1:5" x14ac:dyDescent="0.25">
      <c r="A17" s="87"/>
      <c r="B17" s="101"/>
      <c r="C17" s="102"/>
      <c r="D17" s="102"/>
      <c r="E17" s="103"/>
    </row>
    <row r="18" spans="1:5" x14ac:dyDescent="0.25">
      <c r="A18" s="87"/>
      <c r="B18" s="101"/>
      <c r="C18" s="102"/>
      <c r="D18" s="102"/>
      <c r="E18" s="103"/>
    </row>
    <row r="19" spans="1:5" x14ac:dyDescent="0.25">
      <c r="A19" s="88"/>
      <c r="B19" s="104"/>
      <c r="C19" s="105"/>
      <c r="D19" s="105"/>
      <c r="E19" s="106"/>
    </row>
  </sheetData>
  <sheetProtection algorithmName="SHA-512" hashValue="d259J1EXrqCXTqo2jJylY/WvXcwg8FZcaVAYsyVMXUECf/ov2vpGo5JsLxUpKxGS7djwPnPfozvPnk/oHjqOwg==" saltValue="7APrMCpfZQo6Trewzqo5pA==" spinCount="100000" sheet="1" objects="1" scenarios="1"/>
  <mergeCells count="4">
    <mergeCell ref="A4:A11"/>
    <mergeCell ref="A13:A19"/>
    <mergeCell ref="B13:E15"/>
    <mergeCell ref="B16:E19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4" sqref="C14"/>
    </sheetView>
  </sheetViews>
  <sheetFormatPr defaultRowHeight="15" x14ac:dyDescent="0.25"/>
  <cols>
    <col min="1" max="1" width="28.140625" bestFit="1" customWidth="1"/>
    <col min="2" max="7" width="14.5703125" customWidth="1"/>
  </cols>
  <sheetData>
    <row r="1" spans="1:5" x14ac:dyDescent="0.25">
      <c r="A1" s="107" t="s">
        <v>91</v>
      </c>
      <c r="B1" s="108"/>
      <c r="C1" s="108"/>
      <c r="D1" s="108"/>
    </row>
    <row r="2" spans="1:5" x14ac:dyDescent="0.25">
      <c r="A2" s="57"/>
      <c r="B2" s="57" t="s">
        <v>2</v>
      </c>
      <c r="C2" s="57" t="s">
        <v>92</v>
      </c>
      <c r="D2" s="57" t="s">
        <v>93</v>
      </c>
    </row>
    <row r="3" spans="1:5" x14ac:dyDescent="0.25">
      <c r="A3" s="32" t="s">
        <v>94</v>
      </c>
      <c r="B3" s="39">
        <v>0.74</v>
      </c>
      <c r="C3" s="39">
        <v>0.35</v>
      </c>
      <c r="D3" s="39">
        <v>5.2999999999999999E-2</v>
      </c>
    </row>
    <row r="4" spans="1:5" x14ac:dyDescent="0.25">
      <c r="A4" s="63"/>
      <c r="B4" s="63"/>
      <c r="C4" s="63"/>
      <c r="D4" s="63"/>
    </row>
    <row r="5" spans="1:5" x14ac:dyDescent="0.25">
      <c r="A5" s="86" t="s">
        <v>17</v>
      </c>
      <c r="B5" s="64"/>
      <c r="C5" s="65"/>
      <c r="D5" s="65"/>
      <c r="E5" s="33"/>
    </row>
    <row r="6" spans="1:5" x14ac:dyDescent="0.25">
      <c r="A6" s="87"/>
      <c r="B6" s="66"/>
      <c r="C6" s="67"/>
      <c r="D6" s="67"/>
      <c r="E6" s="33"/>
    </row>
    <row r="7" spans="1:5" x14ac:dyDescent="0.25">
      <c r="A7" s="87"/>
      <c r="B7" s="68"/>
      <c r="C7" s="69"/>
      <c r="D7" s="69"/>
      <c r="E7" s="33"/>
    </row>
    <row r="8" spans="1:5" ht="15" customHeight="1" x14ac:dyDescent="0.25">
      <c r="A8" s="87"/>
      <c r="B8" s="98" t="s">
        <v>95</v>
      </c>
      <c r="C8" s="99"/>
      <c r="D8" s="99"/>
      <c r="E8" s="34"/>
    </row>
    <row r="9" spans="1:5" x14ac:dyDescent="0.25">
      <c r="A9" s="87"/>
      <c r="B9" s="101"/>
      <c r="C9" s="102"/>
      <c r="D9" s="102"/>
      <c r="E9" s="34"/>
    </row>
    <row r="10" spans="1:5" ht="17.25" customHeight="1" x14ac:dyDescent="0.25">
      <c r="A10" s="87"/>
      <c r="B10" s="101"/>
      <c r="C10" s="102"/>
      <c r="D10" s="102"/>
      <c r="E10" s="34"/>
    </row>
    <row r="11" spans="1:5" ht="19.5" customHeight="1" x14ac:dyDescent="0.25">
      <c r="A11" s="88"/>
      <c r="B11" s="104"/>
      <c r="C11" s="105"/>
      <c r="D11" s="105"/>
      <c r="E11" s="34"/>
    </row>
  </sheetData>
  <sheetProtection algorithmName="SHA-512" hashValue="hM+ZqspZDhyNaHuhxLP9t3NAuqUOaNFMFWl+JpbwX6tf38J1gOiEHLo+swoYUVAF6ysHo/NGSZYFekrYTczaLw==" saltValue="3WQvBJ8T8mfOvoswRuUnBA==" spinCount="100000" sheet="1" objects="1" scenarios="1"/>
  <mergeCells count="3">
    <mergeCell ref="A1:D1"/>
    <mergeCell ref="A5:A11"/>
    <mergeCell ref="B8:D1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"/>
  <sheetViews>
    <sheetView topLeftCell="A7" workbookViewId="0">
      <selection activeCell="F24" sqref="F24"/>
    </sheetView>
  </sheetViews>
  <sheetFormatPr defaultRowHeight="15" x14ac:dyDescent="0.25"/>
  <cols>
    <col min="1" max="4" width="13.42578125" customWidth="1"/>
    <col min="9" max="9" width="9.7109375" customWidth="1"/>
    <col min="10" max="10" width="14" customWidth="1"/>
    <col min="11" max="11" width="18.140625" customWidth="1"/>
    <col min="12" max="12" width="19.28515625" customWidth="1"/>
    <col min="13" max="13" width="11.5703125" bestFit="1" customWidth="1"/>
  </cols>
  <sheetData>
    <row r="1" spans="1:14" x14ac:dyDescent="0.25">
      <c r="A1" s="2" t="s">
        <v>96</v>
      </c>
      <c r="B1" s="2"/>
      <c r="C1" s="2"/>
      <c r="D1" s="2"/>
      <c r="E1" s="63"/>
      <c r="F1" s="63"/>
      <c r="G1" s="63"/>
      <c r="H1" s="63"/>
      <c r="I1" s="109" t="s">
        <v>118</v>
      </c>
      <c r="J1" s="109"/>
      <c r="K1" s="109"/>
      <c r="L1" s="109"/>
      <c r="M1" s="109"/>
      <c r="N1" s="63"/>
    </row>
    <row r="2" spans="1:14" ht="28.5" customHeight="1" x14ac:dyDescent="0.25">
      <c r="A2" s="112" t="s">
        <v>97</v>
      </c>
      <c r="B2" s="112"/>
      <c r="C2" s="112"/>
      <c r="D2" s="112"/>
      <c r="E2" s="63"/>
      <c r="F2" s="63"/>
      <c r="G2" s="63"/>
      <c r="H2" s="63"/>
      <c r="I2" s="57" t="s">
        <v>119</v>
      </c>
      <c r="J2" s="45" t="s">
        <v>120</v>
      </c>
      <c r="K2" s="45" t="s">
        <v>121</v>
      </c>
      <c r="L2" s="57" t="s">
        <v>122</v>
      </c>
      <c r="M2" s="57" t="s">
        <v>123</v>
      </c>
      <c r="N2" s="63"/>
    </row>
    <row r="3" spans="1:14" x14ac:dyDescent="0.25">
      <c r="A3" s="113" t="s">
        <v>98</v>
      </c>
      <c r="B3" s="113"/>
      <c r="C3" s="113"/>
      <c r="D3" s="113"/>
      <c r="E3" s="63"/>
      <c r="F3" s="63"/>
      <c r="G3" s="63"/>
      <c r="H3" s="63"/>
      <c r="I3" s="39" t="s">
        <v>124</v>
      </c>
      <c r="J3" s="39">
        <v>0</v>
      </c>
      <c r="K3" s="39">
        <v>0</v>
      </c>
      <c r="L3" s="39">
        <v>31</v>
      </c>
      <c r="M3" s="38">
        <f>(L3-K3)/L3</f>
        <v>1</v>
      </c>
      <c r="N3" s="63"/>
    </row>
    <row r="4" spans="1:14" x14ac:dyDescent="0.25">
      <c r="A4" s="110" t="s">
        <v>99</v>
      </c>
      <c r="B4" s="110" t="s">
        <v>100</v>
      </c>
      <c r="C4" s="110"/>
      <c r="D4" s="110"/>
      <c r="E4" s="63"/>
      <c r="F4" s="63"/>
      <c r="G4" s="63"/>
      <c r="H4" s="63"/>
      <c r="I4" s="39" t="s">
        <v>125</v>
      </c>
      <c r="J4" s="39">
        <v>52</v>
      </c>
      <c r="K4" s="39">
        <v>7</v>
      </c>
      <c r="L4" s="39">
        <v>28</v>
      </c>
      <c r="M4" s="38">
        <f t="shared" ref="M4:M14" si="0">(L4-K4)/L4</f>
        <v>0.75</v>
      </c>
      <c r="N4" s="63"/>
    </row>
    <row r="5" spans="1:14" x14ac:dyDescent="0.25">
      <c r="A5" s="110"/>
      <c r="B5" s="58" t="s">
        <v>101</v>
      </c>
      <c r="C5" s="58" t="s">
        <v>102</v>
      </c>
      <c r="D5" s="58" t="s">
        <v>103</v>
      </c>
      <c r="E5" s="63"/>
      <c r="F5" s="63"/>
      <c r="G5" s="63"/>
      <c r="H5" s="63"/>
      <c r="I5" s="39" t="s">
        <v>126</v>
      </c>
      <c r="J5" s="39">
        <v>69</v>
      </c>
      <c r="K5" s="39">
        <v>7</v>
      </c>
      <c r="L5" s="39">
        <v>31</v>
      </c>
      <c r="M5" s="38">
        <f t="shared" si="0"/>
        <v>0.77419354838709675</v>
      </c>
      <c r="N5" s="63"/>
    </row>
    <row r="6" spans="1:14" x14ac:dyDescent="0.25">
      <c r="A6" s="36" t="s">
        <v>104</v>
      </c>
      <c r="B6" s="58">
        <v>0.15</v>
      </c>
      <c r="C6" s="58">
        <v>1.5</v>
      </c>
      <c r="D6" s="58">
        <v>4.9000000000000004</v>
      </c>
      <c r="E6" s="63"/>
      <c r="F6" s="63"/>
      <c r="G6" s="63"/>
      <c r="H6" s="63"/>
      <c r="I6" s="39" t="s">
        <v>127</v>
      </c>
      <c r="J6" s="39">
        <v>44</v>
      </c>
      <c r="K6" s="39">
        <v>8</v>
      </c>
      <c r="L6" s="39">
        <v>30</v>
      </c>
      <c r="M6" s="38">
        <f t="shared" si="0"/>
        <v>0.73333333333333328</v>
      </c>
      <c r="N6" s="63"/>
    </row>
    <row r="7" spans="1:14" x14ac:dyDescent="0.25">
      <c r="A7" s="36" t="s">
        <v>105</v>
      </c>
      <c r="B7" s="58">
        <v>0.9</v>
      </c>
      <c r="C7" s="58">
        <v>0.9</v>
      </c>
      <c r="D7" s="58">
        <v>0.7</v>
      </c>
      <c r="E7" s="63"/>
      <c r="F7" s="63"/>
      <c r="G7" s="63"/>
      <c r="H7" s="63"/>
      <c r="I7" s="39" t="s">
        <v>128</v>
      </c>
      <c r="J7" s="39">
        <v>185.8</v>
      </c>
      <c r="K7" s="39">
        <v>16</v>
      </c>
      <c r="L7" s="39">
        <v>31</v>
      </c>
      <c r="M7" s="38">
        <f t="shared" si="0"/>
        <v>0.4838709677419355</v>
      </c>
      <c r="N7" s="63"/>
    </row>
    <row r="8" spans="1:14" x14ac:dyDescent="0.25">
      <c r="A8" s="36" t="s">
        <v>106</v>
      </c>
      <c r="B8" s="58">
        <v>0.45</v>
      </c>
      <c r="C8" s="58">
        <v>0.45</v>
      </c>
      <c r="D8" s="58">
        <v>0.45</v>
      </c>
      <c r="E8" s="63"/>
      <c r="F8" s="63"/>
      <c r="G8" s="63"/>
      <c r="H8" s="63"/>
      <c r="I8" s="39" t="s">
        <v>129</v>
      </c>
      <c r="J8" s="39">
        <v>119.2</v>
      </c>
      <c r="K8" s="39">
        <v>9</v>
      </c>
      <c r="L8" s="39">
        <v>30</v>
      </c>
      <c r="M8" s="38">
        <f t="shared" si="0"/>
        <v>0.7</v>
      </c>
      <c r="N8" s="63"/>
    </row>
    <row r="9" spans="1:14" x14ac:dyDescent="0.25">
      <c r="A9" s="36" t="s">
        <v>107</v>
      </c>
      <c r="B9" s="70">
        <v>281.89999999999998</v>
      </c>
      <c r="C9" s="36" t="s">
        <v>108</v>
      </c>
      <c r="D9" s="36"/>
      <c r="E9" s="63"/>
      <c r="F9" s="63"/>
      <c r="G9" s="63"/>
      <c r="H9" s="63"/>
      <c r="I9" s="39" t="s">
        <v>130</v>
      </c>
      <c r="J9" s="39">
        <v>17.8</v>
      </c>
      <c r="K9" s="39">
        <v>6</v>
      </c>
      <c r="L9" s="39">
        <v>31</v>
      </c>
      <c r="M9" s="38">
        <f t="shared" si="0"/>
        <v>0.80645161290322576</v>
      </c>
      <c r="N9" s="63"/>
    </row>
    <row r="10" spans="1:14" x14ac:dyDescent="0.25">
      <c r="A10" s="110" t="s">
        <v>109</v>
      </c>
      <c r="B10" s="110"/>
      <c r="C10" s="110"/>
      <c r="D10" s="110"/>
      <c r="E10" s="63"/>
      <c r="F10" s="63"/>
      <c r="G10" s="63"/>
      <c r="H10" s="63"/>
      <c r="I10" s="39" t="s">
        <v>131</v>
      </c>
      <c r="J10" s="39">
        <v>70.2</v>
      </c>
      <c r="K10" s="39">
        <v>11</v>
      </c>
      <c r="L10" s="39">
        <v>31</v>
      </c>
      <c r="M10" s="38">
        <f t="shared" si="0"/>
        <v>0.64516129032258063</v>
      </c>
      <c r="N10" s="63"/>
    </row>
    <row r="11" spans="1:14" x14ac:dyDescent="0.25">
      <c r="A11" s="110"/>
      <c r="B11" s="110"/>
      <c r="C11" s="110"/>
      <c r="D11" s="110"/>
      <c r="E11" s="63"/>
      <c r="F11" s="63"/>
      <c r="G11" s="63"/>
      <c r="H11" s="63"/>
      <c r="I11" s="39" t="s">
        <v>132</v>
      </c>
      <c r="J11" s="39">
        <v>25.2</v>
      </c>
      <c r="K11" s="39">
        <v>7</v>
      </c>
      <c r="L11" s="39">
        <v>30</v>
      </c>
      <c r="M11" s="38">
        <f t="shared" si="0"/>
        <v>0.76666666666666672</v>
      </c>
      <c r="N11" s="63"/>
    </row>
    <row r="12" spans="1:14" ht="15" customHeight="1" x14ac:dyDescent="0.25">
      <c r="A12" s="110"/>
      <c r="B12" s="111" t="s">
        <v>138</v>
      </c>
      <c r="C12" s="111"/>
      <c r="D12" s="111"/>
      <c r="E12" s="63"/>
      <c r="F12" s="63"/>
      <c r="G12" s="63"/>
      <c r="H12" s="63"/>
      <c r="I12" s="39" t="s">
        <v>133</v>
      </c>
      <c r="J12" s="39">
        <v>54.4</v>
      </c>
      <c r="K12" s="39">
        <v>6</v>
      </c>
      <c r="L12" s="39">
        <v>31</v>
      </c>
      <c r="M12" s="38">
        <f t="shared" si="0"/>
        <v>0.80645161290322576</v>
      </c>
      <c r="N12" s="63"/>
    </row>
    <row r="13" spans="1:14" x14ac:dyDescent="0.25">
      <c r="A13" s="110"/>
      <c r="B13" s="111"/>
      <c r="C13" s="111"/>
      <c r="D13" s="111"/>
      <c r="E13" s="63"/>
      <c r="F13" s="63"/>
      <c r="G13" s="63"/>
      <c r="H13" s="63"/>
      <c r="I13" s="39" t="s">
        <v>134</v>
      </c>
      <c r="J13" s="40">
        <v>48.6</v>
      </c>
      <c r="K13" s="39">
        <v>9</v>
      </c>
      <c r="L13" s="39">
        <v>30</v>
      </c>
      <c r="M13" s="38">
        <f t="shared" si="0"/>
        <v>0.7</v>
      </c>
      <c r="N13" s="63"/>
    </row>
    <row r="14" spans="1:14" x14ac:dyDescent="0.25">
      <c r="A14" s="110"/>
      <c r="B14" s="111"/>
      <c r="C14" s="111"/>
      <c r="D14" s="111"/>
      <c r="E14" s="63"/>
      <c r="F14" s="63"/>
      <c r="G14" s="63"/>
      <c r="H14" s="63"/>
      <c r="I14" s="39" t="s">
        <v>135</v>
      </c>
      <c r="J14" s="39">
        <v>91.4</v>
      </c>
      <c r="K14" s="39">
        <v>6</v>
      </c>
      <c r="L14" s="39">
        <v>31</v>
      </c>
      <c r="M14" s="38">
        <f t="shared" si="0"/>
        <v>0.80645161290322576</v>
      </c>
      <c r="N14" s="63"/>
    </row>
    <row r="15" spans="1:14" x14ac:dyDescent="0.25">
      <c r="A15" s="110"/>
      <c r="B15" s="111"/>
      <c r="C15" s="111"/>
      <c r="D15" s="111"/>
      <c r="E15" s="63"/>
      <c r="F15" s="63"/>
      <c r="G15" s="63"/>
      <c r="H15" s="63"/>
      <c r="I15" s="41" t="s">
        <v>136</v>
      </c>
      <c r="J15" s="12">
        <f>(365-SUM(K3:K14))/365</f>
        <v>0.74794520547945209</v>
      </c>
      <c r="K15" s="2"/>
      <c r="L15" s="62"/>
      <c r="M15" s="2"/>
      <c r="N15" s="63"/>
    </row>
    <row r="16" spans="1:14" x14ac:dyDescent="0.25">
      <c r="A16" s="110"/>
      <c r="B16" s="111"/>
      <c r="C16" s="111"/>
      <c r="D16" s="111"/>
      <c r="E16" s="63"/>
      <c r="F16" s="63"/>
      <c r="G16" s="63"/>
      <c r="H16" s="63"/>
      <c r="I16" s="63"/>
      <c r="J16" s="63"/>
      <c r="K16" s="2"/>
      <c r="L16" s="2"/>
      <c r="M16" s="2"/>
      <c r="N16" s="63"/>
    </row>
    <row r="17" spans="1:14" x14ac:dyDescent="0.25">
      <c r="A17" s="110"/>
      <c r="B17" s="111"/>
      <c r="C17" s="111"/>
      <c r="D17" s="111"/>
      <c r="E17" s="63"/>
      <c r="F17" s="63"/>
      <c r="G17" s="63"/>
      <c r="H17" s="63"/>
      <c r="I17" s="63"/>
      <c r="J17" s="63"/>
      <c r="K17" s="63"/>
      <c r="L17" s="63"/>
      <c r="M17" s="63"/>
      <c r="N17" s="63"/>
    </row>
    <row r="18" spans="1:14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</row>
    <row r="19" spans="1:14" x14ac:dyDescent="0.25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</row>
    <row r="20" spans="1:14" x14ac:dyDescent="0.25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</row>
    <row r="21" spans="1:14" x14ac:dyDescent="0.25">
      <c r="A21" s="109" t="s">
        <v>110</v>
      </c>
      <c r="B21" s="109" t="s">
        <v>111</v>
      </c>
      <c r="C21" s="109"/>
      <c r="D21" s="109"/>
      <c r="E21" s="109"/>
      <c r="F21" s="109"/>
      <c r="G21" s="109"/>
      <c r="H21" s="109"/>
      <c r="I21" s="63"/>
      <c r="J21" s="63"/>
      <c r="K21" s="63"/>
      <c r="L21" s="63"/>
      <c r="M21" s="63"/>
      <c r="N21" s="63"/>
    </row>
    <row r="22" spans="1:14" x14ac:dyDescent="0.25">
      <c r="A22" s="109"/>
      <c r="B22" s="109" t="s">
        <v>112</v>
      </c>
      <c r="C22" s="109"/>
      <c r="D22" s="109"/>
      <c r="E22" s="109"/>
      <c r="F22" s="109"/>
      <c r="G22" s="109"/>
      <c r="H22" s="109"/>
      <c r="I22" s="63"/>
      <c r="J22" s="63"/>
      <c r="K22" s="63"/>
      <c r="L22" s="63"/>
      <c r="M22" s="63"/>
      <c r="N22" s="63"/>
    </row>
    <row r="23" spans="1:14" x14ac:dyDescent="0.25">
      <c r="A23" s="109"/>
      <c r="B23" s="57" t="s">
        <v>2</v>
      </c>
      <c r="C23" s="57" t="s">
        <v>92</v>
      </c>
      <c r="D23" s="57" t="s">
        <v>113</v>
      </c>
      <c r="E23" s="57" t="s">
        <v>114</v>
      </c>
      <c r="F23" s="57" t="s">
        <v>115</v>
      </c>
      <c r="G23" s="57" t="s">
        <v>4</v>
      </c>
      <c r="H23" s="57" t="s">
        <v>116</v>
      </c>
      <c r="I23" s="63"/>
      <c r="J23" s="63"/>
      <c r="K23" s="63"/>
      <c r="L23" s="63"/>
      <c r="M23" s="63"/>
      <c r="N23" s="63"/>
    </row>
    <row r="24" spans="1:14" x14ac:dyDescent="0.25">
      <c r="A24" s="37" t="s">
        <v>117</v>
      </c>
      <c r="B24" s="71">
        <v>0.17489827604766656</v>
      </c>
      <c r="C24" s="71">
        <v>0.17489827604766656</v>
      </c>
      <c r="D24" s="71">
        <v>0.17489827604766656</v>
      </c>
      <c r="E24" s="71">
        <v>5.4345140567386743</v>
      </c>
      <c r="F24" s="71">
        <v>0.21032135261668511</v>
      </c>
      <c r="G24" s="71">
        <v>1.0383730075038093</v>
      </c>
      <c r="H24" s="71">
        <v>0.24766340643796464</v>
      </c>
      <c r="I24" s="63"/>
      <c r="J24" s="63"/>
      <c r="K24" s="63"/>
      <c r="L24" s="63"/>
      <c r="M24" s="63"/>
      <c r="N24" s="63"/>
    </row>
    <row r="28" spans="1:14" x14ac:dyDescent="0.25">
      <c r="A28" s="43"/>
      <c r="B28" s="33"/>
      <c r="C28" s="33"/>
      <c r="D28" s="33"/>
      <c r="E28" s="33"/>
    </row>
    <row r="29" spans="1:14" x14ac:dyDescent="0.25">
      <c r="A29" s="43"/>
      <c r="B29" s="33"/>
      <c r="C29" s="33"/>
      <c r="D29" s="33"/>
      <c r="E29" s="33"/>
    </row>
    <row r="30" spans="1:14" x14ac:dyDescent="0.25">
      <c r="A30" s="43"/>
      <c r="B30" s="33"/>
      <c r="C30" s="33"/>
      <c r="D30" s="33"/>
      <c r="E30" s="33"/>
    </row>
    <row r="31" spans="1:14" x14ac:dyDescent="0.25">
      <c r="A31" s="43"/>
      <c r="B31" s="34"/>
      <c r="C31" s="34"/>
      <c r="D31" s="34"/>
      <c r="E31" s="34"/>
    </row>
    <row r="32" spans="1:14" x14ac:dyDescent="0.25">
      <c r="A32" s="43"/>
      <c r="B32" s="34"/>
      <c r="C32" s="34"/>
      <c r="D32" s="34"/>
      <c r="E32" s="34"/>
    </row>
    <row r="33" spans="1:5" x14ac:dyDescent="0.25">
      <c r="A33" s="43"/>
      <c r="B33" s="34"/>
      <c r="C33" s="34"/>
      <c r="D33" s="34"/>
      <c r="E33" s="34"/>
    </row>
    <row r="34" spans="1:5" x14ac:dyDescent="0.25">
      <c r="A34" s="43"/>
      <c r="B34" s="34"/>
      <c r="C34" s="34"/>
      <c r="D34" s="34"/>
      <c r="E34" s="34"/>
    </row>
    <row r="35" spans="1:5" x14ac:dyDescent="0.25">
      <c r="A35" s="43"/>
      <c r="B35" s="34"/>
      <c r="C35" s="34"/>
      <c r="D35" s="34"/>
      <c r="E35" s="34"/>
    </row>
    <row r="36" spans="1:5" x14ac:dyDescent="0.25">
      <c r="A36" s="43"/>
      <c r="B36" s="34"/>
      <c r="C36" s="34"/>
      <c r="D36" s="34"/>
      <c r="E36" s="34"/>
    </row>
    <row r="37" spans="1:5" x14ac:dyDescent="0.25">
      <c r="A37" s="43"/>
      <c r="B37" s="34"/>
      <c r="C37" s="34"/>
      <c r="D37" s="34"/>
      <c r="E37" s="34"/>
    </row>
    <row r="38" spans="1:5" x14ac:dyDescent="0.25">
      <c r="A38" s="44"/>
      <c r="B38" s="44"/>
      <c r="C38" s="44"/>
      <c r="D38" s="44"/>
      <c r="E38" s="44"/>
    </row>
  </sheetData>
  <sheetProtection algorithmName="SHA-512" hashValue="l6TufiCALCKbEIvsAfILP+CDy/yg/SL4VgdKNG5KXRolyE/nUbGNocz6N5tSQh9C+XVs+yRJtZ9aJ+62kIkTRg==" saltValue="CRXanDIPA2Z6Cx7qe++INA==" spinCount="100000" sheet="1" objects="1" scenarios="1"/>
  <mergeCells count="11">
    <mergeCell ref="I1:M1"/>
    <mergeCell ref="A10:A17"/>
    <mergeCell ref="B12:D17"/>
    <mergeCell ref="A21:A23"/>
    <mergeCell ref="B21:H21"/>
    <mergeCell ref="B22:H22"/>
    <mergeCell ref="A2:D2"/>
    <mergeCell ref="A3:D3"/>
    <mergeCell ref="A4:A5"/>
    <mergeCell ref="B4:D4"/>
    <mergeCell ref="B10:D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F24" sqref="F24"/>
    </sheetView>
  </sheetViews>
  <sheetFormatPr defaultRowHeight="15" customHeight="1" x14ac:dyDescent="0.2"/>
  <cols>
    <col min="1" max="1" width="18.28515625" style="1" customWidth="1"/>
    <col min="2" max="2" width="14" style="1" bestFit="1" customWidth="1"/>
    <col min="3" max="3" width="19.28515625" style="1" customWidth="1"/>
    <col min="4" max="4" width="13.5703125" style="1" bestFit="1" customWidth="1"/>
    <col min="5" max="5" width="24" style="1" bestFit="1" customWidth="1"/>
    <col min="6" max="6" width="16.7109375" style="1" bestFit="1" customWidth="1"/>
    <col min="7" max="7" width="24" style="1" bestFit="1" customWidth="1"/>
    <col min="8" max="8" width="15" style="1" bestFit="1" customWidth="1"/>
    <col min="9" max="9" width="30.85546875" style="1" bestFit="1" customWidth="1"/>
    <col min="10" max="10" width="17.28515625" style="1" bestFit="1" customWidth="1"/>
    <col min="11" max="16384" width="9.140625" style="1"/>
  </cols>
  <sheetData>
    <row r="1" spans="1:7" ht="15" customHeight="1" x14ac:dyDescent="0.2">
      <c r="A1" s="3" t="s">
        <v>165</v>
      </c>
      <c r="B1" s="2"/>
      <c r="C1" s="2"/>
      <c r="D1" s="2"/>
      <c r="E1" s="2"/>
    </row>
    <row r="2" spans="1:7" ht="15" customHeight="1" x14ac:dyDescent="0.2">
      <c r="A2" s="2"/>
      <c r="B2" s="2"/>
      <c r="C2" s="2"/>
      <c r="D2" s="2"/>
      <c r="E2" s="2"/>
    </row>
    <row r="3" spans="1:7" ht="15" customHeight="1" x14ac:dyDescent="0.2">
      <c r="A3" s="114" t="s">
        <v>149</v>
      </c>
      <c r="B3" s="114"/>
      <c r="C3" s="2"/>
      <c r="D3" s="2"/>
      <c r="E3" s="2"/>
    </row>
    <row r="4" spans="1:7" ht="15" customHeight="1" x14ac:dyDescent="0.2">
      <c r="A4" s="2" t="s">
        <v>147</v>
      </c>
      <c r="B4" s="62" t="s">
        <v>150</v>
      </c>
      <c r="C4" s="2"/>
      <c r="D4" s="2"/>
      <c r="E4" s="2"/>
    </row>
    <row r="5" spans="1:7" ht="15" customHeight="1" x14ac:dyDescent="0.2">
      <c r="A5" s="2" t="s">
        <v>148</v>
      </c>
      <c r="B5" s="62" t="s">
        <v>151</v>
      </c>
      <c r="C5" s="2"/>
      <c r="D5" s="2"/>
      <c r="E5" s="2"/>
    </row>
    <row r="6" spans="1:7" ht="15" customHeight="1" x14ac:dyDescent="0.2">
      <c r="A6" s="2"/>
      <c r="B6" s="2"/>
      <c r="C6" s="2"/>
      <c r="D6" s="2"/>
      <c r="E6" s="2"/>
    </row>
    <row r="7" spans="1:7" ht="15" customHeight="1" x14ac:dyDescent="0.2">
      <c r="A7" s="123" t="s">
        <v>7</v>
      </c>
      <c r="B7" s="124"/>
      <c r="C7" s="124"/>
      <c r="D7" s="124"/>
      <c r="E7" s="53"/>
    </row>
    <row r="8" spans="1:7" ht="15" customHeight="1" x14ac:dyDescent="0.2">
      <c r="A8" s="57" t="s">
        <v>39</v>
      </c>
      <c r="B8" s="57" t="s">
        <v>40</v>
      </c>
      <c r="C8" s="57" t="s">
        <v>41</v>
      </c>
      <c r="D8" s="57" t="s">
        <v>47</v>
      </c>
      <c r="E8" s="49"/>
    </row>
    <row r="9" spans="1:7" ht="15" customHeight="1" x14ac:dyDescent="0.2">
      <c r="A9" s="39">
        <v>47293209</v>
      </c>
      <c r="B9" s="39">
        <v>-20.419125000000001</v>
      </c>
      <c r="C9" s="39">
        <v>-40.344447000000002</v>
      </c>
      <c r="D9" s="39">
        <v>5.46</v>
      </c>
      <c r="E9" s="8"/>
      <c r="F9" s="50"/>
      <c r="G9" s="54"/>
    </row>
    <row r="10" spans="1:7" ht="15" customHeight="1" x14ac:dyDescent="0.2">
      <c r="A10" s="39">
        <v>52448509</v>
      </c>
      <c r="B10" s="48">
        <v>-20.420317000000001</v>
      </c>
      <c r="C10" s="48">
        <v>-40.341006999999998</v>
      </c>
      <c r="D10" s="39">
        <v>0.88</v>
      </c>
      <c r="E10" s="8"/>
      <c r="F10" s="50"/>
      <c r="G10" s="49"/>
    </row>
    <row r="11" spans="1:7" ht="15" customHeight="1" x14ac:dyDescent="0.2">
      <c r="A11" s="115" t="s">
        <v>37</v>
      </c>
      <c r="B11" s="115"/>
      <c r="C11" s="115"/>
      <c r="D11" s="52">
        <f>SUM(D9:D10)</f>
        <v>6.34</v>
      </c>
      <c r="E11" s="8"/>
      <c r="F11" s="50"/>
      <c r="G11" s="49"/>
    </row>
    <row r="12" spans="1:7" ht="15" customHeight="1" x14ac:dyDescent="0.2">
      <c r="A12" s="36"/>
      <c r="B12" s="36"/>
      <c r="C12" s="36"/>
      <c r="D12" s="36"/>
      <c r="E12" s="30"/>
      <c r="F12" s="51"/>
      <c r="G12" s="55"/>
    </row>
    <row r="13" spans="1:7" ht="15" customHeight="1" x14ac:dyDescent="0.2">
      <c r="A13" s="121" t="s">
        <v>38</v>
      </c>
      <c r="B13" s="122"/>
      <c r="C13" s="73">
        <v>110282.47</v>
      </c>
      <c r="D13" s="36"/>
      <c r="E13" s="30"/>
      <c r="F13" s="51"/>
      <c r="G13" s="55"/>
    </row>
    <row r="14" spans="1:7" ht="15" customHeight="1" x14ac:dyDescent="0.2">
      <c r="A14" s="2"/>
      <c r="B14" s="2"/>
      <c r="C14" s="2"/>
      <c r="D14" s="2"/>
      <c r="E14" s="74"/>
      <c r="F14" s="50"/>
      <c r="G14" s="50"/>
    </row>
    <row r="15" spans="1:7" ht="15" customHeight="1" x14ac:dyDescent="0.2">
      <c r="A15" s="119" t="s">
        <v>43</v>
      </c>
      <c r="B15" s="120"/>
      <c r="C15" s="120"/>
      <c r="D15" s="2"/>
      <c r="E15" s="3"/>
      <c r="F15" s="50"/>
      <c r="G15" s="50"/>
    </row>
    <row r="16" spans="1:7" ht="11.25" x14ac:dyDescent="0.2">
      <c r="A16" s="49" t="s">
        <v>45</v>
      </c>
      <c r="B16" s="117" t="s">
        <v>44</v>
      </c>
      <c r="C16" s="118"/>
      <c r="D16" s="2"/>
      <c r="E16" s="3"/>
      <c r="F16" s="50"/>
      <c r="G16" s="50"/>
    </row>
    <row r="17" spans="1:10" ht="15" customHeight="1" x14ac:dyDescent="0.2">
      <c r="A17" s="39" t="s">
        <v>74</v>
      </c>
      <c r="B17" s="39">
        <v>1</v>
      </c>
      <c r="C17" s="2"/>
      <c r="D17" s="2"/>
      <c r="E17" s="3"/>
      <c r="F17" s="50"/>
      <c r="G17" s="8"/>
    </row>
    <row r="18" spans="1:10" ht="15" customHeight="1" x14ac:dyDescent="0.2">
      <c r="A18" s="2"/>
      <c r="B18" s="2"/>
      <c r="C18" s="2"/>
      <c r="D18" s="2"/>
      <c r="E18" s="3"/>
      <c r="F18" s="50"/>
      <c r="G18" s="50"/>
    </row>
    <row r="19" spans="1:10" ht="15" customHeight="1" x14ac:dyDescent="0.2">
      <c r="A19" s="45" t="s">
        <v>143</v>
      </c>
      <c r="B19" s="59" t="s">
        <v>146</v>
      </c>
      <c r="C19" s="45" t="s">
        <v>145</v>
      </c>
      <c r="D19" s="2"/>
      <c r="E19" s="3"/>
      <c r="F19" s="50"/>
      <c r="G19" s="50"/>
    </row>
    <row r="20" spans="1:10" ht="15" customHeight="1" x14ac:dyDescent="0.2">
      <c r="A20" s="49" t="s">
        <v>144</v>
      </c>
      <c r="B20" s="62">
        <v>3</v>
      </c>
      <c r="C20" s="49">
        <v>6600</v>
      </c>
      <c r="D20" s="2"/>
      <c r="E20" s="62"/>
      <c r="F20" s="42"/>
      <c r="G20" s="42"/>
      <c r="H20" s="42"/>
      <c r="I20" s="42"/>
      <c r="J20" s="42"/>
    </row>
    <row r="21" spans="1:10" ht="15" customHeight="1" x14ac:dyDescent="0.2">
      <c r="A21" s="2"/>
      <c r="B21" s="2"/>
      <c r="C21" s="2"/>
      <c r="D21" s="2"/>
      <c r="E21" s="2"/>
    </row>
    <row r="22" spans="1:10" ht="15" customHeight="1" x14ac:dyDescent="0.2">
      <c r="A22" s="116" t="s">
        <v>42</v>
      </c>
      <c r="B22" s="116"/>
      <c r="C22" s="116"/>
      <c r="D22" s="72">
        <v>11200</v>
      </c>
      <c r="E22" s="2"/>
    </row>
    <row r="23" spans="1:10" ht="15" customHeight="1" x14ac:dyDescent="0.2">
      <c r="A23" s="47"/>
      <c r="B23" s="36"/>
      <c r="C23" s="36"/>
    </row>
  </sheetData>
  <sheetProtection algorithmName="SHA-512" hashValue="HucrzW+UBApARGUxtaxnfuBMQTrknx9VGAHcXInwbPupsFf4q7nBmakBdUg68Oh7sqWCutXIg4e8Tkb06oxuQA==" saltValue="uNGkgG5wvWA6NORo7DzsRw==" spinCount="100000" sheet="1" objects="1" scenarios="1"/>
  <mergeCells count="7">
    <mergeCell ref="A3:B3"/>
    <mergeCell ref="A11:C11"/>
    <mergeCell ref="A22:C22"/>
    <mergeCell ref="B16:C16"/>
    <mergeCell ref="A15:C15"/>
    <mergeCell ref="A13:B13"/>
    <mergeCell ref="A7:D7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zoomScaleNormal="100" workbookViewId="0">
      <selection activeCell="G25" sqref="G25"/>
    </sheetView>
  </sheetViews>
  <sheetFormatPr defaultRowHeight="15" x14ac:dyDescent="0.25"/>
  <cols>
    <col min="1" max="1" width="20.85546875" customWidth="1"/>
    <col min="2" max="5" width="13.85546875" customWidth="1"/>
    <col min="6" max="6" width="14.28515625" customWidth="1"/>
    <col min="7" max="7" width="10.42578125" customWidth="1"/>
    <col min="8" max="8" width="11.85546875" customWidth="1"/>
    <col min="9" max="11" width="14.85546875" customWidth="1"/>
    <col min="12" max="14" width="13.7109375" customWidth="1"/>
  </cols>
  <sheetData>
    <row r="1" spans="1:28" x14ac:dyDescent="0.25">
      <c r="A1" s="3" t="s">
        <v>80</v>
      </c>
    </row>
    <row r="2" spans="1:28" x14ac:dyDescent="0.25">
      <c r="A2" s="3"/>
    </row>
    <row r="3" spans="1:28" x14ac:dyDescent="0.25">
      <c r="A3" s="3" t="s">
        <v>168</v>
      </c>
      <c r="B3" s="16">
        <f>Dados!D22/365</f>
        <v>30.684931506849313</v>
      </c>
    </row>
    <row r="4" spans="1:28" ht="15" customHeight="1" x14ac:dyDescent="0.25">
      <c r="A4" s="125" t="s">
        <v>79</v>
      </c>
      <c r="B4" s="125" t="s">
        <v>45</v>
      </c>
      <c r="C4" s="126" t="s">
        <v>166</v>
      </c>
      <c r="D4" s="126" t="s">
        <v>167</v>
      </c>
      <c r="E4" s="125" t="s">
        <v>154</v>
      </c>
      <c r="F4" s="125" t="s">
        <v>155</v>
      </c>
      <c r="G4" s="125" t="s">
        <v>157</v>
      </c>
      <c r="H4" s="128" t="s">
        <v>156</v>
      </c>
      <c r="I4" s="130" t="s">
        <v>158</v>
      </c>
      <c r="J4" s="128" t="s">
        <v>78</v>
      </c>
      <c r="K4" s="128" t="s">
        <v>159</v>
      </c>
      <c r="L4" s="132" t="s">
        <v>161</v>
      </c>
      <c r="M4" s="133"/>
      <c r="N4" s="133"/>
      <c r="O4" s="125" t="s">
        <v>160</v>
      </c>
      <c r="P4" s="125"/>
      <c r="Q4" s="125"/>
      <c r="R4" s="125"/>
      <c r="S4" s="125"/>
      <c r="T4" s="125"/>
      <c r="U4" s="125"/>
      <c r="V4" s="127" t="s">
        <v>1</v>
      </c>
      <c r="W4" s="127"/>
      <c r="X4" s="127"/>
      <c r="Y4" s="127"/>
      <c r="Z4" s="127"/>
      <c r="AA4" s="127"/>
      <c r="AB4" s="127"/>
    </row>
    <row r="5" spans="1:28" x14ac:dyDescent="0.25">
      <c r="A5" s="125"/>
      <c r="B5" s="125"/>
      <c r="C5" s="126"/>
      <c r="D5" s="126"/>
      <c r="E5" s="125"/>
      <c r="F5" s="125"/>
      <c r="G5" s="125"/>
      <c r="H5" s="129"/>
      <c r="I5" s="131"/>
      <c r="J5" s="129"/>
      <c r="K5" s="129"/>
      <c r="L5" s="60" t="s">
        <v>2</v>
      </c>
      <c r="M5" s="60" t="s">
        <v>3</v>
      </c>
      <c r="N5" s="61" t="s">
        <v>53</v>
      </c>
      <c r="O5" s="60" t="s">
        <v>2</v>
      </c>
      <c r="P5" s="60" t="s">
        <v>3</v>
      </c>
      <c r="Q5" s="60" t="s">
        <v>53</v>
      </c>
      <c r="R5" s="60" t="s">
        <v>5</v>
      </c>
      <c r="S5" s="60" t="s">
        <v>6</v>
      </c>
      <c r="T5" s="60" t="s">
        <v>4</v>
      </c>
      <c r="U5" s="60" t="s">
        <v>169</v>
      </c>
      <c r="V5" s="60" t="s">
        <v>2</v>
      </c>
      <c r="W5" s="60" t="s">
        <v>3</v>
      </c>
      <c r="X5" s="60" t="s">
        <v>53</v>
      </c>
      <c r="Y5" s="60" t="s">
        <v>5</v>
      </c>
      <c r="Z5" s="60" t="s">
        <v>6</v>
      </c>
      <c r="AA5" s="60" t="s">
        <v>4</v>
      </c>
      <c r="AB5" s="60" t="s">
        <v>169</v>
      </c>
    </row>
    <row r="6" spans="1:28" x14ac:dyDescent="0.25">
      <c r="A6" s="28" t="s">
        <v>81</v>
      </c>
      <c r="B6" s="62" t="s">
        <v>77</v>
      </c>
      <c r="C6" s="62">
        <v>-20.421510999999999</v>
      </c>
      <c r="D6" s="62">
        <v>-40.343502000000001</v>
      </c>
      <c r="E6" s="62">
        <v>910</v>
      </c>
      <c r="F6" s="13">
        <f>($B$3/24)/2</f>
        <v>0.63926940639269403</v>
      </c>
      <c r="G6" s="12">
        <f>E6*F6/1000</f>
        <v>0.58173515981735158</v>
      </c>
      <c r="H6" s="62">
        <v>8.3000000000000007</v>
      </c>
      <c r="I6" s="8">
        <v>16</v>
      </c>
      <c r="J6" s="62" t="s">
        <v>76</v>
      </c>
      <c r="K6" s="8">
        <v>40</v>
      </c>
      <c r="L6" s="12">
        <f>('FE-Vias'!$D$6*((H6/12)^'FE-Vias'!$D$7)*((I6/3)^'FE-Vias'!$D$8)*'FE-Vias'!$B$9/1000)*'FE-Vias'!$J$15</f>
        <v>1.6952671965211552</v>
      </c>
      <c r="M6" s="12">
        <f>('FE-Vias'!$C$6*((H6/12)^'FE-Vias'!$C$7)*((I6/3)^'FE-Vias'!$C$8)*'FE-Vias'!$B$9/1000)*'FE-Vias'!$J$15</f>
        <v>0.48207288747744004</v>
      </c>
      <c r="N6" s="12">
        <f>('FE-Vias'!$B$6*((H6/12)^'FE-Vias'!$B$7)*((I6/3)^'FE-Vias'!$B$8)*'FE-Vias'!$B$9/1000)*'FE-Vias'!$J$15</f>
        <v>4.820728874774402E-2</v>
      </c>
      <c r="O6" s="77">
        <f>'FE-Vias'!$B$24/1000</f>
        <v>1.7489827604766657E-4</v>
      </c>
      <c r="P6" s="77">
        <f>'FE-Vias'!$C$24/1000</f>
        <v>1.7489827604766657E-4</v>
      </c>
      <c r="Q6" s="77">
        <f>'FE-Vias'!$D$24/1000</f>
        <v>1.7489827604766657E-4</v>
      </c>
      <c r="R6" s="77">
        <f>'FE-Vias'!$E$24/1000</f>
        <v>5.4345140567386742E-3</v>
      </c>
      <c r="S6" s="77">
        <f>'FE-Vias'!$F$24/1000</f>
        <v>2.1032135261668511E-4</v>
      </c>
      <c r="T6" s="77">
        <f>'FE-Vias'!$G$24/1000</f>
        <v>1.0383730075038094E-3</v>
      </c>
      <c r="U6" s="77">
        <f>'FE-Vias'!$H$24/1000</f>
        <v>2.4766340643796463E-4</v>
      </c>
      <c r="V6" s="27">
        <f>(L6*G6*(1-K6/100))+(O6*G6)</f>
        <v>0.59181966457737711</v>
      </c>
      <c r="W6" s="27">
        <f>(M6*G6*(1-K6/100))+(P6*G6)</f>
        <v>0.16836499342074879</v>
      </c>
      <c r="X6" s="27">
        <f>(N6*G6*(1-K6/100))+(Q6*G6)</f>
        <v>1.6928069370986419E-2</v>
      </c>
      <c r="Y6" s="27">
        <f>R6*G6</f>
        <v>3.1614479033265164E-3</v>
      </c>
      <c r="Z6" s="27">
        <f>S6*G6</f>
        <v>1.2235132567746886E-4</v>
      </c>
      <c r="AA6" s="27">
        <f>T6*G6</f>
        <v>6.0405808747025259E-4</v>
      </c>
      <c r="AB6" s="27">
        <f>U6*G6</f>
        <v>1.4407451132509905E-4</v>
      </c>
    </row>
    <row r="7" spans="1:28" x14ac:dyDescent="0.25">
      <c r="A7" s="28" t="s">
        <v>82</v>
      </c>
      <c r="B7" s="62" t="s">
        <v>77</v>
      </c>
      <c r="C7" s="62">
        <v>-20.422065</v>
      </c>
      <c r="D7" s="62">
        <v>-40.340389999999999</v>
      </c>
      <c r="E7" s="62">
        <v>415</v>
      </c>
      <c r="F7" s="13">
        <f>($B$3/24)/2</f>
        <v>0.63926940639269403</v>
      </c>
      <c r="G7" s="12">
        <f>E7*F7/1000</f>
        <v>0.26529680365296804</v>
      </c>
      <c r="H7" s="62">
        <v>8.3000000000000007</v>
      </c>
      <c r="I7" s="8">
        <v>16</v>
      </c>
      <c r="J7" s="62" t="s">
        <v>76</v>
      </c>
      <c r="K7" s="8">
        <v>40</v>
      </c>
      <c r="L7" s="12">
        <f>('FE-Vias'!$D$6*((H7/12)^'FE-Vias'!$D$7)*((I7/3)^'FE-Vias'!$D$8)*'FE-Vias'!$B$9/1000)*'FE-Vias'!$J$15</f>
        <v>1.6952671965211552</v>
      </c>
      <c r="M7" s="12">
        <f>('FE-Vias'!$C$6*((H7/12)^'FE-Vias'!$C$7)*((I7/3)^'FE-Vias'!$C$8)*'FE-Vias'!$B$9/1000)*'FE-Vias'!$J$15</f>
        <v>0.48207288747744004</v>
      </c>
      <c r="N7" s="12">
        <f>('FE-Vias'!$B$6*((H7/12)^'FE-Vias'!$B$7)*((I7/3)^'FE-Vias'!$B$8)*'FE-Vias'!$B$9/1000)*'FE-Vias'!$J$15</f>
        <v>4.820728874774402E-2</v>
      </c>
      <c r="O7" s="77">
        <f>'FE-Vias'!$B$24/1000</f>
        <v>1.7489827604766657E-4</v>
      </c>
      <c r="P7" s="77">
        <f>'FE-Vias'!$C$24/1000</f>
        <v>1.7489827604766657E-4</v>
      </c>
      <c r="Q7" s="77">
        <f>'FE-Vias'!$D$24/1000</f>
        <v>1.7489827604766657E-4</v>
      </c>
      <c r="R7" s="77">
        <f>'FE-Vias'!$E$24/1000</f>
        <v>5.4345140567386742E-3</v>
      </c>
      <c r="S7" s="77">
        <f>'FE-Vias'!$F$24/1000</f>
        <v>2.1032135261668511E-4</v>
      </c>
      <c r="T7" s="77">
        <f>'FE-Vias'!$G$24/1000</f>
        <v>1.0383730075038094E-3</v>
      </c>
      <c r="U7" s="77">
        <f>'FE-Vias'!$H$24/1000</f>
        <v>2.4766340643796463E-4</v>
      </c>
      <c r="V7" s="27">
        <f>(L7*G7*(1-K7/100))+(O7*G7)</f>
        <v>0.26989578109847412</v>
      </c>
      <c r="W7" s="27">
        <f>(M7*G7*(1-K7/100))+(P7*G7)</f>
        <v>7.6781837658912902E-2</v>
      </c>
      <c r="X7" s="27">
        <f>(N7*G7*(1-K7/100))+(Q7*G7)</f>
        <v>7.7199437241311682E-3</v>
      </c>
      <c r="Y7" s="27">
        <f>R7*G7</f>
        <v>1.4417592086598948E-3</v>
      </c>
      <c r="Z7" s="27">
        <f>S7*G7</f>
        <v>5.5797582589175369E-5</v>
      </c>
      <c r="AA7" s="27">
        <f>T7*G7</f>
        <v>2.7547703989028004E-4</v>
      </c>
      <c r="AB7" s="27">
        <f>U7*G7</f>
        <v>6.5704310109797928E-5</v>
      </c>
    </row>
    <row r="8" spans="1:28" x14ac:dyDescent="0.25">
      <c r="A8" s="28" t="s">
        <v>83</v>
      </c>
      <c r="B8" s="62" t="s">
        <v>77</v>
      </c>
      <c r="C8" s="62">
        <v>-20.425629000000001</v>
      </c>
      <c r="D8" s="62">
        <v>-40.339691000000002</v>
      </c>
      <c r="E8" s="62">
        <v>327</v>
      </c>
      <c r="F8" s="13">
        <f>($B$3/24)</f>
        <v>1.2785388127853881</v>
      </c>
      <c r="G8" s="12">
        <f>E8*F8/1000</f>
        <v>0.4180821917808219</v>
      </c>
      <c r="H8" s="62">
        <v>8.3000000000000007</v>
      </c>
      <c r="I8" s="8">
        <v>16</v>
      </c>
      <c r="J8" s="62" t="s">
        <v>76</v>
      </c>
      <c r="K8" s="8">
        <v>40</v>
      </c>
      <c r="L8" s="12">
        <f>('FE-Vias'!$D$6*((H8/12)^'FE-Vias'!$D$7)*((I8/3)^'FE-Vias'!$D$8)*'FE-Vias'!$B$9/1000)*'FE-Vias'!$J$15</f>
        <v>1.6952671965211552</v>
      </c>
      <c r="M8" s="12">
        <f>('FE-Vias'!$C$6*((H8/12)^'FE-Vias'!$C$7)*((I8/3)^'FE-Vias'!$C$8)*'FE-Vias'!$B$9/1000)*'FE-Vias'!$J$15</f>
        <v>0.48207288747744004</v>
      </c>
      <c r="N8" s="12">
        <f>('FE-Vias'!$B$6*((H8/12)^'FE-Vias'!$B$7)*((I8/3)^'FE-Vias'!$B$8)*'FE-Vias'!$B$9/1000)*'FE-Vias'!$J$15</f>
        <v>4.820728874774402E-2</v>
      </c>
      <c r="O8" s="78">
        <f>'FE-Vias'!$B$24/1000</f>
        <v>1.7489827604766657E-4</v>
      </c>
      <c r="P8" s="78">
        <f>'FE-Vias'!$C$24/1000</f>
        <v>1.7489827604766657E-4</v>
      </c>
      <c r="Q8" s="78">
        <f>'FE-Vias'!$D$24/1000</f>
        <v>1.7489827604766657E-4</v>
      </c>
      <c r="R8" s="78">
        <f>'FE-Vias'!$E$24/1000</f>
        <v>5.4345140567386742E-3</v>
      </c>
      <c r="S8" s="78">
        <f>'FE-Vias'!$F$24/1000</f>
        <v>2.1032135261668511E-4</v>
      </c>
      <c r="T8" s="78">
        <f>'FE-Vias'!$G$24/1000</f>
        <v>1.0383730075038094E-3</v>
      </c>
      <c r="U8" s="78">
        <f>'FE-Vias'!$H$24/1000</f>
        <v>2.4766340643796463E-4</v>
      </c>
      <c r="V8" s="75">
        <f>(L8*G8*(1-K8/100))+(O8*G8)</f>
        <v>0.42532973696000503</v>
      </c>
      <c r="W8" s="75">
        <f>(M8*G8*(1-K8/100))+(P8*G8)</f>
        <v>0.12100077549139529</v>
      </c>
      <c r="X8" s="75">
        <f>(N8*G8*(1-K8/100))+(Q8*G8)</f>
        <v>1.2165887218269358E-2</v>
      </c>
      <c r="Y8" s="75">
        <f>R8*G8</f>
        <v>2.272073548104991E-3</v>
      </c>
      <c r="Z8" s="75">
        <f>S8*G8</f>
        <v>8.7931612080290812E-5</v>
      </c>
      <c r="AA8" s="75">
        <f>T8*G8</f>
        <v>4.3412526286323649E-4</v>
      </c>
      <c r="AB8" s="27">
        <f>U8*G8</f>
        <v>1.0354365978748877E-4</v>
      </c>
    </row>
    <row r="9" spans="1:28" x14ac:dyDescent="0.25">
      <c r="A9" s="109" t="s">
        <v>170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76">
        <f t="shared" ref="V9:AA9" si="0">SUM(V6:V8)</f>
        <v>1.2870451826358562</v>
      </c>
      <c r="W9" s="76">
        <f t="shared" si="0"/>
        <v>0.36614760657105694</v>
      </c>
      <c r="X9" s="76">
        <f t="shared" si="0"/>
        <v>3.6813900313386945E-2</v>
      </c>
      <c r="Y9" s="76">
        <f t="shared" si="0"/>
        <v>6.8752806600914027E-3</v>
      </c>
      <c r="Z9" s="76">
        <f t="shared" si="0"/>
        <v>2.6608052034693506E-4</v>
      </c>
      <c r="AA9" s="76">
        <f t="shared" si="0"/>
        <v>1.313660390223769E-3</v>
      </c>
      <c r="AB9" s="26">
        <f>SUM(AB6:AB8)</f>
        <v>3.1332248122238572E-4</v>
      </c>
    </row>
    <row r="10" spans="1:28" x14ac:dyDescent="0.25">
      <c r="I10" s="25"/>
      <c r="J10" s="25"/>
    </row>
  </sheetData>
  <sheetProtection algorithmName="SHA-512" hashValue="U8a9AkD4vYGDRJP/jgqS//B+Gj/gYLqk6otdJjBrknEV5eZwABV9MA3sZgzxOdo3BElnJ7t/kQv4oTsCw1ecUA==" saltValue="KzjvmYInb4JkotXeFGyfRg==" spinCount="100000" sheet="1" objects="1" scenarios="1"/>
  <mergeCells count="15">
    <mergeCell ref="V4:AB4"/>
    <mergeCell ref="F4:F5"/>
    <mergeCell ref="G4:G5"/>
    <mergeCell ref="H4:H5"/>
    <mergeCell ref="I4:I5"/>
    <mergeCell ref="L4:N4"/>
    <mergeCell ref="O4:U4"/>
    <mergeCell ref="K4:K5"/>
    <mergeCell ref="J4:J5"/>
    <mergeCell ref="A9:U9"/>
    <mergeCell ref="A4:A5"/>
    <mergeCell ref="B4:B5"/>
    <mergeCell ref="C4:C5"/>
    <mergeCell ref="D4:D5"/>
    <mergeCell ref="E4:E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D16" sqref="D16"/>
    </sheetView>
  </sheetViews>
  <sheetFormatPr defaultRowHeight="15" x14ac:dyDescent="0.25"/>
  <cols>
    <col min="1" max="1" width="32.42578125" bestFit="1" customWidth="1"/>
    <col min="2" max="2" width="19.7109375" bestFit="1" customWidth="1"/>
    <col min="3" max="3" width="19.7109375" customWidth="1"/>
    <col min="4" max="5" width="18.28515625" customWidth="1"/>
    <col min="6" max="11" width="11" customWidth="1"/>
  </cols>
  <sheetData>
    <row r="1" spans="1:12" x14ac:dyDescent="0.25">
      <c r="A1" s="80" t="s">
        <v>90</v>
      </c>
      <c r="B1" s="81">
        <v>4.1937865160171146</v>
      </c>
    </row>
    <row r="3" spans="1:12" ht="15" customHeight="1" x14ac:dyDescent="0.25">
      <c r="A3" s="127" t="s">
        <v>0</v>
      </c>
      <c r="B3" s="126" t="s">
        <v>166</v>
      </c>
      <c r="C3" s="126" t="s">
        <v>167</v>
      </c>
      <c r="D3" s="125" t="s">
        <v>162</v>
      </c>
      <c r="E3" s="128" t="s">
        <v>163</v>
      </c>
      <c r="F3" s="134" t="s">
        <v>164</v>
      </c>
      <c r="G3" s="135"/>
      <c r="H3" s="136"/>
      <c r="I3" s="134" t="s">
        <v>1</v>
      </c>
      <c r="J3" s="135"/>
      <c r="K3" s="136"/>
    </row>
    <row r="4" spans="1:12" x14ac:dyDescent="0.25">
      <c r="A4" s="127"/>
      <c r="B4" s="126"/>
      <c r="C4" s="126"/>
      <c r="D4" s="125"/>
      <c r="E4" s="129"/>
      <c r="F4" s="60" t="s">
        <v>87</v>
      </c>
      <c r="G4" s="60" t="s">
        <v>88</v>
      </c>
      <c r="H4" s="60" t="s">
        <v>89</v>
      </c>
      <c r="I4" s="60" t="s">
        <v>87</v>
      </c>
      <c r="J4" s="60" t="s">
        <v>88</v>
      </c>
      <c r="K4" s="60" t="s">
        <v>89</v>
      </c>
    </row>
    <row r="5" spans="1:12" x14ac:dyDescent="0.25">
      <c r="A5" s="2" t="s">
        <v>152</v>
      </c>
      <c r="B5" s="58">
        <v>-20.419125000000001</v>
      </c>
      <c r="C5" s="58">
        <v>-40.344447000000002</v>
      </c>
      <c r="D5" s="12">
        <f>(Dados!$C$13/8760)/2</f>
        <v>6.294661529680365</v>
      </c>
      <c r="E5" s="62">
        <v>7.4</v>
      </c>
      <c r="F5" s="79">
        <f>'FE-Transferências'!$B$3*0.0016*(($B$1/2.2)^1.3)/(($E5/2)^1.4)</f>
        <v>4.3863978330987145E-4</v>
      </c>
      <c r="G5" s="79">
        <f>'FE-Transferências'!$C$3*0.0016*(($B$1/2.2)^1.3)/(($E5/2)^1.4)</f>
        <v>2.0746476237629049E-4</v>
      </c>
      <c r="H5" s="79">
        <f>'FE-Transferências'!$D$3*0.0016*(($B$1/2.2)^1.3)/(($E5/2)^1.4)</f>
        <v>3.1416092588409709E-5</v>
      </c>
      <c r="I5" s="24">
        <f>F5*$D5</f>
        <v>2.7610889693879793E-3</v>
      </c>
      <c r="J5" s="24">
        <f>G5*$D5</f>
        <v>1.305920458494314E-3</v>
      </c>
      <c r="K5" s="24">
        <f>H5*$D5</f>
        <v>1.9775366942913905E-4</v>
      </c>
    </row>
    <row r="6" spans="1:12" x14ac:dyDescent="0.25">
      <c r="A6" s="2" t="s">
        <v>153</v>
      </c>
      <c r="B6" s="35">
        <v>-20.420317000000001</v>
      </c>
      <c r="C6" s="35">
        <v>-40.341006999999998</v>
      </c>
      <c r="D6" s="12">
        <f>(Dados!$C$13/8760)/2</f>
        <v>6.294661529680365</v>
      </c>
      <c r="E6" s="62">
        <v>7.4</v>
      </c>
      <c r="F6" s="79">
        <f>'FE-Transferências'!$B$3*0.0016*(($B$1/2.2)^1.3)/(($E6/2)^1.4)</f>
        <v>4.3863978330987145E-4</v>
      </c>
      <c r="G6" s="79">
        <f>'FE-Transferências'!$C$3*0.0016*(($B$1/2.2)^1.3)/(($E6/2)^1.4)</f>
        <v>2.0746476237629049E-4</v>
      </c>
      <c r="H6" s="79">
        <f>'FE-Transferências'!$D$3*0.0016*(($B$1/2.2)^1.3)/(($E6/2)^1.4)</f>
        <v>3.1416092588409709E-5</v>
      </c>
      <c r="I6" s="24">
        <f t="shared" ref="I6:K8" si="0">F6*$D6</f>
        <v>2.7610889693879793E-3</v>
      </c>
      <c r="J6" s="24">
        <f t="shared" si="0"/>
        <v>1.305920458494314E-3</v>
      </c>
      <c r="K6" s="24">
        <f t="shared" si="0"/>
        <v>1.9775366942913905E-4</v>
      </c>
    </row>
    <row r="7" spans="1:12" x14ac:dyDescent="0.25">
      <c r="A7" s="2" t="s">
        <v>85</v>
      </c>
      <c r="B7" s="58">
        <v>-20.419125000000001</v>
      </c>
      <c r="C7" s="58">
        <v>-40.344447000000002</v>
      </c>
      <c r="D7" s="12">
        <f>(Dados!$C$13/8760)/2</f>
        <v>6.294661529680365</v>
      </c>
      <c r="E7" s="62">
        <v>7.4</v>
      </c>
      <c r="F7" s="79">
        <f>'FE-Transferências'!$B$3*0.0016*(($B$1/2.2)^1.3)/(($E7/2)^1.4)</f>
        <v>4.3863978330987145E-4</v>
      </c>
      <c r="G7" s="79">
        <f>'FE-Transferências'!$C$3*0.0016*(($B$1/2.2)^1.3)/(($E7/2)^1.4)</f>
        <v>2.0746476237629049E-4</v>
      </c>
      <c r="H7" s="79">
        <f>'FE-Transferências'!$D$3*0.0016*(($B$1/2.2)^1.3)/(($E7/2)^1.4)</f>
        <v>3.1416092588409709E-5</v>
      </c>
      <c r="I7" s="24">
        <f t="shared" si="0"/>
        <v>2.7610889693879793E-3</v>
      </c>
      <c r="J7" s="24">
        <f t="shared" si="0"/>
        <v>1.305920458494314E-3</v>
      </c>
      <c r="K7" s="24">
        <f t="shared" si="0"/>
        <v>1.9775366942913905E-4</v>
      </c>
    </row>
    <row r="8" spans="1:12" x14ac:dyDescent="0.25">
      <c r="A8" s="2" t="s">
        <v>86</v>
      </c>
      <c r="B8" s="35">
        <v>-20.420317000000001</v>
      </c>
      <c r="C8" s="35">
        <v>-40.341006999999998</v>
      </c>
      <c r="D8" s="12">
        <f>(Dados!$C$13/8760)/2</f>
        <v>6.294661529680365</v>
      </c>
      <c r="E8" s="62">
        <v>7.4</v>
      </c>
      <c r="F8" s="79">
        <f>'FE-Transferências'!$B$3*0.0016*(($B$1/2.2)^1.3)/(($E8/2)^1.4)</f>
        <v>4.3863978330987145E-4</v>
      </c>
      <c r="G8" s="79">
        <f>'FE-Transferências'!$C$3*0.0016*(($B$1/2.2)^1.3)/(($E8/2)^1.4)</f>
        <v>2.0746476237629049E-4</v>
      </c>
      <c r="H8" s="79">
        <f>'FE-Transferências'!$D$3*0.0016*(($B$1/2.2)^1.3)/(($E8/2)^1.4)</f>
        <v>3.1416092588409709E-5</v>
      </c>
      <c r="I8" s="24">
        <f t="shared" si="0"/>
        <v>2.7610889693879793E-3</v>
      </c>
      <c r="J8" s="24">
        <f t="shared" si="0"/>
        <v>1.305920458494314E-3</v>
      </c>
      <c r="K8" s="24">
        <f t="shared" si="0"/>
        <v>1.9775366942913905E-4</v>
      </c>
      <c r="L8" s="25"/>
    </row>
    <row r="9" spans="1:12" x14ac:dyDescent="0.25">
      <c r="A9" s="109" t="s">
        <v>170</v>
      </c>
      <c r="B9" s="109"/>
      <c r="C9" s="109"/>
      <c r="D9" s="109"/>
      <c r="E9" s="109"/>
      <c r="F9" s="109"/>
      <c r="G9" s="109"/>
      <c r="H9" s="109"/>
      <c r="I9" s="31">
        <f>SUM(I5:I8)</f>
        <v>1.1044355877551917E-2</v>
      </c>
      <c r="J9" s="31">
        <f>SUM(J5:J8)</f>
        <v>5.2236818339772562E-3</v>
      </c>
      <c r="K9" s="76">
        <f>SUM(K5:K8)</f>
        <v>7.910146777165562E-4</v>
      </c>
      <c r="L9" s="29"/>
    </row>
    <row r="10" spans="1:12" x14ac:dyDescent="0.25">
      <c r="C10" s="25"/>
      <c r="D10" s="25"/>
      <c r="E10" s="25"/>
    </row>
    <row r="13" spans="1:12" x14ac:dyDescent="0.25">
      <c r="A13" s="1"/>
    </row>
    <row r="15" spans="1:12" x14ac:dyDescent="0.25">
      <c r="A15" s="25"/>
    </row>
  </sheetData>
  <sheetProtection algorithmName="SHA-512" hashValue="3BwAvsMkNkBrHOYUfCvh+jZhL/XsJVJrXOkwdASPFU8ft3Mog5NVQRsqMn2uaizrOs1eAZVfjYZNBYFanTNyjg==" saltValue="2u2NwKnDNBn1N3Z2TD5edQ==" spinCount="100000" sheet="1" objects="1" scenarios="1"/>
  <mergeCells count="8">
    <mergeCell ref="I3:K3"/>
    <mergeCell ref="A9:H9"/>
    <mergeCell ref="A3:A4"/>
    <mergeCell ref="B3:B4"/>
    <mergeCell ref="C3:C4"/>
    <mergeCell ref="D3:D4"/>
    <mergeCell ref="E3:E4"/>
    <mergeCell ref="F3:H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workbookViewId="0">
      <selection activeCell="G3" sqref="G3"/>
    </sheetView>
  </sheetViews>
  <sheetFormatPr defaultRowHeight="15" customHeight="1" x14ac:dyDescent="0.2"/>
  <cols>
    <col min="1" max="1" width="30.42578125" style="1" bestFit="1" customWidth="1"/>
    <col min="2" max="2" width="13.7109375" style="1" customWidth="1"/>
    <col min="3" max="3" width="23.7109375" style="1" bestFit="1" customWidth="1"/>
    <col min="4" max="7" width="13.7109375" style="1" customWidth="1"/>
    <col min="8" max="13" width="8.7109375" style="1" customWidth="1"/>
    <col min="14" max="14" width="10.42578125" style="1" bestFit="1" customWidth="1"/>
    <col min="15" max="16384" width="9.140625" style="1"/>
  </cols>
  <sheetData>
    <row r="1" spans="1:14" ht="15" customHeight="1" x14ac:dyDescent="0.2">
      <c r="A1" s="137" t="s">
        <v>0</v>
      </c>
      <c r="B1" s="137" t="s">
        <v>50</v>
      </c>
      <c r="C1" s="137" t="s">
        <v>51</v>
      </c>
      <c r="D1" s="126" t="s">
        <v>166</v>
      </c>
      <c r="E1" s="126" t="s">
        <v>167</v>
      </c>
      <c r="F1" s="137" t="s">
        <v>46</v>
      </c>
      <c r="G1" s="137" t="s">
        <v>52</v>
      </c>
      <c r="H1" s="139" t="s">
        <v>1</v>
      </c>
      <c r="I1" s="140"/>
      <c r="J1" s="140"/>
      <c r="K1" s="140"/>
      <c r="L1" s="140"/>
      <c r="M1" s="140"/>
      <c r="N1" s="140"/>
    </row>
    <row r="2" spans="1:14" ht="15" customHeight="1" x14ac:dyDescent="0.2">
      <c r="A2" s="138"/>
      <c r="B2" s="138"/>
      <c r="C2" s="138"/>
      <c r="D2" s="126"/>
      <c r="E2" s="126"/>
      <c r="F2" s="138"/>
      <c r="G2" s="138"/>
      <c r="H2" s="5" t="s">
        <v>2</v>
      </c>
      <c r="I2" s="5" t="s">
        <v>3</v>
      </c>
      <c r="J2" s="5" t="s">
        <v>53</v>
      </c>
      <c r="K2" s="5" t="s">
        <v>5</v>
      </c>
      <c r="L2" s="5" t="s">
        <v>6</v>
      </c>
      <c r="M2" s="5" t="s">
        <v>4</v>
      </c>
      <c r="N2" s="5" t="s">
        <v>169</v>
      </c>
    </row>
    <row r="3" spans="1:14" ht="15" customHeight="1" x14ac:dyDescent="0.2">
      <c r="A3" s="3" t="s">
        <v>49</v>
      </c>
      <c r="B3" s="16">
        <v>80.459999999999994</v>
      </c>
      <c r="C3" s="3" t="s">
        <v>68</v>
      </c>
      <c r="D3" s="46">
        <v>-20.420244</v>
      </c>
      <c r="E3" s="46">
        <v>-40.342722999999999</v>
      </c>
      <c r="F3" s="8">
        <f>Dados!B20</f>
        <v>3</v>
      </c>
      <c r="G3" s="13">
        <f>Dados!C20/(365*3)</f>
        <v>6.0273972602739727</v>
      </c>
      <c r="H3" s="17">
        <f>(INDEX(FE_Equipamentos,MATCH($C3,Pot_Equip,0),2))*F3*G3/(24)</f>
        <v>2.6490146812083296E-2</v>
      </c>
      <c r="I3" s="17">
        <f>H3</f>
        <v>2.6490146812083296E-2</v>
      </c>
      <c r="J3" s="17">
        <f>H3</f>
        <v>2.6490146812083296E-2</v>
      </c>
      <c r="K3" s="10">
        <f>(INDEX(FE_Equipamentos,MATCH($C3,Pot_Equip,0),3))*F3*G3/(24)</f>
        <v>0.29393363850138704</v>
      </c>
      <c r="L3" s="10">
        <f>(INDEX(FE_Equipamentos,MATCH($C3,Pot_Equip,0),4))*F3*G3/(24)</f>
        <v>2.3617671802882848E-4</v>
      </c>
      <c r="M3" s="17">
        <f>(INDEX(FE_Equipamentos,MATCH($C3,Pot_Equip,0),5))*F3*G3/(24)</f>
        <v>0.15101788671784197</v>
      </c>
      <c r="N3" s="17">
        <f>(INDEX(FE_Equipamentos,MATCH($C3,Pot_Equip,0),6))*F3*G3/(24)</f>
        <v>5.0584038299270308E-2</v>
      </c>
    </row>
    <row r="4" spans="1:14" ht="15" customHeight="1" x14ac:dyDescent="0.2">
      <c r="A4" s="109" t="s">
        <v>170</v>
      </c>
      <c r="B4" s="109"/>
      <c r="C4" s="109"/>
      <c r="D4" s="109"/>
      <c r="E4" s="109"/>
      <c r="F4" s="109"/>
      <c r="G4" s="109"/>
      <c r="H4" s="31">
        <f>SUM(H3:H3)</f>
        <v>2.6490146812083296E-2</v>
      </c>
      <c r="I4" s="31">
        <f>SUM(I3:I3)</f>
        <v>2.6490146812083296E-2</v>
      </c>
      <c r="J4" s="31">
        <f>SUM(J3:J3)</f>
        <v>2.6490146812083296E-2</v>
      </c>
      <c r="K4" s="82">
        <f t="shared" ref="K4:M4" si="0">SUM(K3:K3)</f>
        <v>0.29393363850138704</v>
      </c>
      <c r="L4" s="31">
        <f t="shared" si="0"/>
        <v>2.3617671802882848E-4</v>
      </c>
      <c r="M4" s="31">
        <f t="shared" si="0"/>
        <v>0.15101788671784197</v>
      </c>
      <c r="N4" s="31">
        <f>SUM(N3:N3)</f>
        <v>5.0584038299270308E-2</v>
      </c>
    </row>
    <row r="5" spans="1:14" ht="15" customHeight="1" x14ac:dyDescent="0.2">
      <c r="H5" s="18"/>
      <c r="I5" s="18"/>
      <c r="J5" s="18"/>
      <c r="K5" s="18"/>
      <c r="L5" s="19"/>
      <c r="M5" s="18"/>
      <c r="N5" s="18"/>
    </row>
    <row r="6" spans="1:14" ht="15" customHeight="1" x14ac:dyDescent="0.2">
      <c r="H6" s="20"/>
      <c r="I6" s="20"/>
      <c r="J6" s="20"/>
      <c r="K6" s="21"/>
      <c r="L6" s="21"/>
      <c r="M6" s="21"/>
      <c r="N6" s="21"/>
    </row>
    <row r="7" spans="1:14" ht="15" customHeight="1" x14ac:dyDescent="0.2">
      <c r="K7" s="4"/>
      <c r="M7" s="4"/>
    </row>
    <row r="8" spans="1:14" ht="15" customHeight="1" x14ac:dyDescent="0.2">
      <c r="A8" s="22" t="s">
        <v>54</v>
      </c>
      <c r="C8" s="2"/>
      <c r="D8" s="15"/>
      <c r="E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">
      <c r="D9" s="15"/>
      <c r="E9" s="15"/>
      <c r="G9" s="15"/>
      <c r="H9" s="7"/>
      <c r="I9" s="7"/>
      <c r="J9" s="15"/>
      <c r="K9" s="15"/>
      <c r="L9" s="15"/>
      <c r="M9" s="15"/>
      <c r="N9" s="15"/>
    </row>
    <row r="10" spans="1:14" ht="15" customHeight="1" x14ac:dyDescent="0.2">
      <c r="A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">
      <c r="D11" s="15"/>
      <c r="E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">
      <c r="A12" s="2"/>
      <c r="D12" s="15"/>
      <c r="E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2">
      <c r="D13" s="15"/>
      <c r="E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2">
      <c r="D14" s="15"/>
      <c r="E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 x14ac:dyDescent="0.2">
      <c r="D15" s="15"/>
      <c r="E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 x14ac:dyDescent="0.2">
      <c r="D16" s="15"/>
      <c r="E16" s="15"/>
      <c r="G16" s="15"/>
      <c r="H16" s="15"/>
      <c r="I16" s="15"/>
      <c r="J16" s="15"/>
      <c r="K16" s="15"/>
      <c r="L16" s="15"/>
      <c r="M16" s="15"/>
      <c r="N16" s="15"/>
    </row>
    <row r="17" spans="4:14" ht="15" customHeight="1" x14ac:dyDescent="0.2">
      <c r="D17" s="15"/>
      <c r="E17" s="15"/>
      <c r="G17" s="15"/>
      <c r="H17" s="15"/>
      <c r="I17" s="15"/>
      <c r="J17" s="15"/>
      <c r="K17" s="15"/>
      <c r="L17" s="15"/>
      <c r="M17" s="15"/>
      <c r="N17" s="15"/>
    </row>
    <row r="18" spans="4:14" ht="15" customHeight="1" x14ac:dyDescent="0.2">
      <c r="D18" s="15"/>
      <c r="E18" s="15"/>
      <c r="G18" s="15"/>
      <c r="H18" s="15"/>
      <c r="I18" s="15"/>
      <c r="J18" s="15"/>
      <c r="K18" s="15"/>
      <c r="L18" s="15"/>
      <c r="M18" s="15"/>
      <c r="N18" s="15"/>
    </row>
    <row r="19" spans="4:14" ht="15" customHeight="1" x14ac:dyDescent="0.2">
      <c r="D19" s="15"/>
      <c r="E19" s="15"/>
      <c r="G19" s="15"/>
      <c r="H19" s="15"/>
      <c r="I19" s="15"/>
      <c r="J19" s="15"/>
      <c r="K19" s="15"/>
      <c r="L19" s="15"/>
      <c r="M19" s="15"/>
      <c r="N19" s="15"/>
    </row>
    <row r="20" spans="4:14" ht="15" customHeight="1" x14ac:dyDescent="0.2">
      <c r="D20" s="15"/>
      <c r="E20" s="15"/>
      <c r="F20" s="14"/>
      <c r="G20" s="15"/>
      <c r="H20" s="15"/>
      <c r="I20" s="15"/>
      <c r="J20" s="15"/>
      <c r="K20" s="15"/>
      <c r="L20" s="15"/>
      <c r="M20" s="15"/>
      <c r="N20" s="15"/>
    </row>
    <row r="21" spans="4:14" ht="15" customHeight="1" x14ac:dyDescent="0.2">
      <c r="H21" s="18"/>
      <c r="I21" s="18"/>
      <c r="J21" s="18"/>
      <c r="K21" s="18"/>
      <c r="L21" s="18"/>
      <c r="M21" s="18"/>
      <c r="N21" s="18"/>
    </row>
  </sheetData>
  <sheetProtection algorithmName="SHA-512" hashValue="J55no22ML5jUureYew+3Zsz/Bi0tRO+RuVMNR4Cg3hVLxRoEmN9ZQhRgqsMsqjRjLUjw07knW1z9BAv9pGnUzw==" saltValue="6zJEI5Q9BWMCYgbUO/YvRQ==" spinCount="100000" sheet="1" objects="1" scenarios="1"/>
  <mergeCells count="9">
    <mergeCell ref="A4:G4"/>
    <mergeCell ref="G1:G2"/>
    <mergeCell ref="H1:N1"/>
    <mergeCell ref="A1:A2"/>
    <mergeCell ref="B1:B2"/>
    <mergeCell ref="C1:C2"/>
    <mergeCell ref="D1:D2"/>
    <mergeCell ref="E1:E2"/>
    <mergeCell ref="F1:F2"/>
  </mergeCells>
  <pageMargins left="0.511811024" right="0.511811024" top="0.78740157499999996" bottom="0.78740157499999996" header="0.31496062000000002" footer="0.31496062000000002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'FE-Maq e Equip'!$B$4:$B$11</xm:f>
          </x14:formula1>
          <xm:sqref>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J17" sqref="J17"/>
    </sheetView>
  </sheetViews>
  <sheetFormatPr defaultRowHeight="15" x14ac:dyDescent="0.25"/>
  <cols>
    <col min="1" max="1" width="19.140625" bestFit="1" customWidth="1"/>
  </cols>
  <sheetData>
    <row r="1" spans="1:8" x14ac:dyDescent="0.25">
      <c r="A1" s="127" t="s">
        <v>139</v>
      </c>
      <c r="B1" s="127" t="s">
        <v>1</v>
      </c>
      <c r="C1" s="127"/>
      <c r="D1" s="127"/>
      <c r="E1" s="127"/>
      <c r="F1" s="127"/>
      <c r="G1" s="127"/>
      <c r="H1" s="127"/>
    </row>
    <row r="2" spans="1:8" x14ac:dyDescent="0.25">
      <c r="A2" s="127"/>
      <c r="B2" s="60" t="s">
        <v>2</v>
      </c>
      <c r="C2" s="60" t="s">
        <v>3</v>
      </c>
      <c r="D2" s="60" t="s">
        <v>53</v>
      </c>
      <c r="E2" s="60" t="s">
        <v>5</v>
      </c>
      <c r="F2" s="60" t="s">
        <v>6</v>
      </c>
      <c r="G2" s="60" t="s">
        <v>4</v>
      </c>
      <c r="H2" s="60" t="s">
        <v>169</v>
      </c>
    </row>
    <row r="3" spans="1:8" x14ac:dyDescent="0.25">
      <c r="A3" s="2" t="s">
        <v>140</v>
      </c>
      <c r="B3" s="12">
        <f>'Emissão Transferências'!I9</f>
        <v>1.1044355877551917E-2</v>
      </c>
      <c r="C3" s="12">
        <f>'Emissão Transferências'!J9</f>
        <v>5.2236818339772562E-3</v>
      </c>
      <c r="D3" s="12">
        <f>'Emissão Transferências'!K9</f>
        <v>7.910146777165562E-4</v>
      </c>
      <c r="E3" s="62" t="s">
        <v>84</v>
      </c>
      <c r="F3" s="62" t="s">
        <v>84</v>
      </c>
      <c r="G3" s="62" t="s">
        <v>84</v>
      </c>
      <c r="H3" s="62" t="s">
        <v>84</v>
      </c>
    </row>
    <row r="4" spans="1:8" x14ac:dyDescent="0.25">
      <c r="A4" s="2" t="s">
        <v>48</v>
      </c>
      <c r="B4" s="12">
        <f>'Emissão Maq e Equip'!H4</f>
        <v>2.6490146812083296E-2</v>
      </c>
      <c r="C4" s="12">
        <f>'Emissão Maq e Equip'!I4</f>
        <v>2.6490146812083296E-2</v>
      </c>
      <c r="D4" s="12">
        <f>'Emissão Maq e Equip'!J4</f>
        <v>2.6490146812083296E-2</v>
      </c>
      <c r="E4" s="12">
        <f>'Emissão Maq e Equip'!K4</f>
        <v>0.29393363850138704</v>
      </c>
      <c r="F4" s="12">
        <f>'Emissão Maq e Equip'!L4</f>
        <v>2.3617671802882848E-4</v>
      </c>
      <c r="G4" s="12">
        <f>'Emissão Maq e Equip'!M4</f>
        <v>0.15101788671784197</v>
      </c>
      <c r="H4" s="12">
        <f>'Emissão Maq e Equip'!N4</f>
        <v>5.0584038299270308E-2</v>
      </c>
    </row>
    <row r="5" spans="1:8" x14ac:dyDescent="0.25">
      <c r="A5" s="2" t="s">
        <v>141</v>
      </c>
      <c r="B5" s="12">
        <f>'Emissão Vias '!V9</f>
        <v>1.2870451826358562</v>
      </c>
      <c r="C5" s="12">
        <f>'Emissão Vias '!W9</f>
        <v>0.36614760657105694</v>
      </c>
      <c r="D5" s="12">
        <f>'Emissão Vias '!X9</f>
        <v>3.6813900313386945E-2</v>
      </c>
      <c r="E5" s="12">
        <f>'Emissão Vias '!Y9</f>
        <v>6.8752806600914027E-3</v>
      </c>
      <c r="F5" s="12">
        <f>'Emissão Vias '!Z9</f>
        <v>2.6608052034693506E-4</v>
      </c>
      <c r="G5" s="12">
        <f>'Emissão Vias '!AA9</f>
        <v>1.313660390223769E-3</v>
      </c>
      <c r="H5" s="12">
        <f>'Emissão Vias '!AB9</f>
        <v>3.1332248122238572E-4</v>
      </c>
    </row>
    <row r="6" spans="1:8" x14ac:dyDescent="0.25">
      <c r="A6" s="2" t="s">
        <v>142</v>
      </c>
      <c r="B6" s="83">
        <v>1.7380889859061128</v>
      </c>
      <c r="C6" s="83">
        <v>0.86904449295305641</v>
      </c>
      <c r="D6" s="83">
        <v>0.13035667394295847</v>
      </c>
      <c r="E6" s="62" t="s">
        <v>84</v>
      </c>
      <c r="F6" s="62" t="s">
        <v>84</v>
      </c>
      <c r="G6" s="62" t="s">
        <v>84</v>
      </c>
      <c r="H6" s="62" t="s">
        <v>84</v>
      </c>
    </row>
    <row r="7" spans="1:8" x14ac:dyDescent="0.25">
      <c r="A7" s="59" t="s">
        <v>170</v>
      </c>
      <c r="B7" s="26">
        <f t="shared" ref="B7:H7" si="0">SUM(B3:B6)</f>
        <v>3.062668671231604</v>
      </c>
      <c r="C7" s="26">
        <f t="shared" si="0"/>
        <v>1.266905928170174</v>
      </c>
      <c r="D7" s="26">
        <f t="shared" si="0"/>
        <v>0.19445173574614527</v>
      </c>
      <c r="E7" s="26">
        <f t="shared" si="0"/>
        <v>0.30080891916147845</v>
      </c>
      <c r="F7" s="26">
        <f t="shared" si="0"/>
        <v>5.0225723837576356E-4</v>
      </c>
      <c r="G7" s="26">
        <f t="shared" si="0"/>
        <v>0.15233154710806573</v>
      </c>
      <c r="H7" s="26">
        <f t="shared" si="0"/>
        <v>5.0897360780492694E-2</v>
      </c>
    </row>
    <row r="9" spans="1:8" x14ac:dyDescent="0.25">
      <c r="A9" s="2" t="s">
        <v>171</v>
      </c>
    </row>
  </sheetData>
  <sheetProtection algorithmName="SHA-512" hashValue="OYrURHS6/qsy6Msc6uDn2qniCHMBj6U3YklQY2QaUZ74rOQvEZxxNwcork4rwL4vY2YSQRiAM10yXyM0msPFdg==" saltValue="SW66WOL+8NJ3ndYgIqt3qw==" spinCount="100000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K6" sqref="K6"/>
    </sheetView>
  </sheetViews>
  <sheetFormatPr defaultRowHeight="15" x14ac:dyDescent="0.25"/>
  <cols>
    <col min="1" max="1" width="18.28515625" customWidth="1"/>
    <col min="5" max="5" width="25" bestFit="1" customWidth="1"/>
    <col min="6" max="6" width="20" bestFit="1" customWidth="1"/>
    <col min="7" max="7" width="15.140625" bestFit="1" customWidth="1"/>
    <col min="8" max="8" width="14.42578125" bestFit="1" customWidth="1"/>
    <col min="9" max="9" width="12.140625" bestFit="1" customWidth="1"/>
    <col min="10" max="10" width="21.7109375" bestFit="1" customWidth="1"/>
  </cols>
  <sheetData>
    <row r="1" spans="1:10" x14ac:dyDescent="0.25">
      <c r="A1" s="141" t="s">
        <v>18</v>
      </c>
      <c r="B1" s="142"/>
      <c r="C1" s="142"/>
      <c r="D1" s="142"/>
      <c r="E1" s="143"/>
    </row>
    <row r="2" spans="1:10" x14ac:dyDescent="0.25">
      <c r="A2" s="86" t="s">
        <v>17</v>
      </c>
      <c r="B2" s="89"/>
      <c r="C2" s="90"/>
      <c r="D2" s="90"/>
      <c r="E2" s="91"/>
    </row>
    <row r="3" spans="1:10" x14ac:dyDescent="0.25">
      <c r="A3" s="87"/>
      <c r="B3" s="92"/>
      <c r="C3" s="93"/>
      <c r="D3" s="93"/>
      <c r="E3" s="94"/>
    </row>
    <row r="4" spans="1:10" x14ac:dyDescent="0.25">
      <c r="A4" s="87"/>
      <c r="B4" s="95"/>
      <c r="C4" s="96"/>
      <c r="D4" s="96"/>
      <c r="E4" s="97"/>
    </row>
    <row r="5" spans="1:10" ht="15" customHeight="1" x14ac:dyDescent="0.25">
      <c r="A5" s="87"/>
      <c r="B5" s="98" t="s">
        <v>35</v>
      </c>
      <c r="C5" s="99"/>
      <c r="D5" s="99"/>
      <c r="E5" s="100"/>
    </row>
    <row r="6" spans="1:10" x14ac:dyDescent="0.25">
      <c r="A6" s="87"/>
      <c r="B6" s="101"/>
      <c r="C6" s="102"/>
      <c r="D6" s="102"/>
      <c r="E6" s="103"/>
    </row>
    <row r="7" spans="1:10" x14ac:dyDescent="0.25">
      <c r="A7" s="87"/>
      <c r="B7" s="101"/>
      <c r="C7" s="102"/>
      <c r="D7" s="102"/>
      <c r="E7" s="103"/>
    </row>
    <row r="8" spans="1:10" x14ac:dyDescent="0.25">
      <c r="A8" s="87"/>
      <c r="B8" s="101"/>
      <c r="C8" s="102"/>
      <c r="D8" s="102"/>
      <c r="E8" s="103"/>
    </row>
    <row r="9" spans="1:10" x14ac:dyDescent="0.25">
      <c r="A9" s="88"/>
      <c r="B9" s="104"/>
      <c r="C9" s="105"/>
      <c r="D9" s="105"/>
      <c r="E9" s="106"/>
    </row>
    <row r="12" spans="1:10" x14ac:dyDescent="0.25">
      <c r="A12" s="145" t="s">
        <v>36</v>
      </c>
      <c r="B12" s="145"/>
      <c r="C12" s="1"/>
      <c r="D12" s="1"/>
      <c r="E12" s="9" t="s">
        <v>34</v>
      </c>
      <c r="F12" s="9" t="s">
        <v>29</v>
      </c>
      <c r="G12" s="9" t="s">
        <v>33</v>
      </c>
      <c r="H12" s="9" t="s">
        <v>32</v>
      </c>
      <c r="I12" s="9" t="s">
        <v>30</v>
      </c>
      <c r="J12" s="9" t="s">
        <v>31</v>
      </c>
    </row>
    <row r="13" spans="1:10" x14ac:dyDescent="0.25">
      <c r="A13" s="2" t="s">
        <v>19</v>
      </c>
      <c r="B13" s="12">
        <v>46.005499999999998</v>
      </c>
      <c r="C13" s="1"/>
      <c r="D13" s="1"/>
      <c r="E13" s="2" t="s">
        <v>13</v>
      </c>
      <c r="F13" s="11" t="e">
        <f>#REF!</f>
        <v>#REF!</v>
      </c>
      <c r="G13" s="6" t="e">
        <f>#REF!</f>
        <v>#REF!</v>
      </c>
      <c r="H13" s="6" t="e">
        <f>G13+273.15</f>
        <v>#REF!</v>
      </c>
      <c r="I13" s="144">
        <v>1</v>
      </c>
      <c r="J13" s="12" t="e">
        <f>F13*0.04087*$B$15*(($I$13/1)*(298.15/H13))</f>
        <v>#REF!</v>
      </c>
    </row>
    <row r="14" spans="1:10" x14ac:dyDescent="0.25">
      <c r="A14" s="2" t="s">
        <v>20</v>
      </c>
      <c r="B14" s="12">
        <v>30.01</v>
      </c>
      <c r="C14" s="1"/>
      <c r="D14" s="1"/>
      <c r="E14" s="2" t="s">
        <v>14</v>
      </c>
      <c r="F14" s="11" t="e">
        <f>#REF!</f>
        <v>#REF!</v>
      </c>
      <c r="G14" s="6" t="e">
        <f>#REF!</f>
        <v>#REF!</v>
      </c>
      <c r="H14" s="6" t="e">
        <f t="shared" ref="H14:H21" si="0">G14+273.15</f>
        <v>#REF!</v>
      </c>
      <c r="I14" s="144"/>
      <c r="J14" s="12" t="e">
        <f t="shared" ref="J14:J21" si="1">F14*0.04087*$B$15*(($I$13/1)*(298.15/H14))</f>
        <v>#REF!</v>
      </c>
    </row>
    <row r="15" spans="1:10" x14ac:dyDescent="0.25">
      <c r="A15" s="2" t="s">
        <v>4</v>
      </c>
      <c r="B15" s="12">
        <v>28.01</v>
      </c>
      <c r="C15" s="1"/>
      <c r="D15" s="1"/>
      <c r="E15" s="2" t="s">
        <v>10</v>
      </c>
      <c r="F15" s="11" t="e">
        <f>#REF!</f>
        <v>#REF!</v>
      </c>
      <c r="G15" s="6" t="e">
        <f>#REF!</f>
        <v>#REF!</v>
      </c>
      <c r="H15" s="6" t="e">
        <f t="shared" si="0"/>
        <v>#REF!</v>
      </c>
      <c r="I15" s="144"/>
      <c r="J15" s="12" t="e">
        <f t="shared" si="1"/>
        <v>#REF!</v>
      </c>
    </row>
    <row r="16" spans="1:10" x14ac:dyDescent="0.25">
      <c r="A16" s="2" t="s">
        <v>21</v>
      </c>
      <c r="B16" s="12">
        <v>48</v>
      </c>
      <c r="C16" s="1"/>
      <c r="D16" s="1"/>
      <c r="E16" s="2" t="s">
        <v>9</v>
      </c>
      <c r="F16" s="11" t="e">
        <f>#REF!</f>
        <v>#REF!</v>
      </c>
      <c r="G16" s="6" t="e">
        <f>#REF!</f>
        <v>#REF!</v>
      </c>
      <c r="H16" s="6" t="e">
        <f t="shared" si="0"/>
        <v>#REF!</v>
      </c>
      <c r="I16" s="144"/>
      <c r="J16" s="12" t="e">
        <f t="shared" si="1"/>
        <v>#REF!</v>
      </c>
    </row>
    <row r="17" spans="1:10" x14ac:dyDescent="0.25">
      <c r="A17" s="2" t="s">
        <v>22</v>
      </c>
      <c r="B17" s="12">
        <v>34.1</v>
      </c>
      <c r="C17" s="1"/>
      <c r="D17" s="1"/>
      <c r="E17" s="2" t="s">
        <v>11</v>
      </c>
      <c r="F17" s="11" t="e">
        <f>#REF!</f>
        <v>#REF!</v>
      </c>
      <c r="G17" s="6" t="e">
        <f>#REF!</f>
        <v>#REF!</v>
      </c>
      <c r="H17" s="6" t="e">
        <f t="shared" si="0"/>
        <v>#REF!</v>
      </c>
      <c r="I17" s="144"/>
      <c r="J17" s="12" t="e">
        <f t="shared" si="1"/>
        <v>#REF!</v>
      </c>
    </row>
    <row r="18" spans="1:10" x14ac:dyDescent="0.25">
      <c r="A18" s="2" t="s">
        <v>23</v>
      </c>
      <c r="B18" s="12">
        <v>64.066000000000003</v>
      </c>
      <c r="C18" s="1"/>
      <c r="D18" s="1"/>
      <c r="E18" s="2" t="s">
        <v>12</v>
      </c>
      <c r="F18" s="11" t="e">
        <f>#REF!</f>
        <v>#REF!</v>
      </c>
      <c r="G18" s="6" t="e">
        <f>#REF!</f>
        <v>#REF!</v>
      </c>
      <c r="H18" s="6" t="e">
        <f t="shared" si="0"/>
        <v>#REF!</v>
      </c>
      <c r="I18" s="144"/>
      <c r="J18" s="12" t="e">
        <f t="shared" si="1"/>
        <v>#REF!</v>
      </c>
    </row>
    <row r="19" spans="1:10" x14ac:dyDescent="0.25">
      <c r="A19" s="2" t="s">
        <v>24</v>
      </c>
      <c r="B19" s="12">
        <v>36.46</v>
      </c>
      <c r="C19" s="1"/>
      <c r="D19" s="1"/>
      <c r="E19" s="3" t="s">
        <v>8</v>
      </c>
      <c r="F19" s="11" t="e">
        <f>#REF!</f>
        <v>#REF!</v>
      </c>
      <c r="G19" s="6" t="e">
        <f>#REF!</f>
        <v>#REF!</v>
      </c>
      <c r="H19" s="6" t="e">
        <f t="shared" si="0"/>
        <v>#REF!</v>
      </c>
      <c r="I19" s="144"/>
      <c r="J19" s="12" t="e">
        <f t="shared" si="1"/>
        <v>#REF!</v>
      </c>
    </row>
    <row r="20" spans="1:10" x14ac:dyDescent="0.25">
      <c r="A20" s="2" t="s">
        <v>25</v>
      </c>
      <c r="B20" s="12">
        <v>20.0063</v>
      </c>
      <c r="C20" s="1"/>
      <c r="D20" s="1"/>
      <c r="E20" s="2" t="s">
        <v>15</v>
      </c>
      <c r="F20" s="11" t="e">
        <f>#REF!</f>
        <v>#REF!</v>
      </c>
      <c r="G20" s="6" t="e">
        <f>#REF!</f>
        <v>#REF!</v>
      </c>
      <c r="H20" s="6" t="e">
        <f t="shared" si="0"/>
        <v>#REF!</v>
      </c>
      <c r="I20" s="144"/>
      <c r="J20" s="12" t="e">
        <f t="shared" si="1"/>
        <v>#REF!</v>
      </c>
    </row>
    <row r="21" spans="1:10" x14ac:dyDescent="0.25">
      <c r="A21" s="2" t="s">
        <v>26</v>
      </c>
      <c r="B21" s="12">
        <v>44.1</v>
      </c>
      <c r="C21" s="1"/>
      <c r="D21" s="1"/>
      <c r="E21" s="2" t="s">
        <v>16</v>
      </c>
      <c r="F21" s="11" t="e">
        <f>#REF!</f>
        <v>#REF!</v>
      </c>
      <c r="G21" s="6" t="e">
        <f>#REF!</f>
        <v>#REF!</v>
      </c>
      <c r="H21" s="6" t="e">
        <f t="shared" si="0"/>
        <v>#REF!</v>
      </c>
      <c r="I21" s="144"/>
      <c r="J21" s="12" t="e">
        <f t="shared" si="1"/>
        <v>#REF!</v>
      </c>
    </row>
    <row r="22" spans="1:10" x14ac:dyDescent="0.25">
      <c r="A22" s="2" t="s">
        <v>27</v>
      </c>
      <c r="B22" s="12">
        <v>78.11</v>
      </c>
      <c r="C22" s="1"/>
      <c r="D22" s="1"/>
      <c r="E22" s="1"/>
      <c r="F22" s="1"/>
      <c r="G22" s="1"/>
      <c r="H22" s="1"/>
      <c r="I22" s="1"/>
    </row>
    <row r="23" spans="1:10" x14ac:dyDescent="0.25">
      <c r="A23" s="2" t="s">
        <v>28</v>
      </c>
      <c r="B23" s="12">
        <v>44.01</v>
      </c>
      <c r="C23" s="1"/>
      <c r="D23" s="1"/>
      <c r="E23" s="1"/>
      <c r="F23" s="1"/>
      <c r="G23" s="1"/>
      <c r="H23" s="1"/>
      <c r="I23" s="1"/>
    </row>
  </sheetData>
  <mergeCells count="6">
    <mergeCell ref="A1:E1"/>
    <mergeCell ref="I13:I21"/>
    <mergeCell ref="A2:A9"/>
    <mergeCell ref="B2:E4"/>
    <mergeCell ref="B5:E9"/>
    <mergeCell ref="A12:B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FE-Maq e Equip</vt:lpstr>
      <vt:lpstr>FE-Transferências</vt:lpstr>
      <vt:lpstr>FE-Vias</vt:lpstr>
      <vt:lpstr>Dados</vt:lpstr>
      <vt:lpstr>Emissão Vias </vt:lpstr>
      <vt:lpstr>Emissão Transferências</vt:lpstr>
      <vt:lpstr>Emissão Maq e Equip</vt:lpstr>
      <vt:lpstr>Resumo</vt:lpstr>
      <vt:lpstr>ppm to mg.m-3</vt:lpstr>
      <vt:lpstr>FE_Equipamentos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Gabriel Aarão Gonçalves</cp:lastModifiedBy>
  <dcterms:created xsi:type="dcterms:W3CDTF">2016-12-13T12:13:55Z</dcterms:created>
  <dcterms:modified xsi:type="dcterms:W3CDTF">2019-06-07T11:47:26Z</dcterms:modified>
</cp:coreProperties>
</file>