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Fertilizantes Heringer\"/>
    </mc:Choice>
  </mc:AlternateContent>
  <bookViews>
    <workbookView xWindow="0" yWindow="0" windowWidth="24000" windowHeight="9735" activeTab="5"/>
  </bookViews>
  <sheets>
    <sheet name="FE-Maq e Equip" sheetId="4" r:id="rId1"/>
    <sheet name="FE-Transferências" sheetId="8" r:id="rId2"/>
    <sheet name="Dados" sheetId="1" r:id="rId3"/>
    <sheet name="Emissão Transferências" sheetId="3" r:id="rId4"/>
    <sheet name="Emissão Maq e Equip" sheetId="5" r:id="rId5"/>
    <sheet name="Resumo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H3" i="7"/>
  <c r="B3" i="7"/>
  <c r="F7" i="3" l="1"/>
  <c r="K7" i="5" l="1"/>
  <c r="S7" i="5" s="1"/>
  <c r="L7" i="5"/>
  <c r="R7" i="5" s="1"/>
  <c r="M7" i="5"/>
  <c r="T7" i="5" s="1"/>
  <c r="N7" i="5"/>
  <c r="U7" i="5" s="1"/>
  <c r="J7" i="5"/>
  <c r="O7" i="5" s="1"/>
  <c r="K6" i="5"/>
  <c r="S6" i="5" s="1"/>
  <c r="L6" i="5"/>
  <c r="R6" i="5" s="1"/>
  <c r="M6" i="5"/>
  <c r="T6" i="5" s="1"/>
  <c r="N6" i="5"/>
  <c r="U6" i="5" s="1"/>
  <c r="J6" i="5"/>
  <c r="O6" i="5" s="1"/>
  <c r="I7" i="3" l="1"/>
  <c r="H7" i="3"/>
  <c r="G7" i="3"/>
  <c r="J7" i="3" l="1"/>
  <c r="K7" i="3"/>
  <c r="K10" i="5"/>
  <c r="S10" i="5" s="1"/>
  <c r="L10" i="5"/>
  <c r="R10" i="5" s="1"/>
  <c r="M10" i="5"/>
  <c r="T10" i="5" s="1"/>
  <c r="N10" i="5"/>
  <c r="U10" i="5" s="1"/>
  <c r="J10" i="5"/>
  <c r="O10" i="5" s="1"/>
  <c r="P10" i="5" s="1"/>
  <c r="Q10" i="5" s="1"/>
  <c r="K9" i="5"/>
  <c r="S9" i="5" s="1"/>
  <c r="L9" i="5"/>
  <c r="R9" i="5" s="1"/>
  <c r="M9" i="5"/>
  <c r="T9" i="5" s="1"/>
  <c r="N9" i="5"/>
  <c r="U9" i="5" s="1"/>
  <c r="J9" i="5"/>
  <c r="K8" i="5"/>
  <c r="S8" i="5" s="1"/>
  <c r="L8" i="5"/>
  <c r="R8" i="5" s="1"/>
  <c r="M8" i="5"/>
  <c r="T8" i="5" s="1"/>
  <c r="N8" i="5"/>
  <c r="U8" i="5" s="1"/>
  <c r="J8" i="5"/>
  <c r="P7" i="5"/>
  <c r="Q7" i="5" s="1"/>
  <c r="K5" i="5"/>
  <c r="S5" i="5" s="1"/>
  <c r="L5" i="5"/>
  <c r="R5" i="5" s="1"/>
  <c r="M5" i="5"/>
  <c r="T5" i="5" s="1"/>
  <c r="N5" i="5"/>
  <c r="U5" i="5" s="1"/>
  <c r="J5" i="5"/>
  <c r="O5" i="5" s="1"/>
  <c r="K4" i="5"/>
  <c r="S4" i="5" s="1"/>
  <c r="L4" i="5"/>
  <c r="R4" i="5" s="1"/>
  <c r="M4" i="5"/>
  <c r="T4" i="5" s="1"/>
  <c r="N4" i="5"/>
  <c r="U4" i="5" s="1"/>
  <c r="J4" i="5"/>
  <c r="O4" i="5" s="1"/>
  <c r="L3" i="5"/>
  <c r="R3" i="5" s="1"/>
  <c r="M3" i="5"/>
  <c r="T3" i="5" s="1"/>
  <c r="N3" i="5"/>
  <c r="U3" i="5" s="1"/>
  <c r="K3" i="5"/>
  <c r="S3" i="5" s="1"/>
  <c r="J3" i="5"/>
  <c r="O3" i="5" s="1"/>
  <c r="E10" i="5"/>
  <c r="E9" i="5"/>
  <c r="O8" i="5" l="1"/>
  <c r="O9" i="5"/>
  <c r="P9" i="5" s="1"/>
  <c r="Q9" i="5" s="1"/>
  <c r="B1" i="3"/>
  <c r="O11" i="5" l="1"/>
  <c r="P8" i="5"/>
  <c r="Q8" i="5" s="1"/>
  <c r="P6" i="5"/>
  <c r="Q6" i="5" s="1"/>
  <c r="P3" i="5"/>
  <c r="P5" i="5"/>
  <c r="Q5" i="5" s="1"/>
  <c r="K8" i="3"/>
  <c r="C4" i="7" s="1"/>
  <c r="J8" i="3"/>
  <c r="B4" i="7" s="1"/>
  <c r="L7" i="3"/>
  <c r="L8" i="3" s="1"/>
  <c r="D4" i="7" s="1"/>
  <c r="B5" i="7" l="1"/>
  <c r="Q3" i="5"/>
  <c r="S11" i="5"/>
  <c r="E5" i="7" s="1"/>
  <c r="T11" i="5"/>
  <c r="G5" i="7" s="1"/>
  <c r="R11" i="5"/>
  <c r="F5" i="7" s="1"/>
  <c r="U11" i="5"/>
  <c r="H5" i="7" s="1"/>
  <c r="P4" i="5"/>
  <c r="Q4" i="5" s="1"/>
  <c r="P11" i="5" l="1"/>
  <c r="C5" i="7" s="1"/>
  <c r="Q11" i="5"/>
  <c r="D5" i="7" s="1"/>
</calcChain>
</file>

<file path=xl/comments1.xml><?xml version="1.0" encoding="utf-8"?>
<comments xmlns="http://schemas.openxmlformats.org/spreadsheetml/2006/main">
  <authors>
    <author>Andrielly Moutinho Knupp</author>
  </authors>
  <commentList>
    <comment ref="A7" authorId="0" shapeId="0">
      <text>
        <r>
          <rPr>
            <b/>
            <sz val="9"/>
            <color indexed="81"/>
            <rFont val="Segoe UI"/>
            <family val="2"/>
          </rPr>
          <t>Rating A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Tatiane Jardim Morais</author>
    <author>Julius Mergulhão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Média da velocidade do vento - Aeroporto de Vitória para o ano de 2015.</t>
        </r>
      </text>
    </comment>
    <comment ref="D7" authorId="0" shapeId="0">
      <text>
        <r>
          <rPr>
            <sz val="9"/>
            <color indexed="81"/>
            <rFont val="Segoe UI"/>
            <family val="2"/>
          </rPr>
          <t xml:space="preserve">Não há medidas de controle
</t>
        </r>
      </text>
    </comment>
    <comment ref="E7" authorId="1" shapeId="0">
      <text>
        <r>
          <rPr>
            <sz val="9"/>
            <color indexed="81"/>
            <rFont val="Segoe UI"/>
            <family val="2"/>
          </rPr>
          <t>Consideração:
Umidade arbitrada devido ausência de informações</t>
        </r>
      </text>
    </comment>
  </commentList>
</comments>
</file>

<file path=xl/comments3.xml><?xml version="1.0" encoding="utf-8"?>
<comments xmlns="http://schemas.openxmlformats.org/spreadsheetml/2006/main">
  <authors>
    <author>Tatiane Jardim Morais</author>
    <author>Andrielly Moutinho Knupp</author>
  </authors>
  <commentList>
    <comment ref="F1" authorId="0" shapeId="0">
      <text>
        <r>
          <rPr>
            <sz val="9"/>
            <color indexed="81"/>
            <rFont val="Segoe UI"/>
            <family val="2"/>
          </rPr>
          <t xml:space="preserve">Dados de horas foi repassado pela Heringer, incompatível com horas trabalhadas em 1 ano (2015)
</t>
        </r>
      </text>
    </comment>
    <comment ref="G1" authorId="0" shapeId="0">
      <text>
        <r>
          <rPr>
            <sz val="9"/>
            <color indexed="81"/>
            <rFont val="Segoe UI"/>
            <family val="2"/>
          </rPr>
          <t xml:space="preserve">Foi usado 10 horas/dia por falta de informação.
</t>
        </r>
      </text>
    </comment>
    <comment ref="L2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N2" authorId="1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P2" authorId="1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Q2" authorId="1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S2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U2" authorId="1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</commentList>
</comments>
</file>

<file path=xl/sharedStrings.xml><?xml version="1.0" encoding="utf-8"?>
<sst xmlns="http://schemas.openxmlformats.org/spreadsheetml/2006/main" count="141" uniqueCount="93">
  <si>
    <t>Matéria prima</t>
  </si>
  <si>
    <t>Quantidade (ton/ano)</t>
  </si>
  <si>
    <t>Micronutrientes</t>
  </si>
  <si>
    <t>Cloreto de Potássio</t>
  </si>
  <si>
    <t>Enxofre</t>
  </si>
  <si>
    <t>Fert up</t>
  </si>
  <si>
    <t>Fosfato Natural Reativo - FNR</t>
  </si>
  <si>
    <t>Fosfato Monopotassico</t>
  </si>
  <si>
    <t>Fosfato de Monoamonio - MAP</t>
  </si>
  <si>
    <t>Matéria Orgânica (turfa)</t>
  </si>
  <si>
    <t>Nitrato de Cálcio</t>
  </si>
  <si>
    <t>Nitrato de Magnésio</t>
  </si>
  <si>
    <t>Nitrato de Amônio</t>
  </si>
  <si>
    <t>Sulfato de Amônio</t>
  </si>
  <si>
    <t>Sulfato de Magnésio</t>
  </si>
  <si>
    <t>Sulfato de Potássio</t>
  </si>
  <si>
    <t>Super Simples</t>
  </si>
  <si>
    <t>Superfosfato Triplo</t>
  </si>
  <si>
    <t>Uréia</t>
  </si>
  <si>
    <t>Total</t>
  </si>
  <si>
    <t>Equipamento</t>
  </si>
  <si>
    <t>Modelo</t>
  </si>
  <si>
    <t>Quantidade</t>
  </si>
  <si>
    <t>Horas Trabalhadas</t>
  </si>
  <si>
    <t>Pá Carregadeira</t>
  </si>
  <si>
    <t>VOLVO L60F</t>
  </si>
  <si>
    <t>CASE 621D</t>
  </si>
  <si>
    <t>Empilhadeira</t>
  </si>
  <si>
    <t>FORTIS 50</t>
  </si>
  <si>
    <t>Mini Pá Carregadeira</t>
  </si>
  <si>
    <t>SRF175</t>
  </si>
  <si>
    <t xml:space="preserve">Produção (t/ano): </t>
  </si>
  <si>
    <t>Produção (t/h)</t>
  </si>
  <si>
    <t>Velocidade do Vento (m/s)</t>
  </si>
  <si>
    <r>
      <t xml:space="preserve">&lt; 30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</si>
  <si>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t xml:space="preserve">&lt; 10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</si>
  <si>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r>
      <t xml:space="preserve">&lt; 2.5 </t>
    </r>
    <r>
      <rPr>
        <sz val="8"/>
        <color theme="1"/>
        <rFont val="Calibri"/>
        <family val="2"/>
      </rPr>
      <t>µ</t>
    </r>
    <r>
      <rPr>
        <sz val="8"/>
        <color theme="1"/>
        <rFont val="Arial"/>
        <family val="2"/>
      </rPr>
      <t>m</t>
    </r>
  </si>
  <si>
    <t>Fonte Emissora</t>
  </si>
  <si>
    <t>Controle [%]</t>
  </si>
  <si>
    <t>Fator de Emissão [kg/t e g/t]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</si>
  <si>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</si>
  <si>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</si>
  <si>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</si>
  <si>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</si>
  <si>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>Equação Geral:</t>
  </si>
  <si>
    <t>Onde:
E - emissão
k - particle size multiplier (dimensionless)
U - mean wind speed, meters per second (m/s) (miles per hour [mph]) 
M - material moisture content (%)</t>
  </si>
  <si>
    <t>Referência: AQMD (2016) - http://www.aqmd.gov/home/regulations/ceqa/air-quality-analysis-handbook/off-road-mobile-source-emission-factors</t>
  </si>
  <si>
    <t>Equipment</t>
  </si>
  <si>
    <t>Fator de Emissão [kg/h]</t>
  </si>
  <si>
    <t>MaxHP</t>
  </si>
  <si>
    <t>CO</t>
  </si>
  <si>
    <t>ROG</t>
  </si>
  <si>
    <t>Forklifts</t>
  </si>
  <si>
    <t>Forklifts Composite</t>
  </si>
  <si>
    <t>Tractors/Loaders/Backhoes</t>
  </si>
  <si>
    <t>Tractors/Loaders/Backhoes Composite</t>
  </si>
  <si>
    <t>Onde:
E - emissão (lb/dia)
n - número de equipamentos de cada categoria
H - número de horas diárias de operação do equipamento
EF - fator de emissão (lb/h)</t>
  </si>
  <si>
    <t>Como não foi informado o ano dos equipamentos, foi considerado, de forma conservadora, os fatores de 2007.</t>
  </si>
  <si>
    <t>Potencia</t>
  </si>
  <si>
    <t>Potencia HP</t>
  </si>
  <si>
    <t>Equipamentos</t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</si>
  <si>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</si>
  <si>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</si>
  <si>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t>Forklifts 50hp</t>
  </si>
  <si>
    <t>Tractors/Loaders/Backhoes 175hp</t>
  </si>
  <si>
    <t>Consumo de Combustível [L/dia]</t>
  </si>
  <si>
    <t>1700 rpm</t>
  </si>
  <si>
    <t>2000 rpm</t>
  </si>
  <si>
    <t>61 cv</t>
  </si>
  <si>
    <t>44,7 kW</t>
  </si>
  <si>
    <t>Tractors/Loaders/Backhoes 50hp</t>
  </si>
  <si>
    <t>TR - Moega</t>
  </si>
  <si>
    <t>Umidade média [%]</t>
  </si>
  <si>
    <r>
      <t>NO</t>
    </r>
    <r>
      <rPr>
        <b/>
        <vertAlign val="subscript"/>
        <sz val="8"/>
        <rFont val="Arial"/>
        <family val="2"/>
      </rPr>
      <t>X</t>
    </r>
  </si>
  <si>
    <r>
      <t>SO</t>
    </r>
    <r>
      <rPr>
        <b/>
        <vertAlign val="subscript"/>
        <sz val="8"/>
        <rFont val="Arial"/>
        <family val="2"/>
      </rPr>
      <t>X</t>
    </r>
  </si>
  <si>
    <r>
      <t>CO</t>
    </r>
    <r>
      <rPr>
        <b/>
        <vertAlign val="subscript"/>
        <sz val="8"/>
        <rFont val="Arial"/>
        <family val="2"/>
      </rPr>
      <t>2</t>
    </r>
  </si>
  <si>
    <r>
      <t>CH</t>
    </r>
    <r>
      <rPr>
        <b/>
        <vertAlign val="subscript"/>
        <sz val="8"/>
        <rFont val="Arial"/>
        <family val="2"/>
      </rPr>
      <t>4</t>
    </r>
  </si>
  <si>
    <t>Por falta de informação foi usado fatores de emissão para equipamentos do ano de 2007</t>
  </si>
  <si>
    <t>Aerodynamic Particle Size Multiplier (k) For Equation 1</t>
  </si>
  <si>
    <t>Quantidade Movimentada [t/h]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</si>
  <si>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</si>
  <si>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Transferências</t>
  </si>
  <si>
    <t xml:space="preserve"> </t>
  </si>
  <si>
    <t>-</t>
  </si>
  <si>
    <t>Fonte: Informações enviadas pelo empreendimento através do Ofício IEMA N° 473/2016</t>
  </si>
  <si>
    <t>TOTAL</t>
  </si>
  <si>
    <t>Fonte: AP-42 (USEPA, 2006) - https://www3.epa.gov/ttn/chief/ap42/ch13/final/c13s0204.pdf</t>
  </si>
  <si>
    <t>Nota:</t>
  </si>
  <si>
    <t>VOC</t>
  </si>
  <si>
    <t>Nota: A empresa não informou a quantidade de horas trabalhas por dia/mês/ano e sim as horas totais trabalhadas desde de o inicio de operação de cada equipamento, por isso foi usado o valor de 10 horas/dia</t>
  </si>
  <si>
    <t>Horas Trabalhadas [h/dia]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</si>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</sst>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#,##0.0000"/>
    <numFmt numFmtId="166" formatCode="0.0000"/>
    <numFmt numFmtId="167" formatCode="[&gt;=0.005]\ #,##0.00;[&lt;0.005]&quot;&lt;0,01&quot;"/>
    <numFmt numFmtId="168" formatCode="#,##0.0"/>
    <numFmt numFmtId="169" formatCode="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theme="1"/>
      <name val="Calibri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b/>
      <vertAlign val="subscript"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DD"/>
        <bgColor indexed="64"/>
      </patternFill>
    </fill>
  </fills>
  <borders count="4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rgb="FFBFBFBF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2" fontId="12" fillId="2" borderId="15" xfId="0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vertical="center"/>
    </xf>
    <xf numFmtId="0" fontId="6" fillId="5" borderId="17" xfId="0" applyFont="1" applyFill="1" applyBorder="1" applyAlignment="1">
      <alignment vertical="center"/>
    </xf>
    <xf numFmtId="0" fontId="6" fillId="5" borderId="17" xfId="0" applyFont="1" applyFill="1" applyBorder="1" applyAlignment="1">
      <alignment horizontal="center" vertical="center"/>
    </xf>
    <xf numFmtId="166" fontId="6" fillId="5" borderId="17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6" fillId="0" borderId="0" xfId="0" applyFont="1" applyFill="1"/>
    <xf numFmtId="166" fontId="6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7" fillId="0" borderId="0" xfId="0" applyFont="1" applyFill="1" applyAlignment="1">
      <alignment vertical="center"/>
    </xf>
    <xf numFmtId="0" fontId="6" fillId="0" borderId="17" xfId="0" applyFont="1" applyFill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4" fontId="6" fillId="0" borderId="17" xfId="0" applyNumberFormat="1" applyFont="1" applyFill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vertical="center" wrapText="1"/>
    </xf>
    <xf numFmtId="3" fontId="6" fillId="0" borderId="17" xfId="0" applyNumberFormat="1" applyFont="1" applyFill="1" applyBorder="1" applyAlignment="1">
      <alignment horizontal="center" vertical="center" wrapText="1"/>
    </xf>
    <xf numFmtId="20" fontId="6" fillId="0" borderId="0" xfId="0" applyNumberFormat="1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1" xfId="0" applyFont="1" applyFill="1" applyBorder="1" applyAlignment="1"/>
    <xf numFmtId="0" fontId="3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168" fontId="6" fillId="0" borderId="17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0" borderId="37" xfId="0" applyFont="1" applyBorder="1" applyAlignment="1">
      <alignment horizontal="left" vertical="center"/>
    </xf>
    <xf numFmtId="167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" fontId="4" fillId="0" borderId="0" xfId="0" applyNumberFormat="1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169" fontId="3" fillId="2" borderId="1" xfId="0" applyNumberFormat="1" applyFont="1" applyFill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6" fillId="0" borderId="0" xfId="0" applyNumberFormat="1" applyFont="1" applyFill="1" applyAlignment="1">
      <alignment horizontal="center" vertical="center"/>
    </xf>
    <xf numFmtId="2" fontId="6" fillId="2" borderId="9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Alignment="1">
      <alignment vertical="center"/>
    </xf>
    <xf numFmtId="167" fontId="3" fillId="2" borderId="0" xfId="0" applyNumberFormat="1" applyFont="1" applyFill="1" applyAlignment="1">
      <alignment horizontal="center" vertical="center"/>
    </xf>
    <xf numFmtId="165" fontId="6" fillId="0" borderId="19" xfId="0" applyNumberFormat="1" applyFont="1" applyFill="1" applyBorder="1" applyAlignment="1">
      <alignment horizontal="center" vertical="center"/>
    </xf>
    <xf numFmtId="4" fontId="6" fillId="2" borderId="17" xfId="0" applyNumberFormat="1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6" fillId="0" borderId="18" xfId="0" applyFont="1" applyFill="1" applyBorder="1" applyAlignment="1">
      <alignment horizontal="left" vertical="center"/>
    </xf>
    <xf numFmtId="0" fontId="6" fillId="0" borderId="19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32" xfId="0" applyFont="1" applyFill="1" applyBorder="1" applyAlignment="1">
      <alignment horizontal="center"/>
    </xf>
    <xf numFmtId="0" fontId="3" fillId="4" borderId="33" xfId="0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left" vertical="center" wrapText="1"/>
    </xf>
    <xf numFmtId="0" fontId="3" fillId="0" borderId="3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left" vertical="center" wrapText="1"/>
    </xf>
    <xf numFmtId="0" fontId="3" fillId="0" borderId="34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3" borderId="38" xfId="0" applyNumberFormat="1" applyFont="1" applyFill="1" applyBorder="1" applyAlignment="1" applyProtection="1">
      <alignment horizontal="center" vertical="center" wrapText="1"/>
    </xf>
    <xf numFmtId="0" fontId="8" fillId="3" borderId="39" xfId="0" applyNumberFormat="1" applyFont="1" applyFill="1" applyBorder="1" applyAlignment="1" applyProtection="1">
      <alignment horizontal="center" vertical="center" wrapText="1"/>
    </xf>
    <xf numFmtId="0" fontId="8" fillId="3" borderId="40" xfId="0" applyNumberFormat="1" applyFont="1" applyFill="1" applyBorder="1" applyAlignment="1" applyProtection="1">
      <alignment horizontal="center" vertical="center" wrapText="1"/>
    </xf>
    <xf numFmtId="167" fontId="6" fillId="2" borderId="22" xfId="0" applyNumberFormat="1" applyFont="1" applyFill="1" applyBorder="1" applyAlignment="1">
      <alignment horizontal="center" vertical="center"/>
    </xf>
    <xf numFmtId="167" fontId="6" fillId="2" borderId="23" xfId="0" applyNumberFormat="1" applyFont="1" applyFill="1" applyBorder="1" applyAlignment="1">
      <alignment horizontal="center" vertical="center"/>
    </xf>
    <xf numFmtId="167" fontId="6" fillId="2" borderId="24" xfId="0" applyNumberFormat="1" applyFont="1" applyFill="1" applyBorder="1" applyAlignment="1">
      <alignment horizontal="center" vertical="center"/>
    </xf>
    <xf numFmtId="0" fontId="8" fillId="3" borderId="6" xfId="0" applyNumberFormat="1" applyFont="1" applyFill="1" applyBorder="1" applyAlignment="1" applyProtection="1">
      <alignment horizontal="center" vertical="center" wrapText="1"/>
    </xf>
    <xf numFmtId="0" fontId="8" fillId="3" borderId="21" xfId="0" applyNumberFormat="1" applyFont="1" applyFill="1" applyBorder="1" applyAlignment="1" applyProtection="1">
      <alignment horizontal="center" vertical="center" wrapText="1"/>
    </xf>
    <xf numFmtId="0" fontId="8" fillId="3" borderId="20" xfId="0" applyNumberFormat="1" applyFont="1" applyFill="1" applyBorder="1" applyAlignment="1" applyProtection="1">
      <alignment horizontal="center" vertical="center" wrapText="1"/>
    </xf>
    <xf numFmtId="0" fontId="8" fillId="3" borderId="31" xfId="0" applyNumberFormat="1" applyFont="1" applyFill="1" applyBorder="1" applyAlignment="1" applyProtection="1">
      <alignment horizontal="center" vertical="center" wrapText="1"/>
    </xf>
    <xf numFmtId="0" fontId="8" fillId="3" borderId="36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21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100-000002000000}"/>
                </a:ext>
              </a:extLst>
            </xdr:cNvPr>
            <xdr:cNvSpPr txBox="1"/>
          </xdr:nvSpPr>
          <xdr:spPr>
            <a:xfrm>
              <a:off x="2733675" y="82057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2733675" y="82057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320386</xdr:colOff>
      <xdr:row>6</xdr:row>
      <xdr:rowOff>146771</xdr:rowOff>
    </xdr:from>
    <xdr:ext cx="1609725" cy="673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1188411" y="12897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0,0016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1,4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1188411" y="1289771"/>
              <a:ext cx="1609725" cy="673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𝐸=𝑘(0,0016)   (𝑈/2,2)^1,3/(𝑀/2)^1,4 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M25" sqref="M25"/>
    </sheetView>
  </sheetViews>
  <sheetFormatPr defaultRowHeight="15" x14ac:dyDescent="0.25"/>
  <cols>
    <col min="1" max="1" width="32.5703125" style="16" customWidth="1"/>
    <col min="2" max="2" width="8.42578125" style="16" customWidth="1"/>
    <col min="3" max="3" width="7.140625" style="16" bestFit="1" customWidth="1"/>
    <col min="4" max="5" width="9.140625" style="16"/>
    <col min="6" max="6" width="8.42578125" style="16" bestFit="1" customWidth="1"/>
    <col min="7" max="9" width="9.140625" style="16"/>
    <col min="12" max="16384" width="9.140625" style="16"/>
  </cols>
  <sheetData>
    <row r="1" spans="1:11" ht="15" customHeight="1" x14ac:dyDescent="0.25">
      <c r="A1" s="1" t="s">
        <v>46</v>
      </c>
      <c r="B1" s="2"/>
      <c r="C1" s="2"/>
      <c r="D1" s="2"/>
      <c r="E1" s="2"/>
      <c r="F1" s="2"/>
      <c r="G1" s="2"/>
      <c r="H1" s="2"/>
      <c r="I1" s="2"/>
    </row>
    <row r="2" spans="1:11" ht="15" customHeight="1" x14ac:dyDescent="0.25">
      <c r="A2" s="17" t="s">
        <v>77</v>
      </c>
      <c r="B2" s="18"/>
      <c r="C2" s="19"/>
      <c r="D2" s="19"/>
      <c r="E2" s="19"/>
      <c r="F2" s="19"/>
      <c r="G2" s="19"/>
      <c r="H2" s="19"/>
      <c r="I2" s="19"/>
    </row>
    <row r="3" spans="1:11" ht="15" customHeight="1" x14ac:dyDescent="0.25">
      <c r="A3" s="81" t="s">
        <v>47</v>
      </c>
      <c r="B3" s="83" t="s">
        <v>48</v>
      </c>
      <c r="C3" s="84"/>
      <c r="D3" s="84"/>
      <c r="E3" s="84"/>
      <c r="F3" s="84"/>
      <c r="G3" s="84"/>
      <c r="H3" s="84"/>
      <c r="I3" s="85"/>
    </row>
    <row r="4" spans="1:11" ht="15" customHeight="1" x14ac:dyDescent="0.25">
      <c r="A4" s="82"/>
      <c r="B4" s="20" t="s">
        <v>49</v>
      </c>
      <c r="C4" s="21" t="s">
        <v>41</v>
      </c>
      <c r="D4" s="21" t="s">
        <v>74</v>
      </c>
      <c r="E4" s="21" t="s">
        <v>73</v>
      </c>
      <c r="F4" s="21" t="s">
        <v>50</v>
      </c>
      <c r="G4" s="21" t="s">
        <v>51</v>
      </c>
      <c r="H4" s="21" t="s">
        <v>75</v>
      </c>
      <c r="I4" s="21" t="s">
        <v>76</v>
      </c>
    </row>
    <row r="5" spans="1:11" s="25" customFormat="1" ht="15" customHeight="1" x14ac:dyDescent="0.25">
      <c r="A5" s="70" t="s">
        <v>52</v>
      </c>
      <c r="B5" s="22">
        <v>50</v>
      </c>
      <c r="C5" s="23">
        <v>9.3630013476799761E-3</v>
      </c>
      <c r="D5" s="23">
        <v>8.6033551570891521E-5</v>
      </c>
      <c r="E5" s="23">
        <v>7.4519991808693467E-2</v>
      </c>
      <c r="F5" s="23">
        <v>9.6138212535283471E-2</v>
      </c>
      <c r="G5" s="23">
        <v>4.226926262316423E-2</v>
      </c>
      <c r="H5" s="23">
        <v>6.6550780871892741</v>
      </c>
      <c r="I5" s="23">
        <v>3.8138874603585002E-3</v>
      </c>
    </row>
    <row r="6" spans="1:11" s="25" customFormat="1" ht="15" customHeight="1" x14ac:dyDescent="0.25">
      <c r="A6" s="71"/>
      <c r="B6" s="22">
        <v>120</v>
      </c>
      <c r="C6" s="23">
        <v>1.9432717920016346E-2</v>
      </c>
      <c r="D6" s="23">
        <v>1.6614354833010314E-4</v>
      </c>
      <c r="E6" s="23">
        <v>0.19770476916405869</v>
      </c>
      <c r="F6" s="23">
        <v>0.10602299202233414</v>
      </c>
      <c r="G6" s="23">
        <v>3.5663485612068627E-2</v>
      </c>
      <c r="H6" s="23">
        <v>14.163368243694034</v>
      </c>
      <c r="I6" s="23">
        <v>3.217858921102401E-3</v>
      </c>
      <c r="J6" s="24"/>
      <c r="K6" s="24"/>
    </row>
    <row r="7" spans="1:11" s="25" customFormat="1" ht="15" customHeight="1" x14ac:dyDescent="0.25">
      <c r="A7" s="71"/>
      <c r="B7" s="22">
        <v>175</v>
      </c>
      <c r="C7" s="23">
        <v>1.8879850739384012E-2</v>
      </c>
      <c r="D7" s="23">
        <v>2.8608393717488665E-4</v>
      </c>
      <c r="E7" s="23">
        <v>0.31861247152656436</v>
      </c>
      <c r="F7" s="23">
        <v>0.15162091846570119</v>
      </c>
      <c r="G7" s="23">
        <v>4.2373566784726938E-2</v>
      </c>
      <c r="H7" s="23">
        <v>25.425804730599385</v>
      </c>
      <c r="I7" s="23">
        <v>3.8232977904108984E-3</v>
      </c>
      <c r="J7" s="24"/>
      <c r="K7" s="24"/>
    </row>
    <row r="8" spans="1:11" s="25" customFormat="1" ht="15" customHeight="1" x14ac:dyDescent="0.25">
      <c r="A8" s="71"/>
      <c r="B8" s="22">
        <v>250</v>
      </c>
      <c r="C8" s="23">
        <v>1.2379282144095784E-2</v>
      </c>
      <c r="D8" s="23">
        <v>3.9360565132436678E-4</v>
      </c>
      <c r="E8" s="23">
        <v>0.40506800826818495</v>
      </c>
      <c r="F8" s="23">
        <v>8.7074543299048776E-2</v>
      </c>
      <c r="G8" s="23">
        <v>3.457791520160676E-2</v>
      </c>
      <c r="H8" s="23">
        <v>34.981822100661624</v>
      </c>
      <c r="I8" s="23">
        <v>3.1199098492446938E-3</v>
      </c>
      <c r="J8" s="24"/>
      <c r="K8" s="24"/>
    </row>
    <row r="9" spans="1:11" s="25" customFormat="1" ht="15" customHeight="1" x14ac:dyDescent="0.25">
      <c r="A9" s="72"/>
      <c r="B9" s="22">
        <v>500</v>
      </c>
      <c r="C9" s="23">
        <v>1.6493488182013304E-2</v>
      </c>
      <c r="D9" s="23">
        <v>4.9410057705164077E-4</v>
      </c>
      <c r="E9" s="23">
        <v>0.50757511605008721</v>
      </c>
      <c r="F9" s="23">
        <v>0.12597072839531243</v>
      </c>
      <c r="G9" s="23">
        <v>4.4813003055424828E-2</v>
      </c>
      <c r="H9" s="23">
        <v>50.339707371204433</v>
      </c>
      <c r="I9" s="23">
        <v>4.0434057363924357E-3</v>
      </c>
      <c r="J9" s="24"/>
      <c r="K9" s="24"/>
    </row>
    <row r="10" spans="1:11" s="25" customFormat="1" ht="15" customHeight="1" x14ac:dyDescent="0.25">
      <c r="A10" s="26" t="s">
        <v>53</v>
      </c>
      <c r="B10" s="27"/>
      <c r="C10" s="28">
        <v>1.5679217258560096E-2</v>
      </c>
      <c r="D10" s="28">
        <v>2.7344430397525926E-4</v>
      </c>
      <c r="E10" s="28">
        <v>0.29166478621703318</v>
      </c>
      <c r="F10" s="28">
        <v>0.11318837071254896</v>
      </c>
      <c r="G10" s="28">
        <v>3.9051256187841339E-2</v>
      </c>
      <c r="H10" s="28">
        <v>24.673479409814476</v>
      </c>
      <c r="I10" s="28">
        <v>3.5235318676344273E-3</v>
      </c>
      <c r="J10" s="24"/>
      <c r="K10" s="24"/>
    </row>
    <row r="11" spans="1:11" s="29" customFormat="1" ht="15" customHeight="1" x14ac:dyDescent="0.25">
      <c r="A11" s="70" t="s">
        <v>54</v>
      </c>
      <c r="B11" s="22">
        <v>25</v>
      </c>
      <c r="C11" s="23">
        <v>4.2993799041926711E-3</v>
      </c>
      <c r="D11" s="23">
        <v>9.1296592193091332E-5</v>
      </c>
      <c r="E11" s="23">
        <v>6.5440289132956825E-2</v>
      </c>
      <c r="F11" s="23">
        <v>3.3633509942077471E-2</v>
      </c>
      <c r="G11" s="23">
        <v>1.1508485911818236E-2</v>
      </c>
      <c r="H11" s="23">
        <v>7.1954483850413915</v>
      </c>
      <c r="I11" s="23">
        <v>1.0383921111938525E-3</v>
      </c>
      <c r="K11" s="30"/>
    </row>
    <row r="12" spans="1:11" s="29" customFormat="1" ht="15" customHeight="1" x14ac:dyDescent="0.25">
      <c r="A12" s="71"/>
      <c r="B12" s="22">
        <v>50</v>
      </c>
      <c r="C12" s="23">
        <v>1.7631358511479581E-2</v>
      </c>
      <c r="D12" s="23">
        <v>1.7794975038828265E-4</v>
      </c>
      <c r="E12" s="23">
        <v>0.14903238250667758</v>
      </c>
      <c r="F12" s="23">
        <v>0.18074283872717251</v>
      </c>
      <c r="G12" s="23">
        <v>7.6387016452257483E-2</v>
      </c>
      <c r="H12" s="23">
        <v>13.76520334369236</v>
      </c>
      <c r="I12" s="23">
        <v>6.8922783063073137E-3</v>
      </c>
      <c r="K12" s="30"/>
    </row>
    <row r="13" spans="1:11" s="29" customFormat="1" ht="15" customHeight="1" x14ac:dyDescent="0.25">
      <c r="A13" s="71"/>
      <c r="B13" s="22">
        <v>120</v>
      </c>
      <c r="C13" s="23">
        <v>2.8793655488323529E-2</v>
      </c>
      <c r="D13" s="23">
        <v>2.7523798360286437E-4</v>
      </c>
      <c r="E13" s="23">
        <v>0.31658028839538099</v>
      </c>
      <c r="F13" s="23">
        <v>0.1700059255667182</v>
      </c>
      <c r="G13" s="23">
        <v>5.3477532985904644E-2</v>
      </c>
      <c r="H13" s="23">
        <v>23.463418200709462</v>
      </c>
      <c r="I13" s="23">
        <v>4.8251907166579257E-3</v>
      </c>
      <c r="K13" s="30"/>
    </row>
    <row r="14" spans="1:11" s="29" customFormat="1" ht="15" customHeight="1" x14ac:dyDescent="0.25">
      <c r="A14" s="71"/>
      <c r="B14" s="22">
        <v>175</v>
      </c>
      <c r="C14" s="23">
        <v>3.0494186982476291E-2</v>
      </c>
      <c r="D14" s="23">
        <v>5.1744728478251136E-4</v>
      </c>
      <c r="E14" s="23">
        <v>0.54817627070056141</v>
      </c>
      <c r="F14" s="23">
        <v>0.26843458796213893</v>
      </c>
      <c r="G14" s="23">
        <v>6.8627539491954881E-2</v>
      </c>
      <c r="H14" s="23">
        <v>45.988295551139728</v>
      </c>
      <c r="I14" s="23">
        <v>6.1921516315141352E-3</v>
      </c>
      <c r="K14" s="30"/>
    </row>
    <row r="15" spans="1:11" s="29" customFormat="1" ht="15" customHeight="1" x14ac:dyDescent="0.25">
      <c r="A15" s="71"/>
      <c r="B15" s="22">
        <v>250</v>
      </c>
      <c r="C15" s="23">
        <v>2.9155253425145213E-2</v>
      </c>
      <c r="D15" s="23">
        <v>8.7649223561064675E-4</v>
      </c>
      <c r="E15" s="23">
        <v>0.87589188757724734</v>
      </c>
      <c r="F15" s="23">
        <v>0.21389105427558991</v>
      </c>
      <c r="G15" s="23">
        <v>7.7732208449766999E-2</v>
      </c>
      <c r="H15" s="23">
        <v>77.8985510740942</v>
      </c>
      <c r="I15" s="23">
        <v>7.0136532927874019E-3</v>
      </c>
      <c r="K15" s="30"/>
    </row>
    <row r="16" spans="1:11" s="29" customFormat="1" ht="15" customHeight="1" x14ac:dyDescent="0.25">
      <c r="A16" s="71"/>
      <c r="B16" s="22">
        <v>500</v>
      </c>
      <c r="C16" s="23">
        <v>5.3371339046329104E-2</v>
      </c>
      <c r="D16" s="23">
        <v>1.7600242801699612E-3</v>
      </c>
      <c r="E16" s="23">
        <v>1.5318509433408045</v>
      </c>
      <c r="F16" s="23">
        <v>0.4661958986283859</v>
      </c>
      <c r="G16" s="23">
        <v>0.13941748462093068</v>
      </c>
      <c r="H16" s="23">
        <v>156.42277258813226</v>
      </c>
      <c r="I16" s="23">
        <v>1.2579415973929685E-2</v>
      </c>
      <c r="K16" s="30"/>
    </row>
    <row r="17" spans="1:11" s="29" customFormat="1" ht="15" customHeight="1" x14ac:dyDescent="0.25">
      <c r="A17" s="72"/>
      <c r="B17" s="22">
        <v>750</v>
      </c>
      <c r="C17" s="23">
        <v>8.1348675299048601E-2</v>
      </c>
      <c r="D17" s="23">
        <v>2.6400371913497286E-3</v>
      </c>
      <c r="E17" s="23">
        <v>2.3755791915327618</v>
      </c>
      <c r="F17" s="23">
        <v>0.69718176828863765</v>
      </c>
      <c r="G17" s="23">
        <v>0.21267820994758979</v>
      </c>
      <c r="H17" s="23">
        <v>234.6341911864601</v>
      </c>
      <c r="I17" s="23">
        <v>1.91896162755213E-2</v>
      </c>
      <c r="K17" s="30"/>
    </row>
    <row r="18" spans="1:11" s="25" customFormat="1" ht="15" customHeight="1" x14ac:dyDescent="0.25">
      <c r="A18" s="26" t="s">
        <v>55</v>
      </c>
      <c r="B18" s="27"/>
      <c r="C18" s="28">
        <v>2.8996078341795493E-2</v>
      </c>
      <c r="D18" s="28">
        <v>3.515987480772005E-4</v>
      </c>
      <c r="E18" s="28">
        <v>0.3766332548797291</v>
      </c>
      <c r="F18" s="28">
        <v>0.18787720505264702</v>
      </c>
      <c r="G18" s="28">
        <v>5.9282560995325584E-2</v>
      </c>
      <c r="H18" s="28">
        <v>30.303135615705571</v>
      </c>
      <c r="I18" s="28">
        <v>5.3489693010124002E-3</v>
      </c>
      <c r="J18" s="24"/>
      <c r="K18" s="24"/>
    </row>
    <row r="20" spans="1:11" ht="15" customHeight="1" x14ac:dyDescent="0.25">
      <c r="F20" s="31"/>
    </row>
    <row r="21" spans="1:11" x14ac:dyDescent="0.25">
      <c r="A21" s="73" t="s">
        <v>44</v>
      </c>
      <c r="B21" s="76"/>
      <c r="C21" s="76"/>
      <c r="D21" s="76"/>
      <c r="E21" s="76"/>
      <c r="F21" s="76"/>
    </row>
    <row r="22" spans="1:11" x14ac:dyDescent="0.25">
      <c r="A22" s="74"/>
      <c r="B22" s="77"/>
      <c r="C22" s="77"/>
      <c r="D22" s="77"/>
      <c r="E22" s="77"/>
      <c r="F22" s="77"/>
    </row>
    <row r="23" spans="1:11" x14ac:dyDescent="0.25">
      <c r="A23" s="74"/>
      <c r="B23" s="77"/>
      <c r="C23" s="77"/>
      <c r="D23" s="77"/>
      <c r="E23" s="77"/>
      <c r="F23" s="77"/>
    </row>
    <row r="24" spans="1:11" x14ac:dyDescent="0.25">
      <c r="A24" s="74"/>
      <c r="B24" s="78" t="s">
        <v>56</v>
      </c>
      <c r="C24" s="78"/>
      <c r="D24" s="78"/>
      <c r="E24" s="78"/>
      <c r="F24" s="78"/>
    </row>
    <row r="25" spans="1:11" x14ac:dyDescent="0.25">
      <c r="A25" s="74"/>
      <c r="B25" s="79"/>
      <c r="C25" s="79"/>
      <c r="D25" s="79"/>
      <c r="E25" s="79"/>
      <c r="F25" s="79"/>
    </row>
    <row r="26" spans="1:11" x14ac:dyDescent="0.25">
      <c r="A26" s="74"/>
      <c r="B26" s="79"/>
      <c r="C26" s="79"/>
      <c r="D26" s="79"/>
      <c r="E26" s="79"/>
      <c r="F26" s="79"/>
    </row>
    <row r="27" spans="1:11" x14ac:dyDescent="0.25">
      <c r="A27" s="75"/>
      <c r="B27" s="80"/>
      <c r="C27" s="80"/>
      <c r="D27" s="80"/>
      <c r="E27" s="80"/>
      <c r="F27" s="80"/>
    </row>
    <row r="28" spans="1:11" x14ac:dyDescent="0.25">
      <c r="A28" s="32"/>
      <c r="B28" s="32"/>
      <c r="C28" s="32"/>
      <c r="D28" s="32"/>
      <c r="E28" s="32"/>
      <c r="F28" s="32"/>
    </row>
    <row r="29" spans="1:11" x14ac:dyDescent="0.25">
      <c r="A29" s="1" t="s">
        <v>87</v>
      </c>
      <c r="B29" s="32"/>
      <c r="C29" s="32"/>
      <c r="D29" s="32"/>
      <c r="E29" s="32"/>
      <c r="F29" s="32"/>
    </row>
    <row r="30" spans="1:11" x14ac:dyDescent="0.25">
      <c r="A30" s="1" t="s">
        <v>57</v>
      </c>
      <c r="B30" s="32"/>
      <c r="C30" s="32"/>
      <c r="D30" s="32"/>
      <c r="E30" s="32"/>
      <c r="F30" s="32"/>
    </row>
  </sheetData>
  <sheetProtection algorithmName="SHA-512" hashValue="nTOT7YtQYMGj4vVS9A2Beid1z4tOl4/2Ikcu52ECjv0PBYzDnvWaSqbsgMeF+rZidUJSA5nhUNHgOoNOcd0QLg==" saltValue="aiBh/nEfvoxT5SaBiF5WzQ==" spinCount="100000" sheet="1" objects="1" scenarios="1"/>
  <mergeCells count="7">
    <mergeCell ref="A11:A17"/>
    <mergeCell ref="A21:A27"/>
    <mergeCell ref="B21:F23"/>
    <mergeCell ref="B24:F27"/>
    <mergeCell ref="A3:A4"/>
    <mergeCell ref="B3:I3"/>
    <mergeCell ref="A5:A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"/>
  <sheetViews>
    <sheetView workbookViewId="0">
      <selection activeCell="A2" sqref="A2:C2"/>
    </sheetView>
  </sheetViews>
  <sheetFormatPr defaultRowHeight="15" x14ac:dyDescent="0.25"/>
  <cols>
    <col min="1" max="3" width="24.5703125" customWidth="1"/>
  </cols>
  <sheetData>
    <row r="1" spans="1:4" x14ac:dyDescent="0.25">
      <c r="A1" s="1" t="s">
        <v>86</v>
      </c>
    </row>
    <row r="2" spans="1:4" x14ac:dyDescent="0.25">
      <c r="A2" s="86" t="s">
        <v>78</v>
      </c>
      <c r="B2" s="87"/>
      <c r="C2" s="88"/>
    </row>
    <row r="3" spans="1:4" x14ac:dyDescent="0.25">
      <c r="A3" s="6" t="s">
        <v>34</v>
      </c>
      <c r="B3" s="6" t="s">
        <v>35</v>
      </c>
      <c r="C3" s="6" t="s">
        <v>36</v>
      </c>
      <c r="D3" s="3"/>
    </row>
    <row r="4" spans="1:4" x14ac:dyDescent="0.25">
      <c r="A4" s="7">
        <v>0.74</v>
      </c>
      <c r="B4" s="7">
        <v>0.35</v>
      </c>
      <c r="C4" s="7">
        <v>5.2999999999999999E-2</v>
      </c>
      <c r="D4" s="8"/>
    </row>
    <row r="5" spans="1:4" x14ac:dyDescent="0.25">
      <c r="A5" s="42"/>
      <c r="B5" s="43"/>
      <c r="C5" s="42"/>
      <c r="D5" s="43"/>
    </row>
    <row r="7" spans="1:4" x14ac:dyDescent="0.25">
      <c r="A7" s="107" t="s">
        <v>44</v>
      </c>
      <c r="B7" s="89"/>
      <c r="C7" s="90"/>
      <c r="D7" s="91"/>
    </row>
    <row r="8" spans="1:4" x14ac:dyDescent="0.25">
      <c r="A8" s="107"/>
      <c r="B8" s="92"/>
      <c r="C8" s="93"/>
      <c r="D8" s="94"/>
    </row>
    <row r="9" spans="1:4" x14ac:dyDescent="0.25">
      <c r="A9" s="107"/>
      <c r="B9" s="92"/>
      <c r="C9" s="93"/>
      <c r="D9" s="94"/>
    </row>
    <row r="10" spans="1:4" x14ac:dyDescent="0.25">
      <c r="A10" s="107"/>
      <c r="B10" s="92"/>
      <c r="C10" s="93"/>
      <c r="D10" s="94"/>
    </row>
    <row r="11" spans="1:4" x14ac:dyDescent="0.25">
      <c r="A11" s="107"/>
      <c r="B11" s="95"/>
      <c r="C11" s="96"/>
      <c r="D11" s="97"/>
    </row>
    <row r="12" spans="1:4" x14ac:dyDescent="0.25">
      <c r="A12" s="107"/>
      <c r="B12" s="98" t="s">
        <v>45</v>
      </c>
      <c r="C12" s="99"/>
      <c r="D12" s="100"/>
    </row>
    <row r="13" spans="1:4" x14ac:dyDescent="0.25">
      <c r="A13" s="107"/>
      <c r="B13" s="101"/>
      <c r="C13" s="102"/>
      <c r="D13" s="103"/>
    </row>
    <row r="14" spans="1:4" x14ac:dyDescent="0.25">
      <c r="A14" s="107"/>
      <c r="B14" s="101"/>
      <c r="C14" s="102"/>
      <c r="D14" s="103"/>
    </row>
    <row r="15" spans="1:4" x14ac:dyDescent="0.25">
      <c r="A15" s="107"/>
      <c r="B15" s="101"/>
      <c r="C15" s="102"/>
      <c r="D15" s="103"/>
    </row>
    <row r="16" spans="1:4" x14ac:dyDescent="0.25">
      <c r="A16" s="107"/>
      <c r="B16" s="104"/>
      <c r="C16" s="105"/>
      <c r="D16" s="106"/>
    </row>
  </sheetData>
  <sheetProtection algorithmName="SHA-512" hashValue="hRvEop9rIBVDTB+B2iQCqFJQQ4aGa2IQTOvJGgs6sLO1HXrYKA1u/ySXZIMNpHV0R91fEMGlBVBjMy32v4edyg==" saltValue="8jYzgdDFxzYb9SH5Niy2Zw==" spinCount="100000" sheet="1" objects="1" scenarios="1"/>
  <mergeCells count="4">
    <mergeCell ref="A2:C2"/>
    <mergeCell ref="B7:D11"/>
    <mergeCell ref="B12:D16"/>
    <mergeCell ref="A7:A1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G28" sqref="G28"/>
    </sheetView>
  </sheetViews>
  <sheetFormatPr defaultRowHeight="15" customHeight="1" x14ac:dyDescent="0.25"/>
  <cols>
    <col min="1" max="1" width="22.42578125" style="1" bestFit="1" customWidth="1"/>
    <col min="2" max="2" width="17.5703125" style="1" bestFit="1" customWidth="1"/>
    <col min="3" max="3" width="9.140625" style="1"/>
    <col min="4" max="4" width="13.140625" style="1" customWidth="1"/>
    <col min="5" max="16384" width="9.140625" style="1"/>
  </cols>
  <sheetData>
    <row r="1" spans="1:3" ht="15" customHeight="1" x14ac:dyDescent="0.25">
      <c r="A1" s="1" t="s">
        <v>84</v>
      </c>
    </row>
    <row r="3" spans="1:3" ht="15" customHeight="1" x14ac:dyDescent="0.25">
      <c r="A3" s="57" t="s">
        <v>31</v>
      </c>
      <c r="B3" s="56">
        <v>267254</v>
      </c>
      <c r="C3" s="53"/>
    </row>
    <row r="4" spans="1:3" ht="15" customHeight="1" x14ac:dyDescent="0.25">
      <c r="A4" s="53"/>
      <c r="B4" s="53"/>
      <c r="C4" s="53"/>
    </row>
    <row r="5" spans="1:3" ht="15" customHeight="1" x14ac:dyDescent="0.25">
      <c r="A5" s="57" t="s">
        <v>0</v>
      </c>
      <c r="B5" s="57" t="s">
        <v>1</v>
      </c>
      <c r="C5" s="53"/>
    </row>
    <row r="6" spans="1:3" ht="15" customHeight="1" x14ac:dyDescent="0.25">
      <c r="A6" s="54" t="s">
        <v>2</v>
      </c>
      <c r="B6" s="55">
        <v>5301.57</v>
      </c>
      <c r="C6" s="53"/>
    </row>
    <row r="7" spans="1:3" ht="15" customHeight="1" x14ac:dyDescent="0.25">
      <c r="A7" s="54" t="s">
        <v>3</v>
      </c>
      <c r="B7" s="55">
        <v>68214.62</v>
      </c>
      <c r="C7" s="53"/>
    </row>
    <row r="8" spans="1:3" ht="15" customHeight="1" x14ac:dyDescent="0.25">
      <c r="A8" s="54" t="s">
        <v>4</v>
      </c>
      <c r="B8" s="55">
        <v>16.96</v>
      </c>
      <c r="C8" s="53"/>
    </row>
    <row r="9" spans="1:3" ht="15" customHeight="1" x14ac:dyDescent="0.25">
      <c r="A9" s="54" t="s">
        <v>5</v>
      </c>
      <c r="B9" s="55">
        <v>8581.26</v>
      </c>
      <c r="C9" s="53"/>
    </row>
    <row r="10" spans="1:3" ht="15" customHeight="1" x14ac:dyDescent="0.25">
      <c r="A10" s="54" t="s">
        <v>6</v>
      </c>
      <c r="B10" s="55">
        <v>2937.57</v>
      </c>
      <c r="C10" s="53"/>
    </row>
    <row r="11" spans="1:3" ht="15" customHeight="1" x14ac:dyDescent="0.25">
      <c r="A11" s="54" t="s">
        <v>7</v>
      </c>
      <c r="B11" s="55">
        <v>11.38</v>
      </c>
      <c r="C11" s="53"/>
    </row>
    <row r="12" spans="1:3" ht="15" customHeight="1" x14ac:dyDescent="0.25">
      <c r="A12" s="54" t="s">
        <v>8</v>
      </c>
      <c r="B12" s="55">
        <v>22083.29</v>
      </c>
      <c r="C12" s="53"/>
    </row>
    <row r="13" spans="1:3" ht="15" customHeight="1" x14ac:dyDescent="0.25">
      <c r="A13" s="54" t="s">
        <v>9</v>
      </c>
      <c r="B13" s="55">
        <v>32.799999999999997</v>
      </c>
      <c r="C13" s="53"/>
    </row>
    <row r="14" spans="1:3" ht="15" customHeight="1" x14ac:dyDescent="0.25">
      <c r="A14" s="54" t="s">
        <v>10</v>
      </c>
      <c r="B14" s="55">
        <v>3318.33</v>
      </c>
      <c r="C14" s="53"/>
    </row>
    <row r="15" spans="1:3" ht="15" customHeight="1" x14ac:dyDescent="0.25">
      <c r="A15" s="54" t="s">
        <v>11</v>
      </c>
      <c r="B15" s="55">
        <v>93.85</v>
      </c>
      <c r="C15" s="53"/>
    </row>
    <row r="16" spans="1:3" ht="15" customHeight="1" x14ac:dyDescent="0.25">
      <c r="A16" s="54" t="s">
        <v>12</v>
      </c>
      <c r="B16" s="55">
        <v>11064.1</v>
      </c>
      <c r="C16" s="53"/>
    </row>
    <row r="17" spans="1:3" ht="15" customHeight="1" x14ac:dyDescent="0.25">
      <c r="A17" s="54" t="s">
        <v>13</v>
      </c>
      <c r="B17" s="55">
        <v>55335.97</v>
      </c>
      <c r="C17" s="53"/>
    </row>
    <row r="18" spans="1:3" ht="15" customHeight="1" x14ac:dyDescent="0.25">
      <c r="A18" s="54" t="s">
        <v>14</v>
      </c>
      <c r="B18" s="55">
        <v>14.35</v>
      </c>
      <c r="C18" s="53"/>
    </row>
    <row r="19" spans="1:3" ht="15" customHeight="1" x14ac:dyDescent="0.25">
      <c r="A19" s="54" t="s">
        <v>15</v>
      </c>
      <c r="B19" s="55">
        <v>48.85</v>
      </c>
      <c r="C19" s="53"/>
    </row>
    <row r="20" spans="1:3" ht="15" customHeight="1" x14ac:dyDescent="0.25">
      <c r="A20" s="54" t="s">
        <v>16</v>
      </c>
      <c r="B20" s="55">
        <v>24805.8</v>
      </c>
      <c r="C20" s="53"/>
    </row>
    <row r="21" spans="1:3" ht="15" customHeight="1" x14ac:dyDescent="0.25">
      <c r="A21" s="54" t="s">
        <v>17</v>
      </c>
      <c r="B21" s="55">
        <v>1067.4100000000001</v>
      </c>
      <c r="C21" s="53"/>
    </row>
    <row r="22" spans="1:3" ht="15" customHeight="1" x14ac:dyDescent="0.25">
      <c r="A22" s="54" t="s">
        <v>18</v>
      </c>
      <c r="B22" s="55">
        <v>64817.42</v>
      </c>
      <c r="C22" s="53"/>
    </row>
    <row r="23" spans="1:3" ht="15" customHeight="1" x14ac:dyDescent="0.25">
      <c r="A23" s="57" t="s">
        <v>19</v>
      </c>
      <c r="B23" s="55">
        <v>267745.53000000003</v>
      </c>
      <c r="C23" s="53"/>
    </row>
    <row r="24" spans="1:3" ht="15" customHeight="1" x14ac:dyDescent="0.25">
      <c r="A24" s="53"/>
      <c r="B24" s="53"/>
      <c r="C24" s="53"/>
    </row>
  </sheetData>
  <sheetProtection algorithmName="SHA-512" hashValue="44tcuLRBRSYiR/rsAfZNgB+Szki75alKmx8hvNhaZ3TgwjNJ3HPvRBx91XmHlW8JTKGvvU9SK8s14HlRDUAqow==" saltValue="ebA+BCnGoW2Tr8IHj07L0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7"/>
  <sheetViews>
    <sheetView workbookViewId="0">
      <selection activeCell="E27" sqref="E27"/>
    </sheetView>
  </sheetViews>
  <sheetFormatPr defaultRowHeight="15" customHeight="1" x14ac:dyDescent="0.25"/>
  <cols>
    <col min="1" max="1" width="19.5703125" style="3" customWidth="1"/>
    <col min="2" max="2" width="13" style="3" customWidth="1"/>
    <col min="3" max="3" width="12.28515625" style="4" customWidth="1"/>
    <col min="4" max="4" width="12.42578125" style="3" customWidth="1"/>
    <col min="5" max="5" width="11" style="3" customWidth="1"/>
    <col min="6" max="6" width="16.42578125" style="3" customWidth="1"/>
    <col min="7" max="7" width="9.140625" style="4"/>
    <col min="8" max="13" width="9.140625" style="3"/>
    <col min="14" max="14" width="14.28515625" style="3" customWidth="1"/>
    <col min="15" max="16" width="13" style="3" customWidth="1"/>
    <col min="17" max="16384" width="9.140625" style="3"/>
  </cols>
  <sheetData>
    <row r="1" spans="1:21" ht="15" customHeight="1" x14ac:dyDescent="0.25">
      <c r="A1" s="3" t="s">
        <v>32</v>
      </c>
      <c r="B1" s="61">
        <f>Dados!B3/8760</f>
        <v>30.508447488584476</v>
      </c>
      <c r="R1"/>
    </row>
    <row r="2" spans="1:21" ht="15" customHeight="1" x14ac:dyDescent="0.25">
      <c r="A2" s="1" t="s">
        <v>33</v>
      </c>
      <c r="B2" s="62">
        <v>4.1937865160171146</v>
      </c>
      <c r="R2"/>
    </row>
    <row r="4" spans="1:21" ht="15" customHeight="1" x14ac:dyDescent="0.25">
      <c r="R4" s="8"/>
      <c r="S4" s="8"/>
    </row>
    <row r="5" spans="1:21" s="8" customFormat="1" ht="15" customHeight="1" x14ac:dyDescent="0.25">
      <c r="A5" s="108" t="s">
        <v>37</v>
      </c>
      <c r="B5" s="109" t="s">
        <v>91</v>
      </c>
      <c r="C5" s="109" t="s">
        <v>92</v>
      </c>
      <c r="D5" s="109" t="s">
        <v>38</v>
      </c>
      <c r="E5" s="109" t="s">
        <v>72</v>
      </c>
      <c r="F5" s="109" t="s">
        <v>79</v>
      </c>
      <c r="G5" s="108" t="s">
        <v>39</v>
      </c>
      <c r="H5" s="108"/>
      <c r="I5" s="108"/>
      <c r="J5" s="108" t="s">
        <v>40</v>
      </c>
      <c r="K5" s="108"/>
      <c r="L5" s="108"/>
      <c r="R5" s="42"/>
    </row>
    <row r="6" spans="1:21" s="8" customFormat="1" ht="15" customHeight="1" x14ac:dyDescent="0.25">
      <c r="A6" s="108"/>
      <c r="B6" s="109"/>
      <c r="C6" s="109"/>
      <c r="D6" s="109"/>
      <c r="E6" s="109"/>
      <c r="F6" s="109"/>
      <c r="G6" s="9" t="s">
        <v>41</v>
      </c>
      <c r="H6" s="9" t="s">
        <v>42</v>
      </c>
      <c r="I6" s="9" t="s">
        <v>43</v>
      </c>
      <c r="J6" s="9" t="s">
        <v>41</v>
      </c>
      <c r="K6" s="9" t="s">
        <v>42</v>
      </c>
      <c r="L6" s="9" t="s">
        <v>43</v>
      </c>
      <c r="R6"/>
      <c r="S6" s="5"/>
      <c r="T6" s="5"/>
      <c r="U6" s="5"/>
    </row>
    <row r="7" spans="1:21" s="5" customFormat="1" ht="15" customHeight="1" x14ac:dyDescent="0.2">
      <c r="A7" s="5" t="s">
        <v>71</v>
      </c>
      <c r="B7" s="10">
        <v>-20.350743000000001</v>
      </c>
      <c r="C7" s="10">
        <v>-40.360258999999999</v>
      </c>
      <c r="D7" s="12">
        <v>0</v>
      </c>
      <c r="E7" s="46">
        <v>3</v>
      </c>
      <c r="F7" s="47">
        <f>Dados!B23/8760</f>
        <v>30.564558219178085</v>
      </c>
      <c r="G7" s="63">
        <f>0.74*(0.0016)*((B2/2.2)^1.3)/((E7/2)^1.4)</f>
        <v>1.5526110379049159E-3</v>
      </c>
      <c r="H7" s="63">
        <f>0.35*(0.0016)*((B2/2.2)^1.3)/((E7/2)^1.4)</f>
        <v>7.3434305846854125E-4</v>
      </c>
      <c r="I7" s="63">
        <f>0.053*(0.0016)*((B2/2.2)^1.3)/((E7/2)^1.4)</f>
        <v>1.1120052028237912E-4</v>
      </c>
      <c r="J7" s="11">
        <f>(F7*G7)*(1-$D$7/100)</f>
        <v>4.7454870459783319E-2</v>
      </c>
      <c r="K7" s="11">
        <f>(F7*H7)*(1-$D$7/100)</f>
        <v>2.2444871163411026E-2</v>
      </c>
      <c r="L7" s="11">
        <f>(F7*I7)*(1-$D$7/100)</f>
        <v>3.3987947761736702E-3</v>
      </c>
      <c r="R7" s="44"/>
    </row>
    <row r="8" spans="1:21" s="5" customFormat="1" ht="15" customHeight="1" x14ac:dyDescent="0.2">
      <c r="A8" s="110" t="s">
        <v>85</v>
      </c>
      <c r="B8" s="111"/>
      <c r="C8" s="111"/>
      <c r="D8" s="111"/>
      <c r="E8" s="111"/>
      <c r="F8" s="111"/>
      <c r="G8" s="111"/>
      <c r="H8" s="111"/>
      <c r="I8" s="112"/>
      <c r="J8" s="64">
        <f>SUM(J7:J7)</f>
        <v>4.7454870459783319E-2</v>
      </c>
      <c r="K8" s="64">
        <f>SUM(K7:K7)</f>
        <v>2.2444871163411026E-2</v>
      </c>
      <c r="L8" s="66">
        <f>SUM(L7:L7)</f>
        <v>3.3987947761736702E-3</v>
      </c>
      <c r="M8" s="65"/>
      <c r="R8" s="44"/>
    </row>
    <row r="9" spans="1:21" s="5" customFormat="1" ht="15" customHeight="1" x14ac:dyDescent="0.2">
      <c r="A9" s="3"/>
      <c r="B9" s="3"/>
      <c r="C9" s="3"/>
      <c r="D9" s="3"/>
      <c r="E9" s="3"/>
      <c r="F9" s="3"/>
      <c r="G9" s="4"/>
      <c r="H9" s="3"/>
      <c r="I9" s="3"/>
      <c r="J9" s="3"/>
      <c r="K9" s="3"/>
      <c r="L9" s="3"/>
      <c r="R9" s="44"/>
      <c r="S9" s="3"/>
      <c r="T9" s="3"/>
      <c r="U9" s="3"/>
    </row>
    <row r="10" spans="1:21" ht="15" customHeight="1" x14ac:dyDescent="0.2">
      <c r="R10" s="44"/>
    </row>
    <row r="11" spans="1:21" ht="15" customHeight="1" x14ac:dyDescent="0.2">
      <c r="R11" s="44"/>
    </row>
    <row r="12" spans="1:21" ht="15" customHeight="1" x14ac:dyDescent="0.25">
      <c r="R12" s="45"/>
    </row>
    <row r="13" spans="1:21" ht="15" customHeight="1" x14ac:dyDescent="0.25">
      <c r="A13" s="1"/>
      <c r="R13" s="45"/>
    </row>
    <row r="14" spans="1:21" ht="15" customHeight="1" x14ac:dyDescent="0.25">
      <c r="A14" s="13"/>
      <c r="B14" s="14"/>
      <c r="C14" s="14"/>
      <c r="D14" s="14"/>
      <c r="E14" s="41"/>
      <c r="R14" s="45"/>
    </row>
    <row r="15" spans="1:21" ht="15" customHeight="1" x14ac:dyDescent="0.25">
      <c r="R15" s="45"/>
    </row>
    <row r="16" spans="1:21" ht="15" customHeight="1" x14ac:dyDescent="0.25">
      <c r="R16" s="45"/>
    </row>
    <row r="28" spans="6:6" ht="15" customHeight="1" x14ac:dyDescent="0.25">
      <c r="F28" s="1"/>
    </row>
    <row r="37" spans="1:1" ht="15" customHeight="1" x14ac:dyDescent="0.25">
      <c r="A37" s="15"/>
    </row>
  </sheetData>
  <sheetProtection algorithmName="SHA-512" hashValue="3F8j6Azh08/sJ0u2/PtpEF44a6fwfwWNzSSSBe22KOBTHFlroiwYb39CrPIGTWMEhT/maarTdhakUPLA19gh9Q==" saltValue="V3SnvzfBu+GVS/SUqlzmnQ==" spinCount="100000" sheet="1" objects="1" scenarios="1"/>
  <mergeCells count="9">
    <mergeCell ref="J5:L5"/>
    <mergeCell ref="B5:B6"/>
    <mergeCell ref="C5:C6"/>
    <mergeCell ref="A8:I8"/>
    <mergeCell ref="G5:I5"/>
    <mergeCell ref="E5:E6"/>
    <mergeCell ref="A5:A6"/>
    <mergeCell ref="D5:D6"/>
    <mergeCell ref="F5:F6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"/>
  <sheetViews>
    <sheetView workbookViewId="0">
      <selection activeCell="H30" sqref="H30"/>
    </sheetView>
  </sheetViews>
  <sheetFormatPr defaultRowHeight="15" customHeight="1" x14ac:dyDescent="0.25"/>
  <cols>
    <col min="1" max="1" width="24.5703125" style="1" customWidth="1"/>
    <col min="2" max="2" width="13.140625" style="1" customWidth="1"/>
    <col min="3" max="3" width="10.7109375" style="1" customWidth="1"/>
    <col min="4" max="4" width="13.28515625" style="1" customWidth="1"/>
    <col min="5" max="5" width="10.7109375" style="1" customWidth="1"/>
    <col min="6" max="6" width="16.42578125" style="1" customWidth="1"/>
    <col min="7" max="7" width="15.85546875" style="1" customWidth="1"/>
    <col min="8" max="8" width="16.7109375" style="1" customWidth="1"/>
    <col min="9" max="9" width="25.5703125" style="1" bestFit="1" customWidth="1"/>
    <col min="10" max="14" width="10.28515625" style="1" customWidth="1"/>
    <col min="15" max="21" width="9.85546875" style="1" customWidth="1"/>
    <col min="22" max="16384" width="9.140625" style="1"/>
  </cols>
  <sheetData>
    <row r="1" spans="1:24" ht="15" customHeight="1" x14ac:dyDescent="0.25">
      <c r="A1" s="119" t="s">
        <v>20</v>
      </c>
      <c r="B1" s="119" t="s">
        <v>21</v>
      </c>
      <c r="C1" s="119" t="s">
        <v>22</v>
      </c>
      <c r="D1" s="119" t="s">
        <v>58</v>
      </c>
      <c r="E1" s="119" t="s">
        <v>59</v>
      </c>
      <c r="F1" s="119" t="s">
        <v>23</v>
      </c>
      <c r="G1" s="119" t="s">
        <v>90</v>
      </c>
      <c r="H1" s="119" t="s">
        <v>65</v>
      </c>
      <c r="I1" s="121" t="s">
        <v>60</v>
      </c>
      <c r="J1" s="119" t="s">
        <v>48</v>
      </c>
      <c r="K1" s="119"/>
      <c r="L1" s="119"/>
      <c r="M1" s="119"/>
      <c r="N1" s="119"/>
      <c r="O1" s="113" t="s">
        <v>40</v>
      </c>
      <c r="P1" s="114"/>
      <c r="Q1" s="114"/>
      <c r="R1" s="114"/>
      <c r="S1" s="114"/>
      <c r="T1" s="114"/>
      <c r="U1" s="115"/>
    </row>
    <row r="2" spans="1:24" ht="15" customHeight="1" x14ac:dyDescent="0.25">
      <c r="A2" s="120"/>
      <c r="B2" s="120"/>
      <c r="C2" s="120"/>
      <c r="D2" s="120"/>
      <c r="E2" s="120"/>
      <c r="F2" s="120"/>
      <c r="G2" s="120"/>
      <c r="H2" s="120"/>
      <c r="I2" s="121"/>
      <c r="J2" s="69" t="s">
        <v>41</v>
      </c>
      <c r="K2" s="69" t="s">
        <v>62</v>
      </c>
      <c r="L2" s="69" t="s">
        <v>61</v>
      </c>
      <c r="M2" s="69" t="s">
        <v>50</v>
      </c>
      <c r="N2" s="69" t="s">
        <v>88</v>
      </c>
      <c r="O2" s="69" t="s">
        <v>41</v>
      </c>
      <c r="P2" s="69" t="s">
        <v>42</v>
      </c>
      <c r="Q2" s="69" t="s">
        <v>80</v>
      </c>
      <c r="R2" s="69" t="s">
        <v>62</v>
      </c>
      <c r="S2" s="69" t="s">
        <v>61</v>
      </c>
      <c r="T2" s="69" t="s">
        <v>50</v>
      </c>
      <c r="U2" s="69" t="s">
        <v>88</v>
      </c>
    </row>
    <row r="3" spans="1:24" s="33" customFormat="1" ht="15" customHeight="1" x14ac:dyDescent="0.25">
      <c r="A3" s="34" t="s">
        <v>24</v>
      </c>
      <c r="B3" s="34" t="s">
        <v>25</v>
      </c>
      <c r="C3" s="35">
        <v>1</v>
      </c>
      <c r="D3" s="35" t="s">
        <v>66</v>
      </c>
      <c r="E3" s="39">
        <v>156</v>
      </c>
      <c r="F3" s="39">
        <v>16740</v>
      </c>
      <c r="G3" s="48">
        <v>10</v>
      </c>
      <c r="H3" s="35">
        <v>81.13</v>
      </c>
      <c r="I3" s="37" t="s">
        <v>64</v>
      </c>
      <c r="J3" s="38">
        <f>'FE-Maq e Equip'!C14</f>
        <v>3.0494186982476291E-2</v>
      </c>
      <c r="K3" s="38">
        <f>'FE-Maq e Equip'!D14</f>
        <v>5.1744728478251136E-4</v>
      </c>
      <c r="L3" s="38">
        <f>'FE-Maq e Equip'!E14</f>
        <v>0.54817627070056141</v>
      </c>
      <c r="M3" s="38">
        <f>'FE-Maq e Equip'!F14</f>
        <v>0.26843458796213893</v>
      </c>
      <c r="N3" s="38">
        <f>'FE-Maq e Equip'!G14</f>
        <v>6.8627539491954881E-2</v>
      </c>
      <c r="O3" s="67">
        <f>J3*C3*(G3/24)</f>
        <v>1.2705911242698455E-2</v>
      </c>
      <c r="P3" s="67">
        <f>O3</f>
        <v>1.2705911242698455E-2</v>
      </c>
      <c r="Q3" s="67">
        <f>P3</f>
        <v>1.2705911242698455E-2</v>
      </c>
      <c r="R3" s="67">
        <f t="shared" ref="R3:R10" si="0">L3*$C3*($G3/24)</f>
        <v>0.22840677945856727</v>
      </c>
      <c r="S3" s="67">
        <f>K3*$C3*($G3/24)</f>
        <v>2.156030353260464E-4</v>
      </c>
      <c r="T3" s="67">
        <f t="shared" ref="T3:U10" si="1">M3*$C3*($G3/24)</f>
        <v>0.11184774498422456</v>
      </c>
      <c r="U3" s="67">
        <f t="shared" si="1"/>
        <v>2.8594808121647868E-2</v>
      </c>
    </row>
    <row r="4" spans="1:24" s="33" customFormat="1" ht="15" customHeight="1" x14ac:dyDescent="0.25">
      <c r="A4" s="34" t="s">
        <v>24</v>
      </c>
      <c r="B4" s="34" t="s">
        <v>25</v>
      </c>
      <c r="C4" s="35">
        <v>1</v>
      </c>
      <c r="D4" s="35" t="s">
        <v>66</v>
      </c>
      <c r="E4" s="39">
        <v>156</v>
      </c>
      <c r="F4" s="39">
        <v>16114</v>
      </c>
      <c r="G4" s="48">
        <v>10</v>
      </c>
      <c r="H4" s="35">
        <v>78.900000000000006</v>
      </c>
      <c r="I4" s="37" t="s">
        <v>64</v>
      </c>
      <c r="J4" s="38">
        <f>'FE-Maq e Equip'!C14</f>
        <v>3.0494186982476291E-2</v>
      </c>
      <c r="K4" s="38">
        <f>'FE-Maq e Equip'!D14</f>
        <v>5.1744728478251136E-4</v>
      </c>
      <c r="L4" s="38">
        <f>'FE-Maq e Equip'!E14</f>
        <v>0.54817627070056141</v>
      </c>
      <c r="M4" s="38">
        <f>'FE-Maq e Equip'!F14</f>
        <v>0.26843458796213893</v>
      </c>
      <c r="N4" s="38">
        <f>'FE-Maq e Equip'!G14</f>
        <v>6.8627539491954881E-2</v>
      </c>
      <c r="O4" s="67">
        <f t="shared" ref="O4:O10" si="2">J4*C4*(G4/24)</f>
        <v>1.2705911242698455E-2</v>
      </c>
      <c r="P4" s="67">
        <f>O4</f>
        <v>1.2705911242698455E-2</v>
      </c>
      <c r="Q4" s="67">
        <f>P4</f>
        <v>1.2705911242698455E-2</v>
      </c>
      <c r="R4" s="67">
        <f t="shared" si="0"/>
        <v>0.22840677945856727</v>
      </c>
      <c r="S4" s="67">
        <f t="shared" ref="S4:S10" si="3">K4*$C4*($G4/24)</f>
        <v>2.156030353260464E-4</v>
      </c>
      <c r="T4" s="67">
        <f t="shared" si="1"/>
        <v>0.11184774498422456</v>
      </c>
      <c r="U4" s="67">
        <f t="shared" si="1"/>
        <v>2.8594808121647868E-2</v>
      </c>
    </row>
    <row r="5" spans="1:24" s="33" customFormat="1" ht="15" customHeight="1" x14ac:dyDescent="0.25">
      <c r="A5" s="34" t="s">
        <v>24</v>
      </c>
      <c r="B5" s="34" t="s">
        <v>25</v>
      </c>
      <c r="C5" s="35">
        <v>1</v>
      </c>
      <c r="D5" s="35" t="s">
        <v>66</v>
      </c>
      <c r="E5" s="39">
        <v>156</v>
      </c>
      <c r="F5" s="39">
        <v>13548</v>
      </c>
      <c r="G5" s="48">
        <v>10</v>
      </c>
      <c r="H5" s="35">
        <v>80.5</v>
      </c>
      <c r="I5" s="37" t="s">
        <v>64</v>
      </c>
      <c r="J5" s="38">
        <f>'FE-Maq e Equip'!C14</f>
        <v>3.0494186982476291E-2</v>
      </c>
      <c r="K5" s="38">
        <f>'FE-Maq e Equip'!D14</f>
        <v>5.1744728478251136E-4</v>
      </c>
      <c r="L5" s="38">
        <f>'FE-Maq e Equip'!E14</f>
        <v>0.54817627070056141</v>
      </c>
      <c r="M5" s="38">
        <f>'FE-Maq e Equip'!F14</f>
        <v>0.26843458796213893</v>
      </c>
      <c r="N5" s="38">
        <f>'FE-Maq e Equip'!G14</f>
        <v>6.8627539491954881E-2</v>
      </c>
      <c r="O5" s="67">
        <f t="shared" si="2"/>
        <v>1.2705911242698455E-2</v>
      </c>
      <c r="P5" s="67">
        <f t="shared" ref="P5:Q6" si="4">O5</f>
        <v>1.2705911242698455E-2</v>
      </c>
      <c r="Q5" s="67">
        <f t="shared" si="4"/>
        <v>1.2705911242698455E-2</v>
      </c>
      <c r="R5" s="67">
        <f t="shared" si="0"/>
        <v>0.22840677945856727</v>
      </c>
      <c r="S5" s="67">
        <f t="shared" si="3"/>
        <v>2.156030353260464E-4</v>
      </c>
      <c r="T5" s="67">
        <f t="shared" si="1"/>
        <v>0.11184774498422456</v>
      </c>
      <c r="U5" s="67">
        <f t="shared" si="1"/>
        <v>2.8594808121647868E-2</v>
      </c>
    </row>
    <row r="6" spans="1:24" s="5" customFormat="1" ht="15" customHeight="1" x14ac:dyDescent="0.25">
      <c r="A6" s="34" t="s">
        <v>24</v>
      </c>
      <c r="B6" s="34" t="s">
        <v>26</v>
      </c>
      <c r="C6" s="35">
        <v>1</v>
      </c>
      <c r="D6" s="35" t="s">
        <v>67</v>
      </c>
      <c r="E6" s="39">
        <v>137</v>
      </c>
      <c r="F6" s="39">
        <v>2480</v>
      </c>
      <c r="G6" s="48">
        <v>10</v>
      </c>
      <c r="H6" s="35">
        <v>100.95</v>
      </c>
      <c r="I6" s="37" t="s">
        <v>64</v>
      </c>
      <c r="J6" s="38">
        <f>'FE-Maq e Equip'!C14</f>
        <v>3.0494186982476291E-2</v>
      </c>
      <c r="K6" s="38">
        <f>'FE-Maq e Equip'!D14</f>
        <v>5.1744728478251136E-4</v>
      </c>
      <c r="L6" s="38">
        <f>'FE-Maq e Equip'!E14</f>
        <v>0.54817627070056141</v>
      </c>
      <c r="M6" s="38">
        <f>'FE-Maq e Equip'!F14</f>
        <v>0.26843458796213893</v>
      </c>
      <c r="N6" s="38">
        <f>'FE-Maq e Equip'!G14</f>
        <v>6.8627539491954881E-2</v>
      </c>
      <c r="O6" s="67">
        <f t="shared" si="2"/>
        <v>1.2705911242698455E-2</v>
      </c>
      <c r="P6" s="67">
        <f t="shared" si="4"/>
        <v>1.2705911242698455E-2</v>
      </c>
      <c r="Q6" s="67">
        <f t="shared" si="4"/>
        <v>1.2705911242698455E-2</v>
      </c>
      <c r="R6" s="67">
        <f t="shared" si="0"/>
        <v>0.22840677945856727</v>
      </c>
      <c r="S6" s="67">
        <f t="shared" si="3"/>
        <v>2.156030353260464E-4</v>
      </c>
      <c r="T6" s="67">
        <f t="shared" si="1"/>
        <v>0.11184774498422456</v>
      </c>
      <c r="U6" s="67">
        <f t="shared" si="1"/>
        <v>2.8594808121647868E-2</v>
      </c>
    </row>
    <row r="7" spans="1:24" s="5" customFormat="1" ht="15" customHeight="1" x14ac:dyDescent="0.25">
      <c r="A7" s="34" t="s">
        <v>24</v>
      </c>
      <c r="B7" s="34" t="s">
        <v>26</v>
      </c>
      <c r="C7" s="35">
        <v>1</v>
      </c>
      <c r="D7" s="35" t="s">
        <v>67</v>
      </c>
      <c r="E7" s="39">
        <v>137</v>
      </c>
      <c r="F7" s="39">
        <v>5298</v>
      </c>
      <c r="G7" s="48">
        <v>10</v>
      </c>
      <c r="H7" s="35">
        <v>65.709999999999994</v>
      </c>
      <c r="I7" s="37" t="s">
        <v>64</v>
      </c>
      <c r="J7" s="38">
        <f>'FE-Maq e Equip'!C14</f>
        <v>3.0494186982476291E-2</v>
      </c>
      <c r="K7" s="38">
        <f>'FE-Maq e Equip'!D14</f>
        <v>5.1744728478251136E-4</v>
      </c>
      <c r="L7" s="38">
        <f>'FE-Maq e Equip'!E14</f>
        <v>0.54817627070056141</v>
      </c>
      <c r="M7" s="38">
        <f>'FE-Maq e Equip'!F14</f>
        <v>0.26843458796213893</v>
      </c>
      <c r="N7" s="38">
        <f>'FE-Maq e Equip'!G14</f>
        <v>6.8627539491954881E-2</v>
      </c>
      <c r="O7" s="67">
        <f t="shared" si="2"/>
        <v>1.2705911242698455E-2</v>
      </c>
      <c r="P7" s="67">
        <f>O7</f>
        <v>1.2705911242698455E-2</v>
      </c>
      <c r="Q7" s="67">
        <f>P7</f>
        <v>1.2705911242698455E-2</v>
      </c>
      <c r="R7" s="67">
        <f t="shared" si="0"/>
        <v>0.22840677945856727</v>
      </c>
      <c r="S7" s="67">
        <f>K7*$C7*($G7/24)</f>
        <v>2.156030353260464E-4</v>
      </c>
      <c r="T7" s="67">
        <f t="shared" si="1"/>
        <v>0.11184774498422456</v>
      </c>
      <c r="U7" s="67">
        <f t="shared" si="1"/>
        <v>2.8594808121647868E-2</v>
      </c>
    </row>
    <row r="8" spans="1:24" s="33" customFormat="1" ht="15" customHeight="1" x14ac:dyDescent="0.25">
      <c r="A8" s="34" t="s">
        <v>29</v>
      </c>
      <c r="B8" s="34" t="s">
        <v>30</v>
      </c>
      <c r="C8" s="35">
        <v>1</v>
      </c>
      <c r="D8" s="35" t="s">
        <v>69</v>
      </c>
      <c r="E8" s="39">
        <v>60</v>
      </c>
      <c r="F8" s="39">
        <v>729</v>
      </c>
      <c r="G8" s="48">
        <v>10</v>
      </c>
      <c r="H8" s="35">
        <v>52.2</v>
      </c>
      <c r="I8" s="36" t="s">
        <v>70</v>
      </c>
      <c r="J8" s="38">
        <f>'FE-Maq e Equip'!C12</f>
        <v>1.7631358511479581E-2</v>
      </c>
      <c r="K8" s="38">
        <f>'FE-Maq e Equip'!D12</f>
        <v>1.7794975038828265E-4</v>
      </c>
      <c r="L8" s="38">
        <f>'FE-Maq e Equip'!E12</f>
        <v>0.14903238250667758</v>
      </c>
      <c r="M8" s="38">
        <f>'FE-Maq e Equip'!F12</f>
        <v>0.18074283872717251</v>
      </c>
      <c r="N8" s="38">
        <f>'FE-Maq e Equip'!G12</f>
        <v>7.6387016452257483E-2</v>
      </c>
      <c r="O8" s="67">
        <f t="shared" si="2"/>
        <v>7.3463993797831589E-3</v>
      </c>
      <c r="P8" s="67">
        <f>O8</f>
        <v>7.3463993797831589E-3</v>
      </c>
      <c r="Q8" s="67">
        <f>P8</f>
        <v>7.3463993797831589E-3</v>
      </c>
      <c r="R8" s="67">
        <f t="shared" si="0"/>
        <v>6.2096826044448994E-2</v>
      </c>
      <c r="S8" s="67">
        <f t="shared" si="3"/>
        <v>7.414572932845111E-5</v>
      </c>
      <c r="T8" s="67">
        <f t="shared" si="1"/>
        <v>7.5309516136321877E-2</v>
      </c>
      <c r="U8" s="67">
        <f t="shared" si="1"/>
        <v>3.1827923521773951E-2</v>
      </c>
    </row>
    <row r="9" spans="1:24" s="5" customFormat="1" ht="15" customHeight="1" x14ac:dyDescent="0.25">
      <c r="A9" s="34" t="s">
        <v>27</v>
      </c>
      <c r="B9" s="34" t="s">
        <v>28</v>
      </c>
      <c r="C9" s="35">
        <v>1</v>
      </c>
      <c r="D9" s="35" t="s">
        <v>68</v>
      </c>
      <c r="E9" s="39">
        <f>61*0.98632</f>
        <v>60.165520000000001</v>
      </c>
      <c r="F9" s="39">
        <v>8575</v>
      </c>
      <c r="G9" s="48">
        <v>10</v>
      </c>
      <c r="H9" s="35">
        <v>20</v>
      </c>
      <c r="I9" s="37" t="s">
        <v>63</v>
      </c>
      <c r="J9" s="38">
        <f>'FE-Maq e Equip'!C5</f>
        <v>9.3630013476799761E-3</v>
      </c>
      <c r="K9" s="38">
        <f>'FE-Maq e Equip'!D5</f>
        <v>8.6033551570891521E-5</v>
      </c>
      <c r="L9" s="38">
        <f>'FE-Maq e Equip'!E5</f>
        <v>7.4519991808693467E-2</v>
      </c>
      <c r="M9" s="38">
        <f>'FE-Maq e Equip'!F5</f>
        <v>9.6138212535283471E-2</v>
      </c>
      <c r="N9" s="38">
        <f>'FE-Maq e Equip'!G5</f>
        <v>4.226926262316423E-2</v>
      </c>
      <c r="O9" s="67">
        <f t="shared" si="2"/>
        <v>3.9012505615333235E-3</v>
      </c>
      <c r="P9" s="67">
        <f t="shared" ref="P9:P10" si="5">O9</f>
        <v>3.9012505615333235E-3</v>
      </c>
      <c r="Q9" s="67">
        <f t="shared" ref="Q9:Q10" si="6">P9</f>
        <v>3.9012505615333235E-3</v>
      </c>
      <c r="R9" s="67">
        <f t="shared" si="0"/>
        <v>3.1049996586955612E-2</v>
      </c>
      <c r="S9" s="67">
        <f t="shared" si="3"/>
        <v>3.5847313154538133E-5</v>
      </c>
      <c r="T9" s="67">
        <f t="shared" si="1"/>
        <v>4.0057588556368116E-2</v>
      </c>
      <c r="U9" s="67">
        <f t="shared" si="1"/>
        <v>1.7612192759651764E-2</v>
      </c>
      <c r="X9" s="40"/>
    </row>
    <row r="10" spans="1:24" s="5" customFormat="1" ht="15" customHeight="1" x14ac:dyDescent="0.25">
      <c r="A10" s="34" t="s">
        <v>27</v>
      </c>
      <c r="B10" s="34" t="s">
        <v>28</v>
      </c>
      <c r="C10" s="35">
        <v>1</v>
      </c>
      <c r="D10" s="35" t="s">
        <v>68</v>
      </c>
      <c r="E10" s="39">
        <f>61*0.98632</f>
        <v>60.165520000000001</v>
      </c>
      <c r="F10" s="39">
        <v>8229</v>
      </c>
      <c r="G10" s="48">
        <v>10</v>
      </c>
      <c r="H10" s="35">
        <v>20</v>
      </c>
      <c r="I10" s="37" t="s">
        <v>63</v>
      </c>
      <c r="J10" s="38">
        <f>'FE-Maq e Equip'!C5</f>
        <v>9.3630013476799761E-3</v>
      </c>
      <c r="K10" s="38">
        <f>'FE-Maq e Equip'!D5</f>
        <v>8.6033551570891521E-5</v>
      </c>
      <c r="L10" s="38">
        <f>'FE-Maq e Equip'!E5</f>
        <v>7.4519991808693467E-2</v>
      </c>
      <c r="M10" s="38">
        <f>'FE-Maq e Equip'!F5</f>
        <v>9.6138212535283471E-2</v>
      </c>
      <c r="N10" s="38">
        <f>'FE-Maq e Equip'!G5</f>
        <v>4.226926262316423E-2</v>
      </c>
      <c r="O10" s="67">
        <f t="shared" si="2"/>
        <v>3.9012505615333235E-3</v>
      </c>
      <c r="P10" s="67">
        <f t="shared" si="5"/>
        <v>3.9012505615333235E-3</v>
      </c>
      <c r="Q10" s="67">
        <f t="shared" si="6"/>
        <v>3.9012505615333235E-3</v>
      </c>
      <c r="R10" s="67">
        <f t="shared" si="0"/>
        <v>3.1049996586955612E-2</v>
      </c>
      <c r="S10" s="67">
        <f t="shared" si="3"/>
        <v>3.5847313154538133E-5</v>
      </c>
      <c r="T10" s="67">
        <f t="shared" si="1"/>
        <v>4.0057588556368116E-2</v>
      </c>
      <c r="U10" s="67">
        <f t="shared" si="1"/>
        <v>1.7612192759651764E-2</v>
      </c>
      <c r="X10" s="40"/>
    </row>
    <row r="11" spans="1:24" s="3" customFormat="1" ht="15" customHeight="1" x14ac:dyDescent="0.25">
      <c r="A11" s="116" t="s">
        <v>85</v>
      </c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8"/>
      <c r="O11" s="68">
        <f>SUM(O3:O10)</f>
        <v>7.8678456716342091E-2</v>
      </c>
      <c r="P11" s="68">
        <f t="shared" ref="P11:U11" si="7">SUM(P3:P10)</f>
        <v>7.8678456716342091E-2</v>
      </c>
      <c r="Q11" s="68">
        <f t="shared" si="7"/>
        <v>7.8678456716342091E-2</v>
      </c>
      <c r="R11" s="68">
        <f>SUM(R3:R10)</f>
        <v>1.2662307165111963</v>
      </c>
      <c r="S11" s="66">
        <f t="shared" si="7"/>
        <v>1.2238555322677596E-3</v>
      </c>
      <c r="T11" s="68">
        <f t="shared" si="7"/>
        <v>0.71466341817018086</v>
      </c>
      <c r="U11" s="68">
        <f t="shared" si="7"/>
        <v>0.21002634964931682</v>
      </c>
    </row>
    <row r="13" spans="1:24" ht="15" customHeight="1" x14ac:dyDescent="0.25">
      <c r="A13" s="1" t="s">
        <v>89</v>
      </c>
    </row>
  </sheetData>
  <sheetProtection algorithmName="SHA-512" hashValue="TIwmRIWrShIuTE0fLcMebgRSYUPUsN7+WccZKNL9wl9GXEnjc01/l17bfRhJJtzmLxz9SzY2hOFhgttt6QqZoA==" saltValue="Zp2xeTAtwB9jEZB6iRWrrA==" spinCount="100000" sheet="1" objects="1" scenarios="1"/>
  <mergeCells count="12">
    <mergeCell ref="O1:U1"/>
    <mergeCell ref="A11:N1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N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24" sqref="I24"/>
    </sheetView>
  </sheetViews>
  <sheetFormatPr defaultRowHeight="15" customHeight="1" x14ac:dyDescent="0.25"/>
  <cols>
    <col min="1" max="1" width="18.7109375" style="1" customWidth="1"/>
    <col min="2" max="2" width="9.140625" style="1" customWidth="1"/>
    <col min="3" max="16384" width="9.140625" style="1"/>
  </cols>
  <sheetData>
    <row r="1" spans="1:12" ht="15" customHeight="1" x14ac:dyDescent="0.25">
      <c r="A1" s="122" t="s">
        <v>37</v>
      </c>
      <c r="B1" s="108" t="s">
        <v>40</v>
      </c>
      <c r="C1" s="108"/>
      <c r="D1" s="108"/>
      <c r="E1" s="108"/>
      <c r="F1" s="108"/>
      <c r="G1" s="108"/>
      <c r="H1" s="108"/>
    </row>
    <row r="2" spans="1:12" ht="15" customHeight="1" x14ac:dyDescent="0.25">
      <c r="A2" s="123"/>
      <c r="B2" s="49" t="s">
        <v>41</v>
      </c>
      <c r="C2" s="49" t="s">
        <v>42</v>
      </c>
      <c r="D2" s="49" t="s">
        <v>80</v>
      </c>
      <c r="E2" s="49" t="s">
        <v>62</v>
      </c>
      <c r="F2" s="49" t="s">
        <v>61</v>
      </c>
      <c r="G2" s="49" t="s">
        <v>50</v>
      </c>
      <c r="H2" s="49" t="s">
        <v>88</v>
      </c>
    </row>
    <row r="3" spans="1:12" ht="15" customHeight="1" x14ac:dyDescent="0.25">
      <c r="A3" s="51" t="s">
        <v>60</v>
      </c>
      <c r="B3" s="52">
        <f>'Emissão Maq e Equip'!O11</f>
        <v>7.8678456716342091E-2</v>
      </c>
      <c r="C3" s="52">
        <f>'Emissão Maq e Equip'!P11</f>
        <v>7.8678456716342091E-2</v>
      </c>
      <c r="D3" s="52">
        <f>'Emissão Maq e Equip'!Q11</f>
        <v>7.8678456716342091E-2</v>
      </c>
      <c r="E3" s="52">
        <f>'Emissão Maq e Equip'!R11</f>
        <v>1.2662307165111963</v>
      </c>
      <c r="F3" s="52">
        <f>'Emissão Maq e Equip'!S11</f>
        <v>1.2238555322677596E-3</v>
      </c>
      <c r="G3" s="52">
        <f>'Emissão Maq e Equip'!T11</f>
        <v>0.71466341817018086</v>
      </c>
      <c r="H3" s="52">
        <f>'Emissão Maq e Equip'!U11</f>
        <v>0.21002634964931682</v>
      </c>
    </row>
    <row r="4" spans="1:12" ht="15" customHeight="1" x14ac:dyDescent="0.25">
      <c r="A4" s="1" t="s">
        <v>81</v>
      </c>
      <c r="B4" s="52">
        <f>'Emissão Transferências'!J8</f>
        <v>4.7454870459783319E-2</v>
      </c>
      <c r="C4" s="52">
        <f>'Emissão Transferências'!K8</f>
        <v>2.2444871163411026E-2</v>
      </c>
      <c r="D4" s="52">
        <f>'Emissão Transferências'!L8</f>
        <v>3.3987947761736702E-3</v>
      </c>
      <c r="E4" s="52" t="s">
        <v>83</v>
      </c>
      <c r="F4" s="52" t="s">
        <v>83</v>
      </c>
      <c r="G4" s="52" t="s">
        <v>83</v>
      </c>
      <c r="H4" s="52" t="s">
        <v>83</v>
      </c>
    </row>
    <row r="5" spans="1:12" ht="15" customHeight="1" x14ac:dyDescent="0.25">
      <c r="A5" s="58" t="s">
        <v>85</v>
      </c>
      <c r="B5" s="58">
        <f t="shared" ref="B5:H5" si="0">SUM(B3:B4)</f>
        <v>0.12613332717612541</v>
      </c>
      <c r="C5" s="58">
        <f t="shared" si="0"/>
        <v>0.10112332787975312</v>
      </c>
      <c r="D5" s="58">
        <f t="shared" si="0"/>
        <v>8.2077251492515754E-2</v>
      </c>
      <c r="E5" s="59">
        <f t="shared" si="0"/>
        <v>1.2662307165111963</v>
      </c>
      <c r="F5" s="60">
        <f t="shared" si="0"/>
        <v>1.2238555322677596E-3</v>
      </c>
      <c r="G5" s="58">
        <f t="shared" si="0"/>
        <v>0.71466341817018086</v>
      </c>
      <c r="H5" s="58">
        <f t="shared" si="0"/>
        <v>0.21002634964931682</v>
      </c>
    </row>
    <row r="9" spans="1:12" ht="15" customHeight="1" x14ac:dyDescent="0.25">
      <c r="B9" s="50"/>
    </row>
    <row r="12" spans="1:12" ht="15" customHeight="1" x14ac:dyDescent="0.25">
      <c r="L12" s="1" t="s">
        <v>82</v>
      </c>
    </row>
  </sheetData>
  <sheetProtection algorithmName="SHA-512" hashValue="A07mZjTjDKM4J/nQ5hFlFMsoi86IBPjqpsC3cdyz1ohSuLNQhOok7sftG/6/74xTx6o1Bn964GA3kNb/43zOew==" saltValue="LdawtKL4zb9aS9QTSswYFQ==" spinCount="100000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FE-Maq e Equip</vt:lpstr>
      <vt:lpstr>FE-Transferências</vt:lpstr>
      <vt:lpstr>Dados</vt:lpstr>
      <vt:lpstr>Emissão Transferências</vt:lpstr>
      <vt:lpstr>Emissão Maq e Equip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Tatiane Jardim Morais</dc:creator>
  <cp:lastModifiedBy>Gabriel Aarão Gonçalves</cp:lastModifiedBy>
  <dcterms:created xsi:type="dcterms:W3CDTF">2018-12-17T17:32:18Z</dcterms:created>
  <dcterms:modified xsi:type="dcterms:W3CDTF">2019-06-07T12:07:35Z</dcterms:modified>
</cp:coreProperties>
</file>