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Fertilizantes Yara\"/>
    </mc:Choice>
  </mc:AlternateContent>
  <bookViews>
    <workbookView xWindow="0" yWindow="0" windowWidth="24000" windowHeight="9735" firstSheet="1" activeTab="6"/>
  </bookViews>
  <sheets>
    <sheet name="FE-Combustão GLP" sheetId="10" r:id="rId1"/>
    <sheet name="FE-Maq e Equip" sheetId="4" r:id="rId2"/>
    <sheet name="FE-Transferências" sheetId="9" r:id="rId3"/>
    <sheet name="Dados" sheetId="1" r:id="rId4"/>
    <sheet name="Emissão Transferências" sheetId="3" r:id="rId5"/>
    <sheet name="Emissão Maq e Equip" sheetId="5" r:id="rId6"/>
    <sheet name="Resumo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8" l="1"/>
  <c r="D3" i="8"/>
  <c r="E3" i="8"/>
  <c r="F3" i="8"/>
  <c r="G3" i="8"/>
  <c r="H3" i="8"/>
  <c r="B4" i="8"/>
  <c r="B3" i="8"/>
  <c r="P10" i="5" l="1"/>
  <c r="O10" i="5"/>
  <c r="N10" i="5"/>
  <c r="L10" i="5"/>
  <c r="I9" i="10"/>
  <c r="H9" i="10"/>
  <c r="E9" i="10"/>
  <c r="D9" i="10"/>
  <c r="I8" i="10"/>
  <c r="H8" i="10"/>
  <c r="E8" i="10"/>
  <c r="D8" i="10"/>
  <c r="I7" i="10"/>
  <c r="H7" i="10"/>
  <c r="E7" i="10"/>
  <c r="D7" i="10"/>
  <c r="I5" i="10"/>
  <c r="H5" i="10"/>
  <c r="E5" i="10"/>
  <c r="D5" i="10"/>
  <c r="B18" i="1" l="1"/>
  <c r="F7" i="3"/>
  <c r="G7" i="3"/>
  <c r="J7" i="3" l="1"/>
  <c r="J10" i="5"/>
  <c r="L9" i="5"/>
  <c r="Q9" i="5" s="1"/>
  <c r="B5" i="5" l="1"/>
  <c r="M10" i="5" s="1"/>
  <c r="U10" i="5" s="1"/>
  <c r="J9" i="5"/>
  <c r="Q10" i="5" l="1"/>
  <c r="Q11" i="5" s="1"/>
  <c r="T10" i="5"/>
  <c r="V10" i="5"/>
  <c r="W10" i="5"/>
  <c r="M9" i="5"/>
  <c r="U9" i="5" s="1"/>
  <c r="N9" i="5"/>
  <c r="T9" i="5" s="1"/>
  <c r="O9" i="5"/>
  <c r="V9" i="5" s="1"/>
  <c r="P9" i="5"/>
  <c r="W9" i="5" s="1"/>
  <c r="G10" i="5" l="1"/>
  <c r="B1" i="3"/>
  <c r="I7" i="3"/>
  <c r="L7" i="3" s="1"/>
  <c r="H7" i="3"/>
  <c r="K7" i="3" s="1"/>
  <c r="R10" i="5" l="1"/>
  <c r="S10" i="5" s="1"/>
  <c r="R9" i="5" l="1"/>
  <c r="K8" i="3"/>
  <c r="C4" i="8" s="1"/>
  <c r="C5" i="8" s="1"/>
  <c r="J8" i="3"/>
  <c r="B5" i="8" s="1"/>
  <c r="L8" i="3"/>
  <c r="D4" i="8" s="1"/>
  <c r="D5" i="8" s="1"/>
  <c r="S9" i="5" l="1"/>
  <c r="U11" i="5"/>
  <c r="E5" i="8" s="1"/>
  <c r="V11" i="5"/>
  <c r="G5" i="8" s="1"/>
  <c r="T11" i="5"/>
  <c r="F5" i="8" s="1"/>
  <c r="W11" i="5"/>
  <c r="H5" i="8" s="1"/>
  <c r="R11" i="5" l="1"/>
  <c r="S11" i="5"/>
</calcChain>
</file>

<file path=xl/comments1.xml><?xml version="1.0" encoding="utf-8"?>
<comments xmlns="http://schemas.openxmlformats.org/spreadsheetml/2006/main">
  <authors>
    <author>Andrielly Moutinho Knupp</author>
  </authors>
  <commentList>
    <comment ref="A6" authorId="0" shapeId="0">
      <text>
        <r>
          <rPr>
            <b/>
            <sz val="9"/>
            <color indexed="81"/>
            <rFont val="Segoe UI"/>
            <family val="2"/>
          </rPr>
          <t>Rating A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Tatiane Jardim Morais</author>
    <author>Julius Mergulhão</author>
  </authors>
  <commentList>
    <comment ref="B2" authorId="0" shapeId="0">
      <text>
        <r>
          <rPr>
            <sz val="9"/>
            <color indexed="81"/>
            <rFont val="Segoe UI"/>
            <family val="2"/>
          </rPr>
          <t>Média da velocidade do vento - Aeroporto de Vitória para o ano de 2015.</t>
        </r>
      </text>
    </comment>
    <comment ref="D7" authorId="0" shapeId="0">
      <text>
        <r>
          <rPr>
            <sz val="9"/>
            <color indexed="81"/>
            <rFont val="Segoe UI"/>
            <family val="2"/>
          </rPr>
          <t xml:space="preserve">Não há medidas de controle
</t>
        </r>
      </text>
    </comment>
    <comment ref="E7" authorId="1" shapeId="0">
      <text>
        <r>
          <rPr>
            <sz val="9"/>
            <color indexed="81"/>
            <rFont val="Segoe UI"/>
            <family val="2"/>
          </rPr>
          <t>Consideração:
Umidade arbitrada devido ausência de informações</t>
        </r>
      </text>
    </comment>
  </commentList>
</comments>
</file>

<file path=xl/comments3.xml><?xml version="1.0" encoding="utf-8"?>
<comments xmlns="http://schemas.openxmlformats.org/spreadsheetml/2006/main">
  <authors>
    <author>Gabriel Aarão Gonçalves</author>
    <author>Tatiane Jardim Morais</author>
  </authors>
  <commentList>
    <comment ref="B3" authorId="0" shapeId="0">
      <text>
        <r>
          <rPr>
            <sz val="9"/>
            <color indexed="81"/>
            <rFont val="Segoe UI"/>
            <family val="2"/>
          </rPr>
          <t xml:space="preserve">Densidade à temperatura de 20 °C e 1 atm.
Fonte: ANP (2015): http://www.anp.gov.br/wwwanp/?dw=82253
</t>
        </r>
      </text>
    </comment>
    <comment ref="B4" authorId="0" shapeId="0">
      <text>
        <r>
          <rPr>
            <sz val="9"/>
            <color indexed="81"/>
            <rFont val="Segoe UI"/>
            <family val="2"/>
          </rPr>
          <t xml:space="preserve">Não foi fornecido informações sobre o teor de enxofre do GLP. Portanto, foi considerado mistura butano/propano estabelecido pela ANP. 
Fonte: Tabela III: http://sites.petrobras.com.br/minisite/assistenciatecnica/public/downloads/manual-tecnico-gas-liquefeito-petrobras-assistencia-tecnica-petrobras.pdf
</t>
        </r>
      </text>
    </comment>
    <comment ref="B5" authorId="0" shapeId="0">
      <text>
        <r>
          <rPr>
            <sz val="9"/>
            <color indexed="81"/>
            <rFont val="Segoe UI"/>
            <family val="2"/>
          </rPr>
          <t xml:space="preserve">O teor de enxofre deve estar em unidade de g/100 ft³ para aplicação do fator de emissão para o SO2, de acordo com a nota de rodapé "e" da Tabela 1.5-1 da AP-42. </t>
        </r>
      </text>
    </comment>
    <comment ref="L10" authorId="1" shapeId="0">
      <text>
        <r>
          <rPr>
            <sz val="9"/>
            <color indexed="81"/>
            <rFont val="Segoe UI"/>
            <family val="2"/>
          </rPr>
          <t>Considerando a composição típica do GLP usado em empilhadeiras: 70% butano e 30% propano</t>
        </r>
      </text>
    </comment>
    <comment ref="M10" authorId="1" shapeId="0">
      <text>
        <r>
          <rPr>
            <sz val="9"/>
            <color indexed="81"/>
            <rFont val="Segoe UI"/>
            <family val="2"/>
          </rPr>
          <t>Considerando a composição típica do GLP usado em empilhadeiras: 70% butano e 30% propano</t>
        </r>
      </text>
    </comment>
    <comment ref="N10" authorId="1" shapeId="0">
      <text>
        <r>
          <rPr>
            <sz val="9"/>
            <color indexed="81"/>
            <rFont val="Segoe UI"/>
            <family val="2"/>
          </rPr>
          <t xml:space="preserve">Considerando a composição típica do GLP usado em empilhadeiras: 70% butano e 30% propano
</t>
        </r>
      </text>
    </comment>
    <comment ref="O10" authorId="1" shapeId="0">
      <text>
        <r>
          <rPr>
            <sz val="9"/>
            <color indexed="81"/>
            <rFont val="Segoe UI"/>
            <family val="2"/>
          </rPr>
          <t xml:space="preserve">Considerando a composição típica do GLP usado em empilhadeiras: 70% butano e 30% propano
</t>
        </r>
      </text>
    </comment>
    <comment ref="P10" authorId="1" shapeId="0">
      <text>
        <r>
          <rPr>
            <sz val="9"/>
            <color indexed="81"/>
            <rFont val="Segoe UI"/>
            <family val="2"/>
          </rPr>
          <t xml:space="preserve">Considerando a composição típica do GLP usado em empilhadeiras: 70% butano e 30% propano
</t>
        </r>
      </text>
    </comment>
  </commentList>
</comments>
</file>

<file path=xl/sharedStrings.xml><?xml version="1.0" encoding="utf-8"?>
<sst xmlns="http://schemas.openxmlformats.org/spreadsheetml/2006/main" count="160" uniqueCount="119">
  <si>
    <t>Matéria prima</t>
  </si>
  <si>
    <t>Quantidade (ton/ano)</t>
  </si>
  <si>
    <t>Micronutrientes</t>
  </si>
  <si>
    <t>Cloreto de Potássio</t>
  </si>
  <si>
    <t>Fosfato de Monoamonio - MAP</t>
  </si>
  <si>
    <t>Superfosfato Triplo</t>
  </si>
  <si>
    <t>Uréia</t>
  </si>
  <si>
    <t>Total</t>
  </si>
  <si>
    <t>Equipamento</t>
  </si>
  <si>
    <t>Modelo</t>
  </si>
  <si>
    <t>Quantidade</t>
  </si>
  <si>
    <t>Pá Carregadeira</t>
  </si>
  <si>
    <t>Empilhadeira</t>
  </si>
  <si>
    <t xml:space="preserve">Produção (t/ano): </t>
  </si>
  <si>
    <t>Velocidade do Vento (m/s)</t>
  </si>
  <si>
    <r>
      <t xml:space="preserve">&lt; 30 </t>
    </r>
    <r>
      <rPr>
        <sz val="8"/>
        <color theme="1"/>
        <rFont val="Calibri"/>
        <family val="2"/>
      </rPr>
      <t>µ</t>
    </r>
    <r>
      <rPr>
        <sz val="8"/>
        <color theme="1"/>
        <rFont val="Arial"/>
        <family val="2"/>
      </rPr>
      <t>m</t>
    </r>
  </si>
  <si>
    <r>
      <t xml:space="preserve">&lt; 10 </t>
    </r>
    <r>
      <rPr>
        <sz val="8"/>
        <color theme="1"/>
        <rFont val="Calibri"/>
        <family val="2"/>
      </rPr>
      <t>µ</t>
    </r>
    <r>
      <rPr>
        <sz val="8"/>
        <color theme="1"/>
        <rFont val="Arial"/>
        <family val="2"/>
      </rPr>
      <t>m</t>
    </r>
  </si>
  <si>
    <r>
      <t xml:space="preserve">&lt; 2.5 </t>
    </r>
    <r>
      <rPr>
        <sz val="8"/>
        <color theme="1"/>
        <rFont val="Calibri"/>
        <family val="2"/>
      </rPr>
      <t>µ</t>
    </r>
    <r>
      <rPr>
        <sz val="8"/>
        <color theme="1"/>
        <rFont val="Arial"/>
        <family val="2"/>
      </rPr>
      <t>m</t>
    </r>
  </si>
  <si>
    <t>Fonte Emissora</t>
  </si>
  <si>
    <t>Controle [%]</t>
  </si>
  <si>
    <t>Fator de Emissão [kg/t e g/t]</t>
  </si>
  <si>
    <t>Taxa de Emissão [kg/h]</t>
  </si>
  <si>
    <t>PM</t>
  </si>
  <si>
    <r>
      <t>PM</t>
    </r>
    <r>
      <rPr>
        <b/>
        <vertAlign val="subscript"/>
        <sz val="8"/>
        <color theme="0"/>
        <rFont val="Arial"/>
        <family val="2"/>
      </rPr>
      <t>10</t>
    </r>
  </si>
  <si>
    <r>
      <t>PM</t>
    </r>
    <r>
      <rPr>
        <b/>
        <vertAlign val="subscript"/>
        <sz val="8"/>
        <color theme="0"/>
        <rFont val="Arial"/>
        <family val="2"/>
      </rPr>
      <t>2,5</t>
    </r>
  </si>
  <si>
    <t>Equação Geral:</t>
  </si>
  <si>
    <t>Onde:
E - emissão
k - particle size multiplier (dimensionless)
U - mean wind speed, meters per second (m/s) (miles per hour [mph]) 
M - material moisture content (%)</t>
  </si>
  <si>
    <t>Referência: AQMD (2016) - http://www.aqmd.gov/home/regulations/ceqa/air-quality-analysis-handbook/off-road-mobile-source-emission-factors</t>
  </si>
  <si>
    <t>Equipment</t>
  </si>
  <si>
    <t>Fator de Emissão [kg/h]</t>
  </si>
  <si>
    <t>MaxHP</t>
  </si>
  <si>
    <t>SOX</t>
  </si>
  <si>
    <t>NOX</t>
  </si>
  <si>
    <t>CO</t>
  </si>
  <si>
    <t>ROG</t>
  </si>
  <si>
    <t>CO2</t>
  </si>
  <si>
    <t>CH4</t>
  </si>
  <si>
    <t>Forklifts</t>
  </si>
  <si>
    <t>Forklifts Composite</t>
  </si>
  <si>
    <t>Tractors/Loaders/Backhoes</t>
  </si>
  <si>
    <t>Tractors/Loaders/Backhoes Composite</t>
  </si>
  <si>
    <t>Onde:
E - emissão (lb/dia)
n - número de equipamentos de cada categoria
H - número de horas diárias de operação do equipamento
EF - fator de emissão (lb/h)</t>
  </si>
  <si>
    <t>Consideração:</t>
  </si>
  <si>
    <t>Como não foi informado o ano dos equipamentos, foi considerado, de forma conservadora, os fatores de 2007.</t>
  </si>
  <si>
    <t>Equipamentos</t>
  </si>
  <si>
    <r>
      <t>SO</t>
    </r>
    <r>
      <rPr>
        <b/>
        <vertAlign val="subscript"/>
        <sz val="8"/>
        <color theme="0"/>
        <rFont val="Arial"/>
        <family val="2"/>
      </rPr>
      <t>2</t>
    </r>
  </si>
  <si>
    <r>
      <t>NO</t>
    </r>
    <r>
      <rPr>
        <b/>
        <vertAlign val="subscript"/>
        <sz val="8"/>
        <color theme="0"/>
        <rFont val="Arial"/>
        <family val="2"/>
      </rPr>
      <t>X</t>
    </r>
  </si>
  <si>
    <t>TR - Moega</t>
  </si>
  <si>
    <t>Nitrato de Amônio e Cálcio</t>
  </si>
  <si>
    <t>Superfosfato Simples Amoniado</t>
  </si>
  <si>
    <t>16 16 16</t>
  </si>
  <si>
    <t>20 05 18 2S 0,03B 0,1Zn Hydran Plus</t>
  </si>
  <si>
    <t>19 04 19 1 Mg 1S 0,1B 0,1Zn</t>
  </si>
  <si>
    <t>27 00 00 4Ca 2Mg</t>
  </si>
  <si>
    <t>15,4 00 00 18,3Ca 0,3B YL Nitrabor</t>
  </si>
  <si>
    <t>H60FT</t>
  </si>
  <si>
    <t>Horário de Funcionamento</t>
  </si>
  <si>
    <t>07:00 ás 17:00</t>
  </si>
  <si>
    <t>CASE 721 e W20E</t>
  </si>
  <si>
    <t>Umidade média [%]</t>
  </si>
  <si>
    <t>Produção (t/ano)</t>
  </si>
  <si>
    <t>2000 rpm</t>
  </si>
  <si>
    <t>62 cv</t>
  </si>
  <si>
    <t xml:space="preserve">Horário de Trabalho </t>
  </si>
  <si>
    <t>Tractors/Loaders/Backhoes 250hp</t>
  </si>
  <si>
    <t>Consumo de GLP [kg/mês]</t>
  </si>
  <si>
    <t>Densidade do GLP (t/m³)</t>
  </si>
  <si>
    <t>Teor de Enxofre do GLP (mg/kg)</t>
  </si>
  <si>
    <t>Teor de Enxofre do GLP  (g/100 ft³)</t>
  </si>
  <si>
    <t>Fator de Emissão Pá carregadeira[kg/h] / Empilhadeira [kg/10³ L]</t>
  </si>
  <si>
    <t>Tipo de Combustível</t>
  </si>
  <si>
    <t>Diesel</t>
  </si>
  <si>
    <t>GLP</t>
  </si>
  <si>
    <t>Aerodynamic Particle Size Multiplier (k) For Equation 1</t>
  </si>
  <si>
    <t>Quantidade Movimentada [t/h]</t>
  </si>
  <si>
    <r>
      <t>SO</t>
    </r>
    <r>
      <rPr>
        <b/>
        <vertAlign val="subscript"/>
        <sz val="8"/>
        <color theme="0"/>
        <rFont val="Arial"/>
        <family val="2"/>
      </rPr>
      <t>2</t>
    </r>
    <r>
      <rPr>
        <b/>
        <sz val="8"/>
        <color theme="0"/>
        <rFont val="Arial"/>
        <family val="2"/>
      </rPr>
      <t xml:space="preserve"> </t>
    </r>
  </si>
  <si>
    <t>NOx</t>
  </si>
  <si>
    <r>
      <t>PM</t>
    </r>
    <r>
      <rPr>
        <b/>
        <vertAlign val="subscript"/>
        <sz val="8"/>
        <color theme="0"/>
        <rFont val="Arial"/>
        <family val="2"/>
      </rPr>
      <t>2.5</t>
    </r>
  </si>
  <si>
    <t>Transferências</t>
  </si>
  <si>
    <t xml:space="preserve"> </t>
  </si>
  <si>
    <t>-</t>
  </si>
  <si>
    <t>Fonte: AP-42 (USEPA, 2006) - https://www3.epa.gov/ttn/chief/ap42/ch13/final/c13s0204.pdf</t>
  </si>
  <si>
    <t>Fonte: Informações enviadas pelo empreendimento através do Ofício IEMA N° 490/2016 e 030/2017</t>
  </si>
  <si>
    <t>TOTAL</t>
  </si>
  <si>
    <t>Horas Trabalhadas [h/dia]</t>
  </si>
  <si>
    <t>Consumo de Combustível [L/h]</t>
  </si>
  <si>
    <t>Nota: A empresa não informou a quantidade de horas trabalhas por dia/mês/ano e sim as horas totais trabalhadas desde de o inicio de operação de cada equipamento, por isso foi usado o valor de 10 horas/dia (horário de funcionamento da empresa)</t>
  </si>
  <si>
    <t>VOC</t>
  </si>
  <si>
    <t>Referência: AP-42 (USEPA, 2008) - https://www3.epa.gov/ttn/chief/ap42/ch01/final/c01s05.pdf</t>
  </si>
  <si>
    <r>
      <t>Table 1.5-1. EMISSION FACTORS FOR LPG COMBUSTION</t>
    </r>
    <r>
      <rPr>
        <vertAlign val="superscript"/>
        <sz val="8"/>
        <color theme="1"/>
        <rFont val="Arial"/>
        <family val="2"/>
      </rPr>
      <t>a</t>
    </r>
    <r>
      <rPr>
        <sz val="8"/>
        <color theme="1"/>
        <rFont val="Arial"/>
        <family val="2"/>
      </rPr>
      <t xml:space="preserve">
EMISSION FACTOR RATING: E</t>
    </r>
  </si>
  <si>
    <t>Pollutant</t>
  </si>
  <si>
    <t>Butane Emission Factor
 (lb/10³ gal)</t>
  </si>
  <si>
    <t>Butane Emission Factor
 (kg/10³ L)</t>
  </si>
  <si>
    <t>Propane Emission Factor
 (lb/10³ gal)</t>
  </si>
  <si>
    <t>Propane Emission Factor
 (kg/10³ L)</t>
  </si>
  <si>
    <r>
      <t>Industrial Boilers</t>
    </r>
    <r>
      <rPr>
        <vertAlign val="superscript"/>
        <sz val="8"/>
        <color theme="1"/>
        <rFont val="Arial"/>
        <family val="2"/>
      </rPr>
      <t>b</t>
    </r>
  </si>
  <si>
    <r>
      <t>Commercial Boilers</t>
    </r>
    <r>
      <rPr>
        <vertAlign val="superscript"/>
        <sz val="8"/>
        <color theme="1"/>
        <rFont val="Arial"/>
        <family val="2"/>
      </rPr>
      <t>c</t>
    </r>
  </si>
  <si>
    <t>PM, Total</t>
  </si>
  <si>
    <r>
      <t>SO</t>
    </r>
    <r>
      <rPr>
        <b/>
        <vertAlign val="subscript"/>
        <sz val="8"/>
        <color theme="1"/>
        <rFont val="Arial"/>
        <family val="2"/>
      </rPr>
      <t>2</t>
    </r>
    <r>
      <rPr>
        <b/>
        <vertAlign val="superscript"/>
        <sz val="8"/>
        <color theme="1"/>
        <rFont val="Arial"/>
        <family val="2"/>
      </rPr>
      <t>e</t>
    </r>
  </si>
  <si>
    <t>0,09S</t>
  </si>
  <si>
    <t>0,09S x 0,12</t>
  </si>
  <si>
    <t>0,1S</t>
  </si>
  <si>
    <t>0,1S x 0,12</t>
  </si>
  <si>
    <r>
      <t>NOx</t>
    </r>
    <r>
      <rPr>
        <b/>
        <vertAlign val="superscript"/>
        <sz val="8"/>
        <color theme="1"/>
        <rFont val="Arial"/>
        <family val="2"/>
      </rPr>
      <t>f</t>
    </r>
  </si>
  <si>
    <t>TOC</t>
  </si>
  <si>
    <r>
      <rPr>
        <vertAlign val="superscript"/>
        <sz val="8"/>
        <color theme="1"/>
        <rFont val="Arial"/>
        <family val="2"/>
      </rPr>
      <t>a</t>
    </r>
    <r>
      <rPr>
        <sz val="8"/>
        <color theme="1"/>
        <rFont val="Arial"/>
        <family val="2"/>
      </rPr>
      <t xml:space="preserve"> Assumes PM, CO, and TOC emissions are the same, on a heat input basis, as for natural gas combustion. Use heat contents of 91.5 x 106 Btu/103 gallon for propane, 102 x 106 Btu/103 gallon for butane, 1020 x 106 Btu/106 scf for methane when calculating an equivalent heat input basis. For example, the equation for converting from methane’s emissions factors to propane’s emissions factors is as follows: lb pollutant/103 gallons of propane = (lb pollutant /106 ft3 methane) * (91.5 x 106 Btu/103 gallons of propane) / (1020 x 106 Btu/106 scf of methane). The NOx emission factors have been multiplied by a correction factor of 1.5, which is the approximate ratio of propane/butane NOx emissions to natural gas NOx emissions. To convert from lb/103 gal to kg/103 L, multiply by 0.12. SCC = Source Classification Code</t>
    </r>
  </si>
  <si>
    <r>
      <rPr>
        <vertAlign val="superscript"/>
        <sz val="8"/>
        <color theme="1"/>
        <rFont val="Arial"/>
        <family val="2"/>
      </rPr>
      <t>b</t>
    </r>
    <r>
      <rPr>
        <sz val="8"/>
        <color theme="1"/>
        <rFont val="Arial"/>
        <family val="2"/>
      </rPr>
      <t xml:space="preserve"> Heat input capacities generally between 10 and 100 million Btu/hour</t>
    </r>
  </si>
  <si>
    <r>
      <rPr>
        <vertAlign val="superscript"/>
        <sz val="8"/>
        <color theme="1"/>
        <rFont val="Arial"/>
        <family val="2"/>
      </rPr>
      <t>c</t>
    </r>
    <r>
      <rPr>
        <sz val="8"/>
        <color theme="1"/>
        <rFont val="Arial"/>
        <family val="2"/>
      </rPr>
      <t xml:space="preserve"> Heat input capacities generally between 0.3 and 10 million Btu/hour</t>
    </r>
  </si>
  <si>
    <r>
      <rPr>
        <vertAlign val="superscript"/>
        <sz val="8"/>
        <color theme="1"/>
        <rFont val="Arial"/>
        <family val="2"/>
      </rPr>
      <t>d</t>
    </r>
    <r>
      <rPr>
        <sz val="8"/>
        <color theme="1"/>
        <rFont val="Arial"/>
        <family val="2"/>
      </rPr>
      <t xml:space="preserve"> Filterable particulate matter (PM) is that PM collected on or prior to the filter of an EPA Method 5 (or equivalent) sampling train. For natural gas, a fuel with similar combustion characteristics, all PM is less than 10 :m in aerodynamic equivalent diameter (PM-10)</t>
    </r>
  </si>
  <si>
    <r>
      <rPr>
        <vertAlign val="superscript"/>
        <sz val="8"/>
        <color theme="1"/>
        <rFont val="Arial"/>
        <family val="2"/>
      </rPr>
      <t>e</t>
    </r>
    <r>
      <rPr>
        <sz val="8"/>
        <color theme="1"/>
        <rFont val="Arial"/>
        <family val="2"/>
      </rPr>
      <t xml:space="preserve"> S equals the sulfur content expressed in gr/100 ft3 gas vapor. For example, if the butane sulfur content is 0.18 gr/100 ft3 , the emission factor would be (0.09 x 0.18) = 0.016 lb of SO2/103 gal butane burned.</t>
    </r>
  </si>
  <si>
    <r>
      <rPr>
        <vertAlign val="superscript"/>
        <sz val="8"/>
        <color theme="1"/>
        <rFont val="Arial"/>
        <family val="2"/>
      </rPr>
      <t xml:space="preserve">f </t>
    </r>
    <r>
      <rPr>
        <sz val="8"/>
        <color theme="1"/>
        <rFont val="Arial"/>
        <family val="2"/>
      </rPr>
      <t xml:space="preserve"> Expressed as NO2</t>
    </r>
  </si>
  <si>
    <r>
      <rPr>
        <vertAlign val="superscript"/>
        <sz val="8"/>
        <color theme="1"/>
        <rFont val="Arial"/>
        <family val="2"/>
      </rPr>
      <t>g</t>
    </r>
    <r>
      <rPr>
        <sz val="8"/>
        <color theme="1"/>
        <rFont val="Arial"/>
        <family val="2"/>
      </rPr>
      <t xml:space="preserve"> Reference 12</t>
    </r>
  </si>
  <si>
    <r>
      <rPr>
        <vertAlign val="superscript"/>
        <sz val="8"/>
        <color theme="1"/>
        <rFont val="Arial"/>
        <family val="2"/>
      </rPr>
      <t xml:space="preserve">h </t>
    </r>
    <r>
      <rPr>
        <sz val="8"/>
        <color theme="1"/>
        <rFont val="Arial"/>
        <family val="2"/>
      </rPr>
      <t>Assuming 99.5% conversion of fuel carbon to CO</t>
    </r>
  </si>
  <si>
    <r>
      <rPr>
        <vertAlign val="superscript"/>
        <sz val="8"/>
        <color theme="1"/>
        <rFont val="Arial"/>
        <family val="2"/>
      </rPr>
      <t xml:space="preserve">j </t>
    </r>
    <r>
      <rPr>
        <sz val="8"/>
        <color theme="1"/>
        <rFont val="Arial"/>
        <family val="2"/>
      </rPr>
      <t>EMISSION FACTOR RATING = C</t>
    </r>
  </si>
  <si>
    <r>
      <rPr>
        <vertAlign val="superscript"/>
        <sz val="8"/>
        <color theme="1"/>
        <rFont val="Arial"/>
        <family val="2"/>
      </rPr>
      <t>k</t>
    </r>
    <r>
      <rPr>
        <sz val="8"/>
        <color theme="1"/>
        <rFont val="Arial"/>
        <family val="2"/>
      </rPr>
      <t xml:space="preserve"> Reference 13</t>
    </r>
  </si>
  <si>
    <t>Latitude [º]</t>
  </si>
  <si>
    <t>Longitude [º]</t>
  </si>
  <si>
    <t>Potência</t>
  </si>
  <si>
    <t>Potência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</si>
</sst>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#,##0.0000"/>
    <numFmt numFmtId="166" formatCode="0.000"/>
    <numFmt numFmtId="167" formatCode="0.0000"/>
    <numFmt numFmtId="168" formatCode="[&gt;=0.005]\ #,##0.00;[&lt;0.005]&quot;&lt;0,01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sz val="8"/>
      <color theme="1"/>
      <name val="Calibri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b/>
      <vertAlign val="subscript"/>
      <sz val="8"/>
      <color theme="0"/>
      <name val="Arial"/>
      <family val="2"/>
    </font>
    <font>
      <b/>
      <i/>
      <sz val="8"/>
      <color theme="1"/>
      <name val="Arial"/>
      <family val="2"/>
    </font>
    <font>
      <b/>
      <sz val="8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name val="Arial"/>
      <family val="2"/>
    </font>
    <font>
      <sz val="11"/>
      <name val="Calibri"/>
      <family val="2"/>
      <scheme val="minor"/>
    </font>
    <font>
      <sz val="8"/>
      <color rgb="FFFF0000"/>
      <name val="Arial"/>
      <family val="2"/>
    </font>
    <font>
      <vertAlign val="superscript"/>
      <sz val="8"/>
      <color theme="1"/>
      <name val="Arial"/>
      <family val="2"/>
    </font>
    <font>
      <b/>
      <vertAlign val="subscript"/>
      <sz val="8"/>
      <color theme="1"/>
      <name val="Arial"/>
      <family val="2"/>
    </font>
    <font>
      <b/>
      <vertAlign val="superscript"/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DD"/>
        <bgColor indexed="64"/>
      </patternFill>
    </fill>
  </fills>
  <borders count="44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/>
      <bottom style="thin">
        <color rgb="FFBFBFBF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rgb="FFBFBFBF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7" fillId="3" borderId="1" xfId="0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165" fontId="5" fillId="0" borderId="0" xfId="0" applyNumberFormat="1" applyFont="1" applyFill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66" fontId="5" fillId="0" borderId="0" xfId="0" applyNumberFormat="1" applyFont="1" applyFill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2" fontId="11" fillId="2" borderId="16" xfId="0" applyNumberFormat="1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167" fontId="5" fillId="0" borderId="18" xfId="0" applyNumberFormat="1" applyFont="1" applyFill="1" applyBorder="1" applyAlignment="1">
      <alignment horizontal="center" vertical="center"/>
    </xf>
    <xf numFmtId="0" fontId="0" fillId="0" borderId="0" xfId="0" applyFill="1"/>
    <xf numFmtId="0" fontId="1" fillId="0" borderId="0" xfId="0" applyFont="1" applyFill="1" applyAlignment="1">
      <alignment vertical="center"/>
    </xf>
    <xf numFmtId="0" fontId="5" fillId="5" borderId="18" xfId="0" applyFont="1" applyFill="1" applyBorder="1" applyAlignment="1">
      <alignment vertical="center"/>
    </xf>
    <xf numFmtId="0" fontId="5" fillId="5" borderId="18" xfId="0" applyFont="1" applyFill="1" applyBorder="1" applyAlignment="1">
      <alignment horizontal="center" vertical="center"/>
    </xf>
    <xf numFmtId="167" fontId="5" fillId="5" borderId="18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5" fillId="0" borderId="0" xfId="0" applyFont="1" applyFill="1"/>
    <xf numFmtId="167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3" borderId="22" xfId="0" applyFont="1" applyFill="1" applyBorder="1" applyAlignment="1">
      <alignment horizontal="center" vertical="center"/>
    </xf>
    <xf numFmtId="0" fontId="16" fillId="0" borderId="0" xfId="0" applyFont="1" applyFill="1" applyAlignment="1">
      <alignment vertical="center"/>
    </xf>
    <xf numFmtId="0" fontId="5" fillId="0" borderId="18" xfId="0" applyFont="1" applyFill="1" applyBorder="1" applyAlignment="1">
      <alignment vertical="center" wrapText="1"/>
    </xf>
    <xf numFmtId="0" fontId="5" fillId="0" borderId="18" xfId="0" applyFont="1" applyFill="1" applyBorder="1" applyAlignment="1">
      <alignment horizontal="center" vertical="center" wrapText="1"/>
    </xf>
    <xf numFmtId="4" fontId="5" fillId="0" borderId="18" xfId="0" applyNumberFormat="1" applyFont="1" applyFill="1" applyBorder="1" applyAlignment="1">
      <alignment horizontal="center" vertical="center" wrapText="1"/>
    </xf>
    <xf numFmtId="1" fontId="5" fillId="0" borderId="0" xfId="0" applyNumberFormat="1" applyFont="1" applyFill="1" applyAlignment="1">
      <alignment horizontal="center" vertical="center"/>
    </xf>
    <xf numFmtId="20" fontId="16" fillId="0" borderId="0" xfId="0" applyNumberFormat="1" applyFont="1" applyFill="1" applyAlignment="1">
      <alignment vertical="center"/>
    </xf>
    <xf numFmtId="2" fontId="5" fillId="0" borderId="18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5" fillId="0" borderId="18" xfId="0" applyNumberFormat="1" applyFont="1" applyFill="1" applyBorder="1" applyAlignment="1">
      <alignment horizontal="center" vertical="center" wrapText="1"/>
    </xf>
    <xf numFmtId="165" fontId="5" fillId="0" borderId="18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6" fontId="5" fillId="0" borderId="18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1" fontId="5" fillId="0" borderId="18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/>
    <xf numFmtId="0" fontId="3" fillId="0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3" fillId="0" borderId="40" xfId="0" applyFont="1" applyBorder="1" applyAlignment="1">
      <alignment horizontal="left" vertical="center"/>
    </xf>
    <xf numFmtId="0" fontId="7" fillId="3" borderId="22" xfId="0" applyNumberFormat="1" applyFont="1" applyFill="1" applyBorder="1" applyAlignment="1" applyProtection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3" fontId="5" fillId="0" borderId="0" xfId="0" applyNumberFormat="1" applyFont="1" applyBorder="1" applyAlignment="1">
      <alignment horizontal="center" vertical="center"/>
    </xf>
    <xf numFmtId="4" fontId="5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2" fontId="5" fillId="2" borderId="10" xfId="0" applyNumberFormat="1" applyFont="1" applyFill="1" applyBorder="1" applyAlignment="1">
      <alignment horizontal="center" vertical="center"/>
    </xf>
    <xf numFmtId="168" fontId="5" fillId="2" borderId="1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4" fontId="5" fillId="2" borderId="18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5" fontId="5" fillId="0" borderId="20" xfId="0" applyNumberFormat="1" applyFont="1" applyFill="1" applyBorder="1" applyAlignment="1">
      <alignment horizontal="center" vertical="center"/>
    </xf>
    <xf numFmtId="165" fontId="3" fillId="0" borderId="0" xfId="0" applyNumberFormat="1" applyFont="1" applyAlignment="1">
      <alignment vertical="center"/>
    </xf>
    <xf numFmtId="168" fontId="3" fillId="2" borderId="1" xfId="0" applyNumberFormat="1" applyFont="1" applyFill="1" applyBorder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wrapText="1"/>
    </xf>
    <xf numFmtId="0" fontId="3" fillId="0" borderId="0" xfId="0" applyFont="1" applyFill="1" applyBorder="1" applyAlignment="1">
      <alignment horizontal="left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left" vertical="center"/>
    </xf>
    <xf numFmtId="0" fontId="5" fillId="0" borderId="19" xfId="0" applyFont="1" applyFill="1" applyBorder="1" applyAlignment="1">
      <alignment horizontal="left" vertical="center"/>
    </xf>
    <xf numFmtId="0" fontId="5" fillId="0" borderId="20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left" vertical="center" wrapText="1"/>
    </xf>
    <xf numFmtId="0" fontId="3" fillId="4" borderId="8" xfId="0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/>
    </xf>
    <xf numFmtId="0" fontId="3" fillId="4" borderId="35" xfId="0" applyFont="1" applyFill="1" applyBorder="1" applyAlignment="1">
      <alignment horizontal="center"/>
    </xf>
    <xf numFmtId="0" fontId="3" fillId="4" borderId="36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37" xfId="0" applyFont="1" applyFill="1" applyBorder="1" applyAlignment="1">
      <alignment horizontal="center"/>
    </xf>
    <xf numFmtId="0" fontId="3" fillId="4" borderId="31" xfId="0" applyFont="1" applyFill="1" applyBorder="1" applyAlignment="1">
      <alignment horizontal="center"/>
    </xf>
    <xf numFmtId="0" fontId="3" fillId="4" borderId="32" xfId="0" applyFont="1" applyFill="1" applyBorder="1" applyAlignment="1">
      <alignment horizontal="center"/>
    </xf>
    <xf numFmtId="0" fontId="3" fillId="4" borderId="38" xfId="0" applyFont="1" applyFill="1" applyBorder="1" applyAlignment="1">
      <alignment horizontal="center"/>
    </xf>
    <xf numFmtId="0" fontId="3" fillId="0" borderId="34" xfId="0" applyFont="1" applyFill="1" applyBorder="1" applyAlignment="1">
      <alignment horizontal="left" vertical="center" wrapText="1"/>
    </xf>
    <xf numFmtId="0" fontId="3" fillId="0" borderId="35" xfId="0" applyFont="1" applyFill="1" applyBorder="1" applyAlignment="1">
      <alignment horizontal="left" vertical="center" wrapText="1"/>
    </xf>
    <xf numFmtId="0" fontId="3" fillId="0" borderId="36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37" xfId="0" applyFont="1" applyFill="1" applyBorder="1" applyAlignment="1">
      <alignment horizontal="left" vertical="center" wrapText="1"/>
    </xf>
    <xf numFmtId="0" fontId="3" fillId="0" borderId="31" xfId="0" applyFont="1" applyFill="1" applyBorder="1" applyAlignment="1">
      <alignment horizontal="left" vertical="center" wrapText="1"/>
    </xf>
    <xf numFmtId="0" fontId="3" fillId="0" borderId="32" xfId="0" applyFont="1" applyFill="1" applyBorder="1" applyAlignment="1">
      <alignment horizontal="left" vertical="center" wrapText="1"/>
    </xf>
    <xf numFmtId="0" fontId="3" fillId="0" borderId="38" xfId="0" applyFont="1" applyFill="1" applyBorder="1" applyAlignment="1">
      <alignment horizontal="left" vertical="center" wrapText="1"/>
    </xf>
    <xf numFmtId="0" fontId="5" fillId="2" borderId="26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8" xfId="0" applyNumberFormat="1" applyFont="1" applyFill="1" applyBorder="1" applyAlignment="1" applyProtection="1">
      <alignment horizontal="center" vertical="center" wrapText="1"/>
    </xf>
    <xf numFmtId="0" fontId="7" fillId="3" borderId="34" xfId="0" applyNumberFormat="1" applyFont="1" applyFill="1" applyBorder="1" applyAlignment="1" applyProtection="1">
      <alignment horizontal="center" vertical="center" wrapText="1"/>
    </xf>
    <xf numFmtId="0" fontId="7" fillId="3" borderId="6" xfId="0" applyNumberFormat="1" applyFont="1" applyFill="1" applyBorder="1" applyAlignment="1" applyProtection="1">
      <alignment horizontal="center" vertical="center" wrapText="1"/>
    </xf>
    <xf numFmtId="0" fontId="7" fillId="3" borderId="36" xfId="0" applyNumberFormat="1" applyFont="1" applyFill="1" applyBorder="1" applyAlignment="1" applyProtection="1">
      <alignment horizontal="center" vertical="center" wrapText="1"/>
    </xf>
    <xf numFmtId="0" fontId="7" fillId="3" borderId="37" xfId="0" applyNumberFormat="1" applyFont="1" applyFill="1" applyBorder="1" applyAlignment="1" applyProtection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 wrapText="1"/>
    </xf>
    <xf numFmtId="0" fontId="7" fillId="3" borderId="41" xfId="0" applyNumberFormat="1" applyFont="1" applyFill="1" applyBorder="1" applyAlignment="1" applyProtection="1">
      <alignment horizontal="center" vertical="center" wrapText="1"/>
    </xf>
    <xf numFmtId="0" fontId="7" fillId="3" borderId="42" xfId="0" applyNumberFormat="1" applyFont="1" applyFill="1" applyBorder="1" applyAlignment="1" applyProtection="1">
      <alignment horizontal="center" vertical="center" wrapText="1"/>
    </xf>
    <xf numFmtId="0" fontId="7" fillId="3" borderId="43" xfId="0" applyNumberFormat="1" applyFont="1" applyFill="1" applyBorder="1" applyAlignment="1" applyProtection="1">
      <alignment horizontal="center" vertical="center" wrapText="1"/>
    </xf>
    <xf numFmtId="168" fontId="5" fillId="2" borderId="23" xfId="0" applyNumberFormat="1" applyFont="1" applyFill="1" applyBorder="1" applyAlignment="1">
      <alignment horizontal="center" vertical="center"/>
    </xf>
    <xf numFmtId="168" fontId="5" fillId="2" borderId="24" xfId="0" applyNumberFormat="1" applyFont="1" applyFill="1" applyBorder="1" applyAlignment="1">
      <alignment horizontal="center" vertical="center"/>
    </xf>
    <xf numFmtId="168" fontId="5" fillId="2" borderId="25" xfId="0" applyNumberFormat="1" applyFont="1" applyFill="1" applyBorder="1" applyAlignment="1">
      <alignment horizontal="center" vertical="center"/>
    </xf>
    <xf numFmtId="0" fontId="7" fillId="3" borderId="7" xfId="0" applyNumberFormat="1" applyFont="1" applyFill="1" applyBorder="1" applyAlignment="1" applyProtection="1">
      <alignment horizontal="center" vertical="center" wrapText="1"/>
    </xf>
    <xf numFmtId="0" fontId="7" fillId="3" borderId="22" xfId="0" applyNumberFormat="1" applyFont="1" applyFill="1" applyBorder="1" applyAlignment="1" applyProtection="1">
      <alignment horizontal="center" vertical="center" wrapText="1"/>
    </xf>
    <xf numFmtId="0" fontId="7" fillId="3" borderId="21" xfId="0" applyNumberFormat="1" applyFont="1" applyFill="1" applyBorder="1" applyAlignment="1" applyProtection="1">
      <alignment horizontal="center" vertical="center" wrapText="1"/>
    </xf>
    <xf numFmtId="0" fontId="7" fillId="3" borderId="29" xfId="0" applyNumberFormat="1" applyFont="1" applyFill="1" applyBorder="1" applyAlignment="1" applyProtection="1">
      <alignment horizontal="center" vertical="center" wrapText="1"/>
    </xf>
    <xf numFmtId="0" fontId="7" fillId="3" borderId="30" xfId="0" applyNumberFormat="1" applyFont="1" applyFill="1" applyBorder="1" applyAlignment="1" applyProtection="1">
      <alignment horizontal="center" vertical="center" wrapText="1"/>
    </xf>
    <xf numFmtId="0" fontId="7" fillId="3" borderId="39" xfId="0" applyNumberFormat="1" applyFont="1" applyFill="1" applyBorder="1" applyAlignment="1" applyProtection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676275</xdr:colOff>
      <xdr:row>21</xdr:row>
      <xdr:rowOff>14287</xdr:rowOff>
    </xdr:from>
    <xdr:ext cx="16097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=""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2733675" y="820578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𝐸𝐹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100-000002000000}"/>
                </a:ext>
              </a:extLst>
            </xdr:cNvPr>
            <xdr:cNvSpPr txBox="1"/>
          </xdr:nvSpPr>
          <xdr:spPr>
            <a:xfrm>
              <a:off x="2733675" y="820578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𝐸=𝑛 𝑥 𝐻 𝑥 𝐸𝐹 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320386</xdr:colOff>
      <xdr:row>5</xdr:row>
      <xdr:rowOff>146771</xdr:rowOff>
    </xdr:from>
    <xdr:ext cx="1609725" cy="6739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11178886" y="1099271"/>
              <a:ext cx="1609725" cy="6739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𝑘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0,0016</m:t>
                        </m:r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𝑈</m:t>
                                    </m:r>
                                  </m:num>
                                  <m:den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2,2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1,3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𝑀</m:t>
                                    </m:r>
                                  </m:num>
                                  <m:den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1,4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11178886" y="1099271"/>
              <a:ext cx="1609725" cy="6739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𝐸=𝑘(0,0016)   (𝑈/2,2)^1,3/(𝑀/2)^1,4 </a:t>
              </a:r>
              <a:endParaRPr lang="pt-B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24" sqref="A24:G24"/>
    </sheetView>
  </sheetViews>
  <sheetFormatPr defaultRowHeight="15" x14ac:dyDescent="0.25"/>
  <cols>
    <col min="1" max="1" width="16" customWidth="1"/>
    <col min="2" max="2" width="12.85546875" bestFit="1" customWidth="1"/>
    <col min="3" max="3" width="14.7109375" bestFit="1" customWidth="1"/>
    <col min="4" max="4" width="12.85546875" bestFit="1" customWidth="1"/>
    <col min="5" max="5" width="14.7109375" bestFit="1" customWidth="1"/>
    <col min="6" max="6" width="12.85546875" bestFit="1" customWidth="1"/>
    <col min="7" max="7" width="14.7109375" bestFit="1" customWidth="1"/>
    <col min="8" max="8" width="12.85546875" bestFit="1" customWidth="1"/>
    <col min="9" max="9" width="14.7109375" bestFit="1" customWidth="1"/>
  </cols>
  <sheetData>
    <row r="1" spans="1:9" x14ac:dyDescent="0.25">
      <c r="A1" s="1" t="s">
        <v>88</v>
      </c>
    </row>
    <row r="2" spans="1:9" ht="26.25" customHeight="1" x14ac:dyDescent="0.25">
      <c r="A2" s="79" t="s">
        <v>89</v>
      </c>
      <c r="B2" s="80"/>
      <c r="C2" s="80"/>
      <c r="D2" s="80"/>
      <c r="E2" s="80"/>
      <c r="F2" s="80"/>
      <c r="G2" s="80"/>
      <c r="H2" s="80"/>
      <c r="I2" s="80"/>
    </row>
    <row r="3" spans="1:9" ht="23.25" customHeight="1" x14ac:dyDescent="0.25">
      <c r="A3" s="81" t="s">
        <v>90</v>
      </c>
      <c r="B3" s="83" t="s">
        <v>91</v>
      </c>
      <c r="C3" s="84"/>
      <c r="D3" s="83" t="s">
        <v>92</v>
      </c>
      <c r="E3" s="84"/>
      <c r="F3" s="83" t="s">
        <v>93</v>
      </c>
      <c r="G3" s="84"/>
      <c r="H3" s="83" t="s">
        <v>94</v>
      </c>
      <c r="I3" s="84"/>
    </row>
    <row r="4" spans="1:9" x14ac:dyDescent="0.25">
      <c r="A4" s="82"/>
      <c r="B4" s="46" t="s">
        <v>95</v>
      </c>
      <c r="C4" s="46" t="s">
        <v>96</v>
      </c>
      <c r="D4" s="46" t="s">
        <v>95</v>
      </c>
      <c r="E4" s="46" t="s">
        <v>96</v>
      </c>
      <c r="F4" s="46" t="s">
        <v>95</v>
      </c>
      <c r="G4" s="46" t="s">
        <v>96</v>
      </c>
      <c r="H4" s="46" t="s">
        <v>95</v>
      </c>
      <c r="I4" s="46" t="s">
        <v>96</v>
      </c>
    </row>
    <row r="5" spans="1:9" x14ac:dyDescent="0.25">
      <c r="A5" s="14" t="s">
        <v>97</v>
      </c>
      <c r="B5" s="68">
        <v>0.8</v>
      </c>
      <c r="C5" s="68">
        <v>0.8</v>
      </c>
      <c r="D5" s="68">
        <f t="shared" ref="D5:E9" si="0">B5*0.12</f>
        <v>9.6000000000000002E-2</v>
      </c>
      <c r="E5" s="69">
        <f t="shared" si="0"/>
        <v>9.6000000000000002E-2</v>
      </c>
      <c r="F5" s="68">
        <v>0.7</v>
      </c>
      <c r="G5" s="68">
        <v>0.7</v>
      </c>
      <c r="H5" s="68">
        <f t="shared" ref="H5:I9" si="1">F5*0.12</f>
        <v>8.3999999999999991E-2</v>
      </c>
      <c r="I5" s="7">
        <f t="shared" si="1"/>
        <v>8.3999999999999991E-2</v>
      </c>
    </row>
    <row r="6" spans="1:9" x14ac:dyDescent="0.25">
      <c r="A6" s="70" t="s">
        <v>98</v>
      </c>
      <c r="B6" s="68" t="s">
        <v>99</v>
      </c>
      <c r="C6" s="68" t="s">
        <v>99</v>
      </c>
      <c r="D6" s="68" t="s">
        <v>100</v>
      </c>
      <c r="E6" s="69" t="s">
        <v>100</v>
      </c>
      <c r="F6" s="68" t="s">
        <v>101</v>
      </c>
      <c r="G6" s="68" t="s">
        <v>101</v>
      </c>
      <c r="H6" s="68" t="s">
        <v>102</v>
      </c>
      <c r="I6" s="7" t="s">
        <v>102</v>
      </c>
    </row>
    <row r="7" spans="1:9" x14ac:dyDescent="0.25">
      <c r="A7" s="14" t="s">
        <v>103</v>
      </c>
      <c r="B7" s="68">
        <v>15</v>
      </c>
      <c r="C7" s="68">
        <v>15</v>
      </c>
      <c r="D7" s="68">
        <f t="shared" si="0"/>
        <v>1.7999999999999998</v>
      </c>
      <c r="E7" s="69">
        <f t="shared" si="0"/>
        <v>1.7999999999999998</v>
      </c>
      <c r="F7" s="68">
        <v>13</v>
      </c>
      <c r="G7" s="68">
        <v>13</v>
      </c>
      <c r="H7" s="68">
        <f t="shared" si="1"/>
        <v>1.56</v>
      </c>
      <c r="I7" s="7">
        <f t="shared" si="1"/>
        <v>1.56</v>
      </c>
    </row>
    <row r="8" spans="1:9" x14ac:dyDescent="0.25">
      <c r="A8" s="14" t="s">
        <v>33</v>
      </c>
      <c r="B8" s="43">
        <v>8.4</v>
      </c>
      <c r="C8" s="43">
        <v>8.4</v>
      </c>
      <c r="D8" s="68">
        <f t="shared" si="0"/>
        <v>1.008</v>
      </c>
      <c r="E8" s="69">
        <f t="shared" si="0"/>
        <v>1.008</v>
      </c>
      <c r="F8" s="43">
        <v>7.5</v>
      </c>
      <c r="G8" s="43">
        <v>7.5</v>
      </c>
      <c r="H8" s="68">
        <f t="shared" si="1"/>
        <v>0.89999999999999991</v>
      </c>
      <c r="I8" s="7">
        <f t="shared" si="1"/>
        <v>0.89999999999999991</v>
      </c>
    </row>
    <row r="9" spans="1:9" x14ac:dyDescent="0.25">
      <c r="A9" s="71" t="s">
        <v>104</v>
      </c>
      <c r="B9" s="43">
        <v>1.1000000000000001</v>
      </c>
      <c r="C9" s="43">
        <v>1.1000000000000001</v>
      </c>
      <c r="D9" s="68">
        <f t="shared" si="0"/>
        <v>0.13200000000000001</v>
      </c>
      <c r="E9" s="69">
        <f t="shared" si="0"/>
        <v>0.13200000000000001</v>
      </c>
      <c r="F9" s="43">
        <v>1</v>
      </c>
      <c r="G9" s="43">
        <v>1</v>
      </c>
      <c r="H9" s="68">
        <f t="shared" si="1"/>
        <v>0.12</v>
      </c>
      <c r="I9" s="7">
        <f t="shared" si="1"/>
        <v>0.12</v>
      </c>
    </row>
    <row r="10" spans="1:9" ht="15" customHeight="1" x14ac:dyDescent="0.25">
      <c r="A10" s="77" t="s">
        <v>105</v>
      </c>
      <c r="B10" s="77"/>
      <c r="C10" s="77"/>
      <c r="D10" s="77"/>
      <c r="E10" s="77"/>
      <c r="F10" s="77"/>
      <c r="G10" s="77"/>
      <c r="H10" s="77"/>
      <c r="I10" s="77"/>
    </row>
    <row r="11" spans="1:9" x14ac:dyDescent="0.25">
      <c r="A11" s="77"/>
      <c r="B11" s="77"/>
      <c r="C11" s="77"/>
      <c r="D11" s="77"/>
      <c r="E11" s="77"/>
      <c r="F11" s="77"/>
      <c r="G11" s="77"/>
      <c r="H11" s="77"/>
      <c r="I11" s="77"/>
    </row>
    <row r="12" spans="1:9" x14ac:dyDescent="0.25">
      <c r="A12" s="77"/>
      <c r="B12" s="77"/>
      <c r="C12" s="77"/>
      <c r="D12" s="77"/>
      <c r="E12" s="77"/>
      <c r="F12" s="77"/>
      <c r="G12" s="77"/>
      <c r="H12" s="77"/>
      <c r="I12" s="77"/>
    </row>
    <row r="13" spans="1:9" x14ac:dyDescent="0.25">
      <c r="A13" s="77"/>
      <c r="B13" s="77"/>
      <c r="C13" s="77"/>
      <c r="D13" s="77"/>
      <c r="E13" s="77"/>
      <c r="F13" s="77"/>
      <c r="G13" s="77"/>
      <c r="H13" s="77"/>
      <c r="I13" s="77"/>
    </row>
    <row r="14" spans="1:9" x14ac:dyDescent="0.25">
      <c r="A14" s="76" t="s">
        <v>106</v>
      </c>
      <c r="B14" s="76"/>
      <c r="C14" s="76"/>
      <c r="D14" s="76"/>
      <c r="E14" s="76"/>
      <c r="F14" s="76"/>
      <c r="G14" s="76"/>
    </row>
    <row r="15" spans="1:9" x14ac:dyDescent="0.25">
      <c r="A15" s="76" t="s">
        <v>107</v>
      </c>
      <c r="B15" s="76"/>
      <c r="C15" s="76"/>
      <c r="D15" s="76"/>
      <c r="E15" s="76"/>
      <c r="F15" s="76"/>
      <c r="G15" s="76"/>
    </row>
    <row r="16" spans="1:9" ht="15" customHeight="1" x14ac:dyDescent="0.25">
      <c r="A16" s="78" t="s">
        <v>108</v>
      </c>
      <c r="B16" s="78"/>
      <c r="C16" s="78"/>
      <c r="D16" s="78"/>
      <c r="E16" s="78"/>
      <c r="F16" s="78"/>
      <c r="G16" s="78"/>
    </row>
    <row r="17" spans="1:7" x14ac:dyDescent="0.25">
      <c r="A17" s="78"/>
      <c r="B17" s="78"/>
      <c r="C17" s="78"/>
      <c r="D17" s="78"/>
      <c r="E17" s="78"/>
      <c r="F17" s="78"/>
      <c r="G17" s="78"/>
    </row>
    <row r="18" spans="1:7" x14ac:dyDescent="0.25">
      <c r="A18" s="78" t="s">
        <v>109</v>
      </c>
      <c r="B18" s="78"/>
      <c r="C18" s="78"/>
      <c r="D18" s="78"/>
      <c r="E18" s="78"/>
      <c r="F18" s="78"/>
      <c r="G18" s="78"/>
    </row>
    <row r="19" spans="1:7" x14ac:dyDescent="0.25">
      <c r="A19" s="78"/>
      <c r="B19" s="78"/>
      <c r="C19" s="78"/>
      <c r="D19" s="78"/>
      <c r="E19" s="78"/>
      <c r="F19" s="78"/>
      <c r="G19" s="78"/>
    </row>
    <row r="20" spans="1:7" x14ac:dyDescent="0.25">
      <c r="A20" s="76" t="s">
        <v>110</v>
      </c>
      <c r="B20" s="76"/>
      <c r="C20" s="76"/>
      <c r="D20" s="76"/>
      <c r="E20" s="76"/>
      <c r="F20" s="76"/>
      <c r="G20" s="76"/>
    </row>
    <row r="21" spans="1:7" x14ac:dyDescent="0.25">
      <c r="A21" s="76" t="s">
        <v>111</v>
      </c>
      <c r="B21" s="76"/>
      <c r="C21" s="76"/>
      <c r="D21" s="76"/>
      <c r="E21" s="76"/>
      <c r="F21" s="76"/>
      <c r="G21" s="76"/>
    </row>
    <row r="22" spans="1:7" x14ac:dyDescent="0.25">
      <c r="A22" s="76" t="s">
        <v>112</v>
      </c>
      <c r="B22" s="76"/>
      <c r="C22" s="76"/>
      <c r="D22" s="76"/>
      <c r="E22" s="76"/>
      <c r="F22" s="76"/>
      <c r="G22" s="76"/>
    </row>
    <row r="23" spans="1:7" x14ac:dyDescent="0.25">
      <c r="A23" s="76" t="s">
        <v>113</v>
      </c>
      <c r="B23" s="76"/>
      <c r="C23" s="76"/>
      <c r="D23" s="76"/>
      <c r="E23" s="76"/>
      <c r="F23" s="76"/>
      <c r="G23" s="76"/>
    </row>
    <row r="24" spans="1:7" x14ac:dyDescent="0.25">
      <c r="A24" s="76" t="s">
        <v>114</v>
      </c>
      <c r="B24" s="76"/>
      <c r="C24" s="76"/>
      <c r="D24" s="76"/>
      <c r="E24" s="76"/>
      <c r="F24" s="76"/>
      <c r="G24" s="76"/>
    </row>
  </sheetData>
  <sheetProtection algorithmName="SHA-512" hashValue="o01x+Rftf7J6VYUsalMLzL3o5yGDFx4iNDGivtg432wHybjqkWMBn9lqgJFzhnTrODCpR7IC9R6dsd0328IC9g==" saltValue="RoAWEQUNwkUhVzfid5v5zg==" spinCount="100000" sheet="1" objects="1" scenarios="1"/>
  <mergeCells count="16">
    <mergeCell ref="A2:I2"/>
    <mergeCell ref="A3:A4"/>
    <mergeCell ref="B3:C3"/>
    <mergeCell ref="D3:E3"/>
    <mergeCell ref="F3:G3"/>
    <mergeCell ref="H3:I3"/>
    <mergeCell ref="A21:G21"/>
    <mergeCell ref="A22:G22"/>
    <mergeCell ref="A23:G23"/>
    <mergeCell ref="A24:G24"/>
    <mergeCell ref="A10:I13"/>
    <mergeCell ref="A14:G14"/>
    <mergeCell ref="A15:G15"/>
    <mergeCell ref="A16:G17"/>
    <mergeCell ref="A18:G19"/>
    <mergeCell ref="A20:G20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E15" sqref="E15"/>
    </sheetView>
  </sheetViews>
  <sheetFormatPr defaultRowHeight="15" x14ac:dyDescent="0.25"/>
  <cols>
    <col min="1" max="1" width="32.5703125" style="17" customWidth="1"/>
    <col min="2" max="2" width="8.42578125" style="17" customWidth="1"/>
    <col min="3" max="3" width="7.140625" style="17" bestFit="1" customWidth="1"/>
    <col min="4" max="5" width="9.140625" style="17"/>
    <col min="6" max="6" width="8.42578125" style="17" bestFit="1" customWidth="1"/>
    <col min="7" max="9" width="9.140625" style="17"/>
    <col min="12" max="16384" width="9.140625" style="17"/>
  </cols>
  <sheetData>
    <row r="1" spans="1:11" ht="15" customHeight="1" x14ac:dyDescent="0.25">
      <c r="A1" s="1" t="s">
        <v>27</v>
      </c>
      <c r="B1" s="2"/>
      <c r="C1" s="2"/>
      <c r="D1" s="2"/>
      <c r="E1" s="2"/>
      <c r="F1" s="2"/>
      <c r="G1" s="2"/>
      <c r="H1" s="2"/>
      <c r="I1" s="2"/>
    </row>
    <row r="2" spans="1:11" ht="15" customHeight="1" x14ac:dyDescent="0.25">
      <c r="A2" s="18"/>
      <c r="B2" s="19"/>
      <c r="C2" s="20"/>
      <c r="D2" s="20"/>
      <c r="E2" s="20"/>
      <c r="F2" s="20"/>
      <c r="G2" s="20"/>
      <c r="H2" s="20"/>
      <c r="I2" s="20"/>
    </row>
    <row r="3" spans="1:11" ht="15" customHeight="1" x14ac:dyDescent="0.25">
      <c r="A3" s="96" t="s">
        <v>28</v>
      </c>
      <c r="B3" s="98" t="s">
        <v>29</v>
      </c>
      <c r="C3" s="99"/>
      <c r="D3" s="99"/>
      <c r="E3" s="99"/>
      <c r="F3" s="99"/>
      <c r="G3" s="99"/>
      <c r="H3" s="99"/>
      <c r="I3" s="100"/>
    </row>
    <row r="4" spans="1:11" ht="15" customHeight="1" x14ac:dyDescent="0.25">
      <c r="A4" s="97"/>
      <c r="B4" s="21" t="s">
        <v>30</v>
      </c>
      <c r="C4" s="22" t="s">
        <v>22</v>
      </c>
      <c r="D4" s="22" t="s">
        <v>31</v>
      </c>
      <c r="E4" s="22" t="s">
        <v>32</v>
      </c>
      <c r="F4" s="22" t="s">
        <v>33</v>
      </c>
      <c r="G4" s="22" t="s">
        <v>34</v>
      </c>
      <c r="H4" s="22" t="s">
        <v>35</v>
      </c>
      <c r="I4" s="22" t="s">
        <v>36</v>
      </c>
    </row>
    <row r="5" spans="1:11" s="26" customFormat="1" ht="15" customHeight="1" x14ac:dyDescent="0.25">
      <c r="A5" s="85" t="s">
        <v>37</v>
      </c>
      <c r="B5" s="23">
        <v>50</v>
      </c>
      <c r="C5" s="24">
        <v>9.3630013476799761E-3</v>
      </c>
      <c r="D5" s="24">
        <v>8.6033551570891521E-5</v>
      </c>
      <c r="E5" s="24">
        <v>7.4519991808693467E-2</v>
      </c>
      <c r="F5" s="24">
        <v>9.6138212535283471E-2</v>
      </c>
      <c r="G5" s="24">
        <v>4.226926262316423E-2</v>
      </c>
      <c r="H5" s="24">
        <v>6.6550780871892741</v>
      </c>
      <c r="I5" s="24">
        <v>3.8138874603585002E-3</v>
      </c>
    </row>
    <row r="6" spans="1:11" s="26" customFormat="1" ht="15" customHeight="1" x14ac:dyDescent="0.25">
      <c r="A6" s="86"/>
      <c r="B6" s="23">
        <v>120</v>
      </c>
      <c r="C6" s="24">
        <v>1.9432717920016346E-2</v>
      </c>
      <c r="D6" s="24">
        <v>1.6614354833010314E-4</v>
      </c>
      <c r="E6" s="24">
        <v>0.19770476916405869</v>
      </c>
      <c r="F6" s="24">
        <v>0.10602299202233414</v>
      </c>
      <c r="G6" s="24">
        <v>3.5663485612068627E-2</v>
      </c>
      <c r="H6" s="24">
        <v>14.163368243694034</v>
      </c>
      <c r="I6" s="24">
        <v>3.217858921102401E-3</v>
      </c>
      <c r="J6" s="25"/>
      <c r="K6" s="25"/>
    </row>
    <row r="7" spans="1:11" s="26" customFormat="1" ht="15" customHeight="1" x14ac:dyDescent="0.25">
      <c r="A7" s="86"/>
      <c r="B7" s="23">
        <v>175</v>
      </c>
      <c r="C7" s="24">
        <v>1.8879850739384012E-2</v>
      </c>
      <c r="D7" s="24">
        <v>2.8608393717488665E-4</v>
      </c>
      <c r="E7" s="24">
        <v>0.31861247152656436</v>
      </c>
      <c r="F7" s="24">
        <v>0.15162091846570119</v>
      </c>
      <c r="G7" s="24">
        <v>4.2373566784726938E-2</v>
      </c>
      <c r="H7" s="24">
        <v>25.425804730599385</v>
      </c>
      <c r="I7" s="24">
        <v>3.8232977904108984E-3</v>
      </c>
      <c r="J7" s="25"/>
      <c r="K7" s="25"/>
    </row>
    <row r="8" spans="1:11" s="26" customFormat="1" ht="15" customHeight="1" x14ac:dyDescent="0.25">
      <c r="A8" s="86"/>
      <c r="B8" s="23">
        <v>250</v>
      </c>
      <c r="C8" s="24">
        <v>1.2379282144095784E-2</v>
      </c>
      <c r="D8" s="24">
        <v>3.9360565132436678E-4</v>
      </c>
      <c r="E8" s="24">
        <v>0.40506800826818495</v>
      </c>
      <c r="F8" s="24">
        <v>8.7074543299048776E-2</v>
      </c>
      <c r="G8" s="24">
        <v>3.457791520160676E-2</v>
      </c>
      <c r="H8" s="24">
        <v>34.981822100661624</v>
      </c>
      <c r="I8" s="24">
        <v>3.1199098492446938E-3</v>
      </c>
      <c r="J8" s="25"/>
      <c r="K8" s="25"/>
    </row>
    <row r="9" spans="1:11" s="26" customFormat="1" ht="15" customHeight="1" x14ac:dyDescent="0.25">
      <c r="A9" s="87"/>
      <c r="B9" s="23">
        <v>500</v>
      </c>
      <c r="C9" s="24">
        <v>1.6493488182013304E-2</v>
      </c>
      <c r="D9" s="24">
        <v>4.9410057705164077E-4</v>
      </c>
      <c r="E9" s="24">
        <v>0.50757511605008721</v>
      </c>
      <c r="F9" s="24">
        <v>0.12597072839531243</v>
      </c>
      <c r="G9" s="24">
        <v>4.4813003055424828E-2</v>
      </c>
      <c r="H9" s="24">
        <v>50.339707371204433</v>
      </c>
      <c r="I9" s="24">
        <v>4.0434057363924357E-3</v>
      </c>
      <c r="J9" s="25"/>
      <c r="K9" s="25"/>
    </row>
    <row r="10" spans="1:11" s="26" customFormat="1" ht="15" customHeight="1" x14ac:dyDescent="0.25">
      <c r="A10" s="27" t="s">
        <v>38</v>
      </c>
      <c r="B10" s="28"/>
      <c r="C10" s="29">
        <v>1.5679217258560096E-2</v>
      </c>
      <c r="D10" s="29">
        <v>2.7344430397525926E-4</v>
      </c>
      <c r="E10" s="29">
        <v>0.29166478621703318</v>
      </c>
      <c r="F10" s="29">
        <v>0.11318837071254896</v>
      </c>
      <c r="G10" s="29">
        <v>3.9051256187841339E-2</v>
      </c>
      <c r="H10" s="29">
        <v>24.673479409814476</v>
      </c>
      <c r="I10" s="29">
        <v>3.5235318676344273E-3</v>
      </c>
      <c r="J10" s="25"/>
      <c r="K10" s="25"/>
    </row>
    <row r="11" spans="1:11" s="30" customFormat="1" ht="15" customHeight="1" x14ac:dyDescent="0.25">
      <c r="A11" s="85" t="s">
        <v>39</v>
      </c>
      <c r="B11" s="23">
        <v>25</v>
      </c>
      <c r="C11" s="24">
        <v>4.2993799041926711E-3</v>
      </c>
      <c r="D11" s="24">
        <v>9.1296592193091332E-5</v>
      </c>
      <c r="E11" s="24">
        <v>6.5440289132956825E-2</v>
      </c>
      <c r="F11" s="24">
        <v>3.3633509942077471E-2</v>
      </c>
      <c r="G11" s="24">
        <v>1.1508485911818236E-2</v>
      </c>
      <c r="H11" s="24">
        <v>7.1954483850413915</v>
      </c>
      <c r="I11" s="24">
        <v>1.0383921111938525E-3</v>
      </c>
      <c r="K11" s="31"/>
    </row>
    <row r="12" spans="1:11" s="30" customFormat="1" ht="15" customHeight="1" x14ac:dyDescent="0.25">
      <c r="A12" s="86"/>
      <c r="B12" s="23">
        <v>50</v>
      </c>
      <c r="C12" s="24">
        <v>1.7631358511479581E-2</v>
      </c>
      <c r="D12" s="24">
        <v>1.7794975038828265E-4</v>
      </c>
      <c r="E12" s="24">
        <v>0.14903238250667758</v>
      </c>
      <c r="F12" s="24">
        <v>0.18074283872717251</v>
      </c>
      <c r="G12" s="24">
        <v>7.6387016452257483E-2</v>
      </c>
      <c r="H12" s="24">
        <v>13.76520334369236</v>
      </c>
      <c r="I12" s="24">
        <v>6.8922783063073137E-3</v>
      </c>
      <c r="K12" s="31"/>
    </row>
    <row r="13" spans="1:11" s="30" customFormat="1" ht="15" customHeight="1" x14ac:dyDescent="0.25">
      <c r="A13" s="86"/>
      <c r="B13" s="23">
        <v>120</v>
      </c>
      <c r="C13" s="24">
        <v>2.8793655488323529E-2</v>
      </c>
      <c r="D13" s="24">
        <v>2.7523798360286437E-4</v>
      </c>
      <c r="E13" s="24">
        <v>0.31658028839538099</v>
      </c>
      <c r="F13" s="24">
        <v>0.1700059255667182</v>
      </c>
      <c r="G13" s="24">
        <v>5.3477532985904644E-2</v>
      </c>
      <c r="H13" s="24">
        <v>23.463418200709462</v>
      </c>
      <c r="I13" s="24">
        <v>4.8251907166579257E-3</v>
      </c>
      <c r="K13" s="31"/>
    </row>
    <row r="14" spans="1:11" s="30" customFormat="1" ht="15" customHeight="1" x14ac:dyDescent="0.25">
      <c r="A14" s="86"/>
      <c r="B14" s="23">
        <v>175</v>
      </c>
      <c r="C14" s="24">
        <v>3.0494186982476291E-2</v>
      </c>
      <c r="D14" s="24">
        <v>5.1744728478251136E-4</v>
      </c>
      <c r="E14" s="24">
        <v>0.54817627070056141</v>
      </c>
      <c r="F14" s="24">
        <v>0.26843458796213893</v>
      </c>
      <c r="G14" s="24">
        <v>6.8627539491954881E-2</v>
      </c>
      <c r="H14" s="24">
        <v>45.988295551139728</v>
      </c>
      <c r="I14" s="24">
        <v>6.1921516315141352E-3</v>
      </c>
      <c r="K14" s="31"/>
    </row>
    <row r="15" spans="1:11" s="30" customFormat="1" ht="15" customHeight="1" x14ac:dyDescent="0.25">
      <c r="A15" s="86"/>
      <c r="B15" s="23">
        <v>250</v>
      </c>
      <c r="C15" s="24">
        <v>2.9155253425145213E-2</v>
      </c>
      <c r="D15" s="24">
        <v>8.7649223561064675E-4</v>
      </c>
      <c r="E15" s="24">
        <v>0.87589188757724734</v>
      </c>
      <c r="F15" s="24">
        <v>0.21389105427558991</v>
      </c>
      <c r="G15" s="24">
        <v>7.7732208449766999E-2</v>
      </c>
      <c r="H15" s="24">
        <v>77.8985510740942</v>
      </c>
      <c r="I15" s="24">
        <v>7.0136532927874019E-3</v>
      </c>
      <c r="K15" s="31"/>
    </row>
    <row r="16" spans="1:11" s="30" customFormat="1" ht="15" customHeight="1" x14ac:dyDescent="0.25">
      <c r="A16" s="86"/>
      <c r="B16" s="23">
        <v>500</v>
      </c>
      <c r="C16" s="24">
        <v>5.3371339046329104E-2</v>
      </c>
      <c r="D16" s="24">
        <v>1.7600242801699612E-3</v>
      </c>
      <c r="E16" s="24">
        <v>1.5318509433408045</v>
      </c>
      <c r="F16" s="24">
        <v>0.4661958986283859</v>
      </c>
      <c r="G16" s="24">
        <v>0.13941748462093068</v>
      </c>
      <c r="H16" s="24">
        <v>156.42277258813226</v>
      </c>
      <c r="I16" s="24">
        <v>1.2579415973929685E-2</v>
      </c>
      <c r="K16" s="31"/>
    </row>
    <row r="17" spans="1:11" s="30" customFormat="1" ht="15" customHeight="1" x14ac:dyDescent="0.25">
      <c r="A17" s="87"/>
      <c r="B17" s="23">
        <v>750</v>
      </c>
      <c r="C17" s="24">
        <v>8.1348675299048601E-2</v>
      </c>
      <c r="D17" s="24">
        <v>2.6400371913497286E-3</v>
      </c>
      <c r="E17" s="24">
        <v>2.3755791915327618</v>
      </c>
      <c r="F17" s="24">
        <v>0.69718176828863765</v>
      </c>
      <c r="G17" s="24">
        <v>0.21267820994758979</v>
      </c>
      <c r="H17" s="24">
        <v>234.6341911864601</v>
      </c>
      <c r="I17" s="24">
        <v>1.91896162755213E-2</v>
      </c>
      <c r="K17" s="31"/>
    </row>
    <row r="18" spans="1:11" s="26" customFormat="1" ht="15" customHeight="1" x14ac:dyDescent="0.25">
      <c r="A18" s="27" t="s">
        <v>40</v>
      </c>
      <c r="B18" s="28"/>
      <c r="C18" s="29">
        <v>2.8996078341795493E-2</v>
      </c>
      <c r="D18" s="29">
        <v>3.515987480772005E-4</v>
      </c>
      <c r="E18" s="29">
        <v>0.3766332548797291</v>
      </c>
      <c r="F18" s="29">
        <v>0.18787720505264702</v>
      </c>
      <c r="G18" s="29">
        <v>5.9282560995325584E-2</v>
      </c>
      <c r="H18" s="29">
        <v>30.303135615705571</v>
      </c>
      <c r="I18" s="29">
        <v>5.3489693010124002E-3</v>
      </c>
      <c r="J18" s="25"/>
      <c r="K18" s="25"/>
    </row>
    <row r="20" spans="1:11" ht="15" customHeight="1" x14ac:dyDescent="0.25">
      <c r="F20" s="32"/>
    </row>
    <row r="21" spans="1:11" x14ac:dyDescent="0.25">
      <c r="A21" s="88" t="s">
        <v>25</v>
      </c>
      <c r="B21" s="91"/>
      <c r="C21" s="91"/>
      <c r="D21" s="91"/>
      <c r="E21" s="91"/>
      <c r="F21" s="91"/>
    </row>
    <row r="22" spans="1:11" x14ac:dyDescent="0.25">
      <c r="A22" s="89"/>
      <c r="B22" s="92"/>
      <c r="C22" s="92"/>
      <c r="D22" s="92"/>
      <c r="E22" s="92"/>
      <c r="F22" s="92"/>
    </row>
    <row r="23" spans="1:11" x14ac:dyDescent="0.25">
      <c r="A23" s="89"/>
      <c r="B23" s="92"/>
      <c r="C23" s="92"/>
      <c r="D23" s="92"/>
      <c r="E23" s="92"/>
      <c r="F23" s="92"/>
    </row>
    <row r="24" spans="1:11" x14ac:dyDescent="0.25">
      <c r="A24" s="89"/>
      <c r="B24" s="93" t="s">
        <v>41</v>
      </c>
      <c r="C24" s="93"/>
      <c r="D24" s="93"/>
      <c r="E24" s="93"/>
      <c r="F24" s="93"/>
    </row>
    <row r="25" spans="1:11" x14ac:dyDescent="0.25">
      <c r="A25" s="89"/>
      <c r="B25" s="94"/>
      <c r="C25" s="94"/>
      <c r="D25" s="94"/>
      <c r="E25" s="94"/>
      <c r="F25" s="94"/>
    </row>
    <row r="26" spans="1:11" x14ac:dyDescent="0.25">
      <c r="A26" s="89"/>
      <c r="B26" s="94"/>
      <c r="C26" s="94"/>
      <c r="D26" s="94"/>
      <c r="E26" s="94"/>
      <c r="F26" s="94"/>
    </row>
    <row r="27" spans="1:11" x14ac:dyDescent="0.25">
      <c r="A27" s="90"/>
      <c r="B27" s="95"/>
      <c r="C27" s="95"/>
      <c r="D27" s="95"/>
      <c r="E27" s="95"/>
      <c r="F27" s="95"/>
    </row>
    <row r="28" spans="1:11" x14ac:dyDescent="0.25">
      <c r="A28" s="33"/>
      <c r="B28" s="33"/>
      <c r="C28" s="33"/>
      <c r="D28" s="33"/>
      <c r="E28" s="33"/>
      <c r="F28" s="33"/>
    </row>
    <row r="29" spans="1:11" x14ac:dyDescent="0.25">
      <c r="A29" s="1" t="s">
        <v>42</v>
      </c>
      <c r="B29" s="33"/>
      <c r="C29" s="33"/>
      <c r="D29" s="33"/>
      <c r="E29" s="33"/>
      <c r="F29" s="33"/>
    </row>
    <row r="30" spans="1:11" x14ac:dyDescent="0.25">
      <c r="A30" s="1" t="s">
        <v>43</v>
      </c>
      <c r="B30" s="33"/>
      <c r="C30" s="33"/>
      <c r="D30" s="33"/>
      <c r="E30" s="33"/>
      <c r="F30" s="33"/>
    </row>
  </sheetData>
  <sheetProtection algorithmName="SHA-512" hashValue="pEd+DjRcKF8o0mVsn1ykUJfd1GRo77z0QzfZWGI2E9CQD9c3+cOiSWMibDSxrTNWCMt2NKvqlj/J0KgJ9ey9jQ==" saltValue="2nbp9Lv9VZDal1Dcw/PoMA==" spinCount="100000" sheet="1" objects="1" scenarios="1"/>
  <mergeCells count="7">
    <mergeCell ref="A11:A17"/>
    <mergeCell ref="A21:A27"/>
    <mergeCell ref="B21:F23"/>
    <mergeCell ref="B24:F27"/>
    <mergeCell ref="A3:A4"/>
    <mergeCell ref="B3:I3"/>
    <mergeCell ref="A5:A9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5"/>
  <sheetViews>
    <sheetView workbookViewId="0">
      <selection activeCell="F7" sqref="F7:F8"/>
    </sheetView>
  </sheetViews>
  <sheetFormatPr defaultRowHeight="15" x14ac:dyDescent="0.25"/>
  <cols>
    <col min="1" max="3" width="16.28515625" customWidth="1"/>
  </cols>
  <sheetData>
    <row r="1" spans="1:4" x14ac:dyDescent="0.25">
      <c r="A1" s="1" t="s">
        <v>81</v>
      </c>
    </row>
    <row r="2" spans="1:4" x14ac:dyDescent="0.25">
      <c r="A2" s="101" t="s">
        <v>73</v>
      </c>
      <c r="B2" s="84"/>
      <c r="C2" s="102"/>
    </row>
    <row r="3" spans="1:4" x14ac:dyDescent="0.25">
      <c r="A3" s="6" t="s">
        <v>15</v>
      </c>
      <c r="B3" s="6" t="s">
        <v>16</v>
      </c>
      <c r="C3" s="6" t="s">
        <v>17</v>
      </c>
      <c r="D3" s="3"/>
    </row>
    <row r="4" spans="1:4" x14ac:dyDescent="0.25">
      <c r="A4" s="7">
        <v>0.74</v>
      </c>
      <c r="B4" s="7">
        <v>0.35</v>
      </c>
      <c r="C4" s="7">
        <v>5.2999999999999999E-2</v>
      </c>
      <c r="D4" s="3"/>
    </row>
    <row r="6" spans="1:4" x14ac:dyDescent="0.25">
      <c r="A6" s="103" t="s">
        <v>25</v>
      </c>
      <c r="B6" s="104"/>
      <c r="C6" s="105"/>
      <c r="D6" s="106"/>
    </row>
    <row r="7" spans="1:4" x14ac:dyDescent="0.25">
      <c r="A7" s="103"/>
      <c r="B7" s="107"/>
      <c r="C7" s="108"/>
      <c r="D7" s="109"/>
    </row>
    <row r="8" spans="1:4" x14ac:dyDescent="0.25">
      <c r="A8" s="103"/>
      <c r="B8" s="107"/>
      <c r="C8" s="108"/>
      <c r="D8" s="109"/>
    </row>
    <row r="9" spans="1:4" x14ac:dyDescent="0.25">
      <c r="A9" s="103"/>
      <c r="B9" s="107"/>
      <c r="C9" s="108"/>
      <c r="D9" s="109"/>
    </row>
    <row r="10" spans="1:4" x14ac:dyDescent="0.25">
      <c r="A10" s="103"/>
      <c r="B10" s="110"/>
      <c r="C10" s="111"/>
      <c r="D10" s="112"/>
    </row>
    <row r="11" spans="1:4" x14ac:dyDescent="0.25">
      <c r="A11" s="103"/>
      <c r="B11" s="113" t="s">
        <v>26</v>
      </c>
      <c r="C11" s="114"/>
      <c r="D11" s="115"/>
    </row>
    <row r="12" spans="1:4" x14ac:dyDescent="0.25">
      <c r="A12" s="103"/>
      <c r="B12" s="116"/>
      <c r="C12" s="78"/>
      <c r="D12" s="117"/>
    </row>
    <row r="13" spans="1:4" x14ac:dyDescent="0.25">
      <c r="A13" s="103"/>
      <c r="B13" s="116"/>
      <c r="C13" s="78"/>
      <c r="D13" s="117"/>
    </row>
    <row r="14" spans="1:4" x14ac:dyDescent="0.25">
      <c r="A14" s="103"/>
      <c r="B14" s="116"/>
      <c r="C14" s="78"/>
      <c r="D14" s="117"/>
    </row>
    <row r="15" spans="1:4" x14ac:dyDescent="0.25">
      <c r="A15" s="103"/>
      <c r="B15" s="118"/>
      <c r="C15" s="119"/>
      <c r="D15" s="120"/>
    </row>
  </sheetData>
  <sheetProtection algorithmName="SHA-512" hashValue="wHZYc8P44H4vdZwpVyoGBC2yI0d5dF646vYRDudHkA4YxD0ScMsZ7FdeVHSOMJw3K8Jle7q8y1Zj8hyzCPqgjg==" saltValue="47PptqTCAADsxMFervIikQ==" spinCount="100000" sheet="1" objects="1" scenarios="1"/>
  <mergeCells count="4">
    <mergeCell ref="A2:C2"/>
    <mergeCell ref="A6:A15"/>
    <mergeCell ref="B6:D10"/>
    <mergeCell ref="B11:D15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F20" sqref="F19:F20"/>
    </sheetView>
  </sheetViews>
  <sheetFormatPr defaultRowHeight="15" customHeight="1" x14ac:dyDescent="0.25"/>
  <cols>
    <col min="1" max="1" width="26.7109375" style="1" customWidth="1"/>
    <col min="2" max="2" width="17.5703125" style="1" bestFit="1" customWidth="1"/>
    <col min="3" max="3" width="9.140625" style="1"/>
    <col min="4" max="4" width="13.140625" style="1" customWidth="1"/>
    <col min="5" max="16384" width="9.140625" style="1"/>
  </cols>
  <sheetData>
    <row r="1" spans="1:4" ht="15" customHeight="1" x14ac:dyDescent="0.25">
      <c r="A1" s="1" t="s">
        <v>82</v>
      </c>
    </row>
    <row r="3" spans="1:4" ht="15" customHeight="1" x14ac:dyDescent="0.25">
      <c r="A3" s="46" t="s">
        <v>13</v>
      </c>
      <c r="B3" s="59">
        <v>180000</v>
      </c>
    </row>
    <row r="5" spans="1:4" ht="15" customHeight="1" x14ac:dyDescent="0.25">
      <c r="A5" s="46" t="s">
        <v>0</v>
      </c>
      <c r="B5" s="46" t="s">
        <v>1</v>
      </c>
    </row>
    <row r="6" spans="1:4" ht="15" customHeight="1" x14ac:dyDescent="0.25">
      <c r="A6" s="18" t="s">
        <v>3</v>
      </c>
      <c r="B6" s="60">
        <v>20957</v>
      </c>
    </row>
    <row r="7" spans="1:4" ht="15" customHeight="1" x14ac:dyDescent="0.25">
      <c r="A7" s="18" t="s">
        <v>6</v>
      </c>
      <c r="B7" s="60">
        <v>3061</v>
      </c>
    </row>
    <row r="8" spans="1:4" ht="15" customHeight="1" x14ac:dyDescent="0.25">
      <c r="A8" s="18" t="s">
        <v>4</v>
      </c>
      <c r="B8" s="60">
        <v>452</v>
      </c>
    </row>
    <row r="9" spans="1:4" ht="15" customHeight="1" x14ac:dyDescent="0.25">
      <c r="A9" s="18" t="s">
        <v>48</v>
      </c>
      <c r="B9" s="60">
        <v>35469</v>
      </c>
    </row>
    <row r="10" spans="1:4" ht="15" customHeight="1" x14ac:dyDescent="0.25">
      <c r="A10" s="18" t="s">
        <v>5</v>
      </c>
      <c r="B10" s="60">
        <v>199</v>
      </c>
    </row>
    <row r="11" spans="1:4" ht="15" customHeight="1" x14ac:dyDescent="0.25">
      <c r="A11" s="18" t="s">
        <v>49</v>
      </c>
      <c r="B11" s="60">
        <v>7078</v>
      </c>
    </row>
    <row r="12" spans="1:4" ht="15" customHeight="1" x14ac:dyDescent="0.25">
      <c r="A12" s="18" t="s">
        <v>2</v>
      </c>
      <c r="B12" s="60">
        <v>465</v>
      </c>
    </row>
    <row r="13" spans="1:4" ht="15" customHeight="1" x14ac:dyDescent="0.25">
      <c r="A13" s="18" t="s">
        <v>50</v>
      </c>
      <c r="B13" s="60">
        <v>606</v>
      </c>
    </row>
    <row r="14" spans="1:4" ht="15" customHeight="1" x14ac:dyDescent="0.25">
      <c r="A14" s="18" t="s">
        <v>51</v>
      </c>
      <c r="B14" s="60">
        <v>1185</v>
      </c>
    </row>
    <row r="15" spans="1:4" ht="15" customHeight="1" x14ac:dyDescent="0.25">
      <c r="A15" s="18" t="s">
        <v>52</v>
      </c>
      <c r="B15" s="60">
        <v>1924</v>
      </c>
    </row>
    <row r="16" spans="1:4" ht="15" customHeight="1" x14ac:dyDescent="0.25">
      <c r="A16" s="18" t="s">
        <v>53</v>
      </c>
      <c r="B16" s="60">
        <v>35469</v>
      </c>
      <c r="D16" s="62"/>
    </row>
    <row r="17" spans="1:2" ht="15" customHeight="1" x14ac:dyDescent="0.25">
      <c r="A17" s="18" t="s">
        <v>54</v>
      </c>
      <c r="B17" s="60">
        <v>16569</v>
      </c>
    </row>
    <row r="18" spans="1:2" ht="15" customHeight="1" x14ac:dyDescent="0.25">
      <c r="A18" s="46" t="s">
        <v>7</v>
      </c>
      <c r="B18" s="61">
        <f>SUM(B6:B17)</f>
        <v>123434</v>
      </c>
    </row>
    <row r="19" spans="1:2" ht="15" customHeight="1" x14ac:dyDescent="0.25">
      <c r="A19" s="62"/>
      <c r="B19" s="62"/>
    </row>
    <row r="20" spans="1:2" ht="15" customHeight="1" x14ac:dyDescent="0.25">
      <c r="A20" s="62"/>
      <c r="B20" s="62"/>
    </row>
  </sheetData>
  <sheetProtection algorithmName="SHA-512" hashValue="LoeGSME0zdnadXlM8852jjLjVadtshdvgcoXeAA+GDv/xyW6DNhvTP++ggpiJRuaUD8t+fcfLV3Eb2/xjFXVew==" saltValue="Hq8BoxlSQumq+zdaW4ivrQ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7"/>
  <sheetViews>
    <sheetView workbookViewId="0">
      <selection activeCell="L8" sqref="L8"/>
    </sheetView>
  </sheetViews>
  <sheetFormatPr defaultRowHeight="15" customHeight="1" x14ac:dyDescent="0.25"/>
  <cols>
    <col min="1" max="1" width="19.5703125" style="3" customWidth="1"/>
    <col min="2" max="2" width="13" style="3" customWidth="1"/>
    <col min="3" max="3" width="12.28515625" style="4" customWidth="1"/>
    <col min="4" max="5" width="12.42578125" style="3" customWidth="1"/>
    <col min="6" max="6" width="14.85546875" style="3" customWidth="1"/>
    <col min="7" max="7" width="9.140625" style="4"/>
    <col min="8" max="13" width="9.140625" style="3"/>
    <col min="14" max="14" width="14.28515625" style="3" customWidth="1"/>
    <col min="15" max="16" width="12.28515625" style="3" customWidth="1"/>
    <col min="17" max="16384" width="9.140625" style="3"/>
  </cols>
  <sheetData>
    <row r="1" spans="1:21" ht="15" customHeight="1" x14ac:dyDescent="0.25">
      <c r="A1" s="3" t="s">
        <v>60</v>
      </c>
      <c r="B1" s="57">
        <f>Dados!B3</f>
        <v>180000</v>
      </c>
      <c r="R1"/>
    </row>
    <row r="2" spans="1:21" ht="15" customHeight="1" x14ac:dyDescent="0.25">
      <c r="A2" s="1" t="s">
        <v>14</v>
      </c>
      <c r="B2" s="58">
        <v>4.1937865160171146</v>
      </c>
      <c r="R2"/>
    </row>
    <row r="3" spans="1:21" ht="15" customHeight="1" x14ac:dyDescent="0.25">
      <c r="A3" s="3" t="s">
        <v>56</v>
      </c>
      <c r="B3" s="4" t="s">
        <v>57</v>
      </c>
    </row>
    <row r="4" spans="1:21" ht="15" customHeight="1" x14ac:dyDescent="0.25">
      <c r="S4" s="8"/>
      <c r="T4" s="8"/>
      <c r="U4" s="8"/>
    </row>
    <row r="5" spans="1:21" s="8" customFormat="1" ht="15" customHeight="1" x14ac:dyDescent="0.25">
      <c r="A5" s="131" t="s">
        <v>18</v>
      </c>
      <c r="B5" s="127" t="s">
        <v>115</v>
      </c>
      <c r="C5" s="129" t="s">
        <v>116</v>
      </c>
      <c r="D5" s="133" t="s">
        <v>19</v>
      </c>
      <c r="E5" s="126" t="s">
        <v>59</v>
      </c>
      <c r="F5" s="133" t="s">
        <v>74</v>
      </c>
      <c r="G5" s="124" t="s">
        <v>20</v>
      </c>
      <c r="H5" s="125"/>
      <c r="I5" s="125"/>
      <c r="J5" s="124" t="s">
        <v>21</v>
      </c>
      <c r="K5" s="125"/>
      <c r="L5" s="125"/>
      <c r="R5"/>
    </row>
    <row r="6" spans="1:21" s="8" customFormat="1" ht="15" customHeight="1" x14ac:dyDescent="0.2">
      <c r="A6" s="132"/>
      <c r="B6" s="128"/>
      <c r="C6" s="130"/>
      <c r="D6" s="126"/>
      <c r="E6" s="126"/>
      <c r="F6" s="126"/>
      <c r="G6" s="9" t="s">
        <v>22</v>
      </c>
      <c r="H6" s="9" t="s">
        <v>23</v>
      </c>
      <c r="I6" s="9" t="s">
        <v>24</v>
      </c>
      <c r="J6" s="9" t="s">
        <v>22</v>
      </c>
      <c r="K6" s="9" t="s">
        <v>23</v>
      </c>
      <c r="L6" s="9" t="s">
        <v>24</v>
      </c>
      <c r="R6" s="50"/>
      <c r="S6" s="5"/>
      <c r="T6" s="5"/>
      <c r="U6" s="5"/>
    </row>
    <row r="7" spans="1:21" s="5" customFormat="1" ht="15" customHeight="1" x14ac:dyDescent="0.2">
      <c r="A7" s="5" t="s">
        <v>47</v>
      </c>
      <c r="B7" s="10">
        <v>-20.162338999999999</v>
      </c>
      <c r="C7" s="10">
        <v>-40.243200000000002</v>
      </c>
      <c r="D7" s="12">
        <v>0</v>
      </c>
      <c r="E7" s="43">
        <v>3</v>
      </c>
      <c r="F7" s="39">
        <f>Dados!B18/8760</f>
        <v>14.090639269406394</v>
      </c>
      <c r="G7" s="13">
        <f>0.74*(0.0016)*((B2/2.2)^1.3)/((E7/2)^1.4)</f>
        <v>1.5526110379049159E-3</v>
      </c>
      <c r="H7" s="13">
        <f>0.35*(0.0016)*((B2/2.2)^1.3)/((E7/2)^1.4)</f>
        <v>7.3434305846854125E-4</v>
      </c>
      <c r="I7" s="13">
        <f>0.053*(0.0016)*((B2/2.2)^1.3)/((E7/2)^1.4)</f>
        <v>1.1120052028237912E-4</v>
      </c>
      <c r="J7" s="11">
        <f>(F7*G7)*(1-$D$7/100)</f>
        <v>2.1877282060816829E-2</v>
      </c>
      <c r="K7" s="11">
        <f>(F7*H7)*(1-$D$7/100)</f>
        <v>1.0347363136872822E-2</v>
      </c>
      <c r="L7" s="11">
        <f>(F7*I7)*(1-$D$7/100)</f>
        <v>1.5668864178693133E-3</v>
      </c>
      <c r="R7" s="50"/>
    </row>
    <row r="8" spans="1:21" s="5" customFormat="1" ht="15" customHeight="1" x14ac:dyDescent="0.2">
      <c r="A8" s="121" t="s">
        <v>83</v>
      </c>
      <c r="B8" s="122"/>
      <c r="C8" s="122"/>
      <c r="D8" s="122"/>
      <c r="E8" s="122"/>
      <c r="F8" s="122"/>
      <c r="G8" s="122"/>
      <c r="H8" s="122"/>
      <c r="I8" s="123"/>
      <c r="J8" s="63">
        <f>SUM(J7:J7)</f>
        <v>2.1877282060816829E-2</v>
      </c>
      <c r="K8" s="63">
        <f>SUM(K7:K7)</f>
        <v>1.0347363136872822E-2</v>
      </c>
      <c r="L8" s="64">
        <f>SUM(L7:L7)</f>
        <v>1.5668864178693133E-3</v>
      </c>
      <c r="R8" s="50"/>
    </row>
    <row r="9" spans="1:21" s="5" customFormat="1" ht="15" customHeight="1" x14ac:dyDescent="0.2">
      <c r="A9" s="3"/>
      <c r="B9" s="3"/>
      <c r="C9" s="3"/>
      <c r="D9" s="3"/>
      <c r="E9" s="3"/>
      <c r="F9" s="3"/>
      <c r="G9" s="4"/>
      <c r="H9" s="3"/>
      <c r="I9" s="3"/>
      <c r="J9" s="3"/>
      <c r="K9" s="3"/>
      <c r="L9" s="3"/>
      <c r="R9" s="50"/>
      <c r="S9" s="3"/>
      <c r="T9" s="3"/>
      <c r="U9" s="3"/>
    </row>
    <row r="10" spans="1:21" ht="15" customHeight="1" x14ac:dyDescent="0.2">
      <c r="R10" s="50"/>
    </row>
    <row r="11" spans="1:21" ht="15" customHeight="1" x14ac:dyDescent="0.25">
      <c r="R11" s="51"/>
    </row>
    <row r="12" spans="1:21" ht="15" customHeight="1" x14ac:dyDescent="0.25">
      <c r="R12" s="51"/>
    </row>
    <row r="13" spans="1:21" ht="15" customHeight="1" x14ac:dyDescent="0.25">
      <c r="R13" s="51"/>
    </row>
    <row r="14" spans="1:21" ht="15" customHeight="1" x14ac:dyDescent="0.25">
      <c r="A14" s="14"/>
      <c r="B14" s="15"/>
      <c r="C14" s="15"/>
      <c r="D14" s="15"/>
      <c r="E14" s="42"/>
      <c r="R14" s="51"/>
    </row>
    <row r="15" spans="1:21" ht="15" customHeight="1" x14ac:dyDescent="0.25">
      <c r="R15" s="51"/>
    </row>
    <row r="28" spans="6:6" ht="15" customHeight="1" x14ac:dyDescent="0.25">
      <c r="F28" s="1"/>
    </row>
    <row r="37" spans="1:1" ht="15" customHeight="1" x14ac:dyDescent="0.25">
      <c r="A37" s="16"/>
    </row>
  </sheetData>
  <sheetProtection algorithmName="SHA-512" hashValue="SxWRBI3rALZ+5BxPPTjfVOOPsJxesyZIqtMuwDjtTcTvoigazr0wt7C03z6KXh3T43C6789Iol6w8pnKoo/cuA==" saltValue="F5kz6+ESgTgQHFMw43YYsg==" spinCount="100000" sheet="1" objects="1" scenarios="1"/>
  <mergeCells count="9">
    <mergeCell ref="A8:I8"/>
    <mergeCell ref="G5:I5"/>
    <mergeCell ref="E5:E6"/>
    <mergeCell ref="J5:L5"/>
    <mergeCell ref="B5:B6"/>
    <mergeCell ref="C5:C6"/>
    <mergeCell ref="A5:A6"/>
    <mergeCell ref="D5:D6"/>
    <mergeCell ref="F5:F6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"/>
  <sheetViews>
    <sheetView topLeftCell="G1" workbookViewId="0">
      <selection activeCell="U11" sqref="U11"/>
    </sheetView>
  </sheetViews>
  <sheetFormatPr defaultRowHeight="15" customHeight="1" x14ac:dyDescent="0.25"/>
  <cols>
    <col min="1" max="1" width="26.5703125" style="1" customWidth="1"/>
    <col min="2" max="2" width="14.140625" style="1" customWidth="1"/>
    <col min="3" max="3" width="12.42578125" style="1" customWidth="1"/>
    <col min="4" max="4" width="13.85546875" style="1" bestFit="1" customWidth="1"/>
    <col min="5" max="5" width="10.7109375" style="1" customWidth="1"/>
    <col min="6" max="6" width="7.7109375" style="1" bestFit="1" customWidth="1"/>
    <col min="7" max="7" width="10.140625" style="1" bestFit="1" customWidth="1"/>
    <col min="8" max="8" width="16.42578125" style="1" customWidth="1"/>
    <col min="9" max="9" width="14.140625" style="1" customWidth="1"/>
    <col min="10" max="10" width="16.28515625" style="1" customWidth="1"/>
    <col min="11" max="11" width="25.5703125" style="1" bestFit="1" customWidth="1"/>
    <col min="12" max="14" width="11.28515625" style="1" customWidth="1"/>
    <col min="15" max="15" width="12.140625" style="1" customWidth="1"/>
    <col min="16" max="21" width="10.140625" style="1" customWidth="1"/>
    <col min="22" max="16384" width="9.140625" style="1"/>
  </cols>
  <sheetData>
    <row r="1" spans="1:26" ht="15" customHeight="1" x14ac:dyDescent="0.25">
      <c r="A1" s="1" t="s">
        <v>63</v>
      </c>
      <c r="B1" s="43" t="s">
        <v>57</v>
      </c>
    </row>
    <row r="2" spans="1:26" ht="15" customHeight="1" x14ac:dyDescent="0.25">
      <c r="A2" s="1" t="s">
        <v>65</v>
      </c>
      <c r="B2" s="43">
        <v>240</v>
      </c>
    </row>
    <row r="3" spans="1:26" ht="15" customHeight="1" x14ac:dyDescent="0.25">
      <c r="A3" s="48" t="s">
        <v>66</v>
      </c>
      <c r="B3" s="43">
        <v>0.55200000000000005</v>
      </c>
    </row>
    <row r="4" spans="1:26" ht="15" customHeight="1" x14ac:dyDescent="0.25">
      <c r="A4" s="1" t="s">
        <v>67</v>
      </c>
      <c r="B4" s="65">
        <v>140</v>
      </c>
    </row>
    <row r="5" spans="1:26" ht="15" customHeight="1" x14ac:dyDescent="0.25">
      <c r="A5" s="1" t="s">
        <v>68</v>
      </c>
      <c r="B5" s="66">
        <f>(B4*(B3*1000)/(35.3147*10))/100</f>
        <v>2.188323842479194</v>
      </c>
    </row>
    <row r="7" spans="1:26" ht="15" customHeight="1" x14ac:dyDescent="0.25">
      <c r="A7" s="140" t="s">
        <v>8</v>
      </c>
      <c r="B7" s="127" t="s">
        <v>115</v>
      </c>
      <c r="C7" s="129" t="s">
        <v>116</v>
      </c>
      <c r="D7" s="140" t="s">
        <v>9</v>
      </c>
      <c r="E7" s="140" t="s">
        <v>10</v>
      </c>
      <c r="F7" s="140" t="s">
        <v>117</v>
      </c>
      <c r="G7" s="140" t="s">
        <v>118</v>
      </c>
      <c r="H7" s="140" t="s">
        <v>84</v>
      </c>
      <c r="I7" s="143" t="s">
        <v>70</v>
      </c>
      <c r="J7" s="140" t="s">
        <v>85</v>
      </c>
      <c r="K7" s="142" t="s">
        <v>44</v>
      </c>
      <c r="L7" s="140" t="s">
        <v>69</v>
      </c>
      <c r="M7" s="140"/>
      <c r="N7" s="140"/>
      <c r="O7" s="140"/>
      <c r="P7" s="140"/>
      <c r="Q7" s="134" t="s">
        <v>21</v>
      </c>
      <c r="R7" s="135"/>
      <c r="S7" s="135"/>
      <c r="T7" s="135"/>
      <c r="U7" s="135"/>
      <c r="V7" s="135"/>
      <c r="W7" s="136"/>
    </row>
    <row r="8" spans="1:26" ht="15" customHeight="1" x14ac:dyDescent="0.25">
      <c r="A8" s="141"/>
      <c r="B8" s="128"/>
      <c r="C8" s="130"/>
      <c r="D8" s="141"/>
      <c r="E8" s="141"/>
      <c r="F8" s="141"/>
      <c r="G8" s="141"/>
      <c r="H8" s="141"/>
      <c r="I8" s="144"/>
      <c r="J8" s="141"/>
      <c r="K8" s="142"/>
      <c r="L8" s="9" t="s">
        <v>22</v>
      </c>
      <c r="M8" s="34" t="s">
        <v>45</v>
      </c>
      <c r="N8" s="34" t="s">
        <v>46</v>
      </c>
      <c r="O8" s="34" t="s">
        <v>33</v>
      </c>
      <c r="P8" s="34" t="s">
        <v>87</v>
      </c>
      <c r="Q8" s="55" t="s">
        <v>22</v>
      </c>
      <c r="R8" s="55" t="s">
        <v>23</v>
      </c>
      <c r="S8" s="55" t="s">
        <v>24</v>
      </c>
      <c r="T8" s="55" t="s">
        <v>76</v>
      </c>
      <c r="U8" s="55" t="s">
        <v>75</v>
      </c>
      <c r="V8" s="55" t="s">
        <v>33</v>
      </c>
      <c r="W8" s="55" t="s">
        <v>87</v>
      </c>
    </row>
    <row r="9" spans="1:26" s="35" customFormat="1" ht="15" customHeight="1" x14ac:dyDescent="0.25">
      <c r="A9" s="36" t="s">
        <v>11</v>
      </c>
      <c r="B9" s="10">
        <v>-20.162338999999999</v>
      </c>
      <c r="C9" s="10">
        <v>-40.243200000000002</v>
      </c>
      <c r="D9" s="36" t="s">
        <v>58</v>
      </c>
      <c r="E9" s="37">
        <v>3</v>
      </c>
      <c r="F9" s="37" t="s">
        <v>61</v>
      </c>
      <c r="G9" s="44">
        <v>195</v>
      </c>
      <c r="H9" s="41">
        <v>10</v>
      </c>
      <c r="I9" s="49" t="s">
        <v>71</v>
      </c>
      <c r="J9" s="47">
        <f>3000/(30*24)</f>
        <v>4.166666666666667</v>
      </c>
      <c r="K9" s="38" t="s">
        <v>64</v>
      </c>
      <c r="L9" s="45">
        <f>'FE-Maq e Equip'!C15</f>
        <v>2.9155253425145213E-2</v>
      </c>
      <c r="M9" s="45">
        <f>'FE-Maq e Equip'!D15</f>
        <v>8.7649223561064675E-4</v>
      </c>
      <c r="N9" s="45">
        <f>'FE-Maq e Equip'!E15</f>
        <v>0.87589188757724734</v>
      </c>
      <c r="O9" s="45">
        <f>'FE-Maq e Equip'!F15</f>
        <v>0.21389105427558991</v>
      </c>
      <c r="P9" s="45">
        <f>'FE-Maq e Equip'!G15</f>
        <v>7.7732208449766999E-2</v>
      </c>
      <c r="Q9" s="72">
        <f>L9*E9*(H9/24)</f>
        <v>3.6444066781431514E-2</v>
      </c>
      <c r="R9" s="72">
        <f>Q9</f>
        <v>3.6444066781431514E-2</v>
      </c>
      <c r="S9" s="72">
        <f>R9</f>
        <v>3.6444066781431514E-2</v>
      </c>
      <c r="T9" s="72">
        <f>N9*$E9*($H9/24)</f>
        <v>1.0948648594715591</v>
      </c>
      <c r="U9" s="72">
        <f>M9*$E9*($H9/24)</f>
        <v>1.0956152945133084E-3</v>
      </c>
      <c r="V9" s="72">
        <f>O9*$E9*($H9/24)</f>
        <v>0.26736381784448743</v>
      </c>
      <c r="W9" s="72">
        <f>P9*$E9*($H9/24)</f>
        <v>9.7165260562208755E-2</v>
      </c>
    </row>
    <row r="10" spans="1:26" s="35" customFormat="1" ht="15" customHeight="1" x14ac:dyDescent="0.25">
      <c r="A10" s="36" t="s">
        <v>12</v>
      </c>
      <c r="B10" s="10">
        <v>-20.162338999999999</v>
      </c>
      <c r="C10" s="10">
        <v>-40.243200000000002</v>
      </c>
      <c r="D10" s="37" t="s">
        <v>55</v>
      </c>
      <c r="E10" s="37">
        <v>1</v>
      </c>
      <c r="F10" s="37" t="s">
        <v>62</v>
      </c>
      <c r="G10" s="44">
        <f>62*0.98632</f>
        <v>61.15184</v>
      </c>
      <c r="H10" s="41">
        <v>10</v>
      </c>
      <c r="I10" s="49" t="s">
        <v>72</v>
      </c>
      <c r="J10" s="47">
        <f>B2/(B3*30*24)</f>
        <v>0.60386473429951681</v>
      </c>
      <c r="K10" s="38"/>
      <c r="L10" s="45">
        <f>(0.7*'FE-Combustão GLP'!E5)+(0.3*'FE-Combustão GLP'!I5)</f>
        <v>9.2399999999999996E-2</v>
      </c>
      <c r="M10" s="45">
        <f>(0.7*0.09*B5*0.12)+(0.3*0.1*B5*0.12)</f>
        <v>2.4421694082067805E-2</v>
      </c>
      <c r="N10" s="45">
        <f>(0.7*'FE-Combustão GLP'!E7)+(0.3*'FE-Combustão GLP'!I7)</f>
        <v>1.7279999999999998</v>
      </c>
      <c r="O10" s="45">
        <f>(0.7*'FE-Combustão GLP'!E8)+(0.3*'FE-Combustão GLP'!I8)</f>
        <v>0.97560000000000002</v>
      </c>
      <c r="P10" s="45">
        <f>(0.7*'FE-Combustão GLP'!E9)+(0.3*'FE-Combustão GLP'!I9)</f>
        <v>0.12839999999999999</v>
      </c>
      <c r="Q10" s="72">
        <f>(L10*J10)/1000</f>
        <v>5.5797101449275346E-5</v>
      </c>
      <c r="R10" s="72">
        <f t="shared" ref="R10" si="0">Q10</f>
        <v>5.5797101449275346E-5</v>
      </c>
      <c r="S10" s="72">
        <f t="shared" ref="S10" si="1">R10</f>
        <v>5.5797101449275346E-5</v>
      </c>
      <c r="T10" s="72">
        <f>(N10*J10)/1000</f>
        <v>1.0434782608695649E-3</v>
      </c>
      <c r="U10" s="72">
        <f>(M10*J10)/1000</f>
        <v>1.4747399808011956E-5</v>
      </c>
      <c r="V10" s="72">
        <f>(O10*J10)/1000</f>
        <v>5.8913043478260867E-4</v>
      </c>
      <c r="W10" s="72">
        <f>(P10*J10)/1000</f>
        <v>7.7536231884057946E-5</v>
      </c>
      <c r="Z10" s="40"/>
    </row>
    <row r="11" spans="1:26" s="3" customFormat="1" ht="15" customHeight="1" x14ac:dyDescent="0.25">
      <c r="A11" s="137" t="s">
        <v>83</v>
      </c>
      <c r="B11" s="138"/>
      <c r="C11" s="138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9"/>
      <c r="Q11" s="67">
        <f>SUM(Q9:Q10)</f>
        <v>3.649986388288079E-2</v>
      </c>
      <c r="R11" s="67">
        <f t="shared" ref="R11:W11" si="2">SUM(R9:R10)</f>
        <v>3.649986388288079E-2</v>
      </c>
      <c r="S11" s="67">
        <f t="shared" si="2"/>
        <v>3.649986388288079E-2</v>
      </c>
      <c r="T11" s="67">
        <f>SUM(T9:T10)</f>
        <v>1.0959083377324286</v>
      </c>
      <c r="U11" s="64">
        <f t="shared" si="2"/>
        <v>1.1103626943213202E-3</v>
      </c>
      <c r="V11" s="67">
        <f t="shared" si="2"/>
        <v>0.26795294827927002</v>
      </c>
      <c r="W11" s="67">
        <f t="shared" si="2"/>
        <v>9.7242796794092812E-2</v>
      </c>
    </row>
    <row r="13" spans="1:26" ht="15" customHeight="1" x14ac:dyDescent="0.25">
      <c r="A13" s="1" t="s">
        <v>86</v>
      </c>
      <c r="Q13" s="73"/>
      <c r="R13" s="73"/>
      <c r="S13" s="73"/>
      <c r="T13" s="73"/>
      <c r="U13" s="73"/>
      <c r="V13" s="73"/>
      <c r="W13" s="73"/>
    </row>
  </sheetData>
  <sheetProtection algorithmName="SHA-512" hashValue="BjOwVn9dmPpnMahACZfCLOZqWjDq/7wfxWEIWZZcTPg6oRTFRqz5s3O8boZKz3h9Di2u5qJ5GDc19WErPtjTpQ==" saltValue="Q31NPqG0HCO+mkGnguWjIQ==" spinCount="100000" sheet="1" objects="1" scenarios="1"/>
  <mergeCells count="14">
    <mergeCell ref="Q7:W7"/>
    <mergeCell ref="A11:P11"/>
    <mergeCell ref="A7:A8"/>
    <mergeCell ref="D7:D8"/>
    <mergeCell ref="E7:E8"/>
    <mergeCell ref="F7:F8"/>
    <mergeCell ref="G7:G8"/>
    <mergeCell ref="H7:H8"/>
    <mergeCell ref="J7:J8"/>
    <mergeCell ref="K7:K8"/>
    <mergeCell ref="L7:P7"/>
    <mergeCell ref="I7:I8"/>
    <mergeCell ref="B7:B8"/>
    <mergeCell ref="C7:C8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F8" sqref="F8"/>
    </sheetView>
  </sheetViews>
  <sheetFormatPr defaultRowHeight="15" customHeight="1" x14ac:dyDescent="0.25"/>
  <cols>
    <col min="1" max="1" width="18.7109375" style="1" customWidth="1"/>
    <col min="2" max="2" width="9.140625" style="1" customWidth="1"/>
    <col min="3" max="16384" width="9.140625" style="1"/>
  </cols>
  <sheetData>
    <row r="1" spans="1:12" ht="15" customHeight="1" x14ac:dyDescent="0.25">
      <c r="A1" s="129" t="s">
        <v>18</v>
      </c>
      <c r="B1" s="146" t="s">
        <v>21</v>
      </c>
      <c r="C1" s="146"/>
      <c r="D1" s="146"/>
      <c r="E1" s="146"/>
      <c r="F1" s="146"/>
      <c r="G1" s="146"/>
      <c r="H1" s="146"/>
    </row>
    <row r="2" spans="1:12" ht="15" customHeight="1" x14ac:dyDescent="0.25">
      <c r="A2" s="145"/>
      <c r="B2" s="52" t="s">
        <v>22</v>
      </c>
      <c r="C2" s="52" t="s">
        <v>23</v>
      </c>
      <c r="D2" s="52" t="s">
        <v>77</v>
      </c>
      <c r="E2" s="52" t="s">
        <v>46</v>
      </c>
      <c r="F2" s="52" t="s">
        <v>45</v>
      </c>
      <c r="G2" s="52" t="s">
        <v>33</v>
      </c>
      <c r="H2" s="52" t="s">
        <v>87</v>
      </c>
    </row>
    <row r="3" spans="1:12" ht="15" customHeight="1" x14ac:dyDescent="0.25">
      <c r="A3" s="54" t="s">
        <v>44</v>
      </c>
      <c r="B3" s="53">
        <f>'Emissão Maq e Equip'!Q11</f>
        <v>3.649986388288079E-2</v>
      </c>
      <c r="C3" s="53">
        <f>'Emissão Maq e Equip'!R11</f>
        <v>3.649986388288079E-2</v>
      </c>
      <c r="D3" s="53">
        <f>'Emissão Maq e Equip'!S11</f>
        <v>3.649986388288079E-2</v>
      </c>
      <c r="E3" s="53">
        <f>'Emissão Maq e Equip'!T11</f>
        <v>1.0959083377324286</v>
      </c>
      <c r="F3" s="75">
        <f>'Emissão Maq e Equip'!U11</f>
        <v>1.1103626943213202E-3</v>
      </c>
      <c r="G3" s="53">
        <f>'Emissão Maq e Equip'!V11</f>
        <v>0.26795294827927002</v>
      </c>
      <c r="H3" s="53">
        <f>'Emissão Maq e Equip'!W11</f>
        <v>9.7242796794092812E-2</v>
      </c>
    </row>
    <row r="4" spans="1:12" ht="15" customHeight="1" x14ac:dyDescent="0.25">
      <c r="A4" s="1" t="s">
        <v>78</v>
      </c>
      <c r="B4" s="53">
        <f>'Emissão Transferências'!J8</f>
        <v>2.1877282060816829E-2</v>
      </c>
      <c r="C4" s="53">
        <f>'Emissão Transferências'!K8</f>
        <v>1.0347363136872822E-2</v>
      </c>
      <c r="D4" s="75">
        <f>'Emissão Transferências'!L8</f>
        <v>1.5668864178693133E-3</v>
      </c>
      <c r="E4" s="43" t="s">
        <v>80</v>
      </c>
      <c r="F4" s="43" t="s">
        <v>80</v>
      </c>
      <c r="G4" s="43" t="s">
        <v>80</v>
      </c>
      <c r="H4" s="43" t="s">
        <v>80</v>
      </c>
    </row>
    <row r="5" spans="1:12" ht="15" customHeight="1" x14ac:dyDescent="0.25">
      <c r="A5" s="56" t="s">
        <v>83</v>
      </c>
      <c r="B5" s="56">
        <f>SUM(B3:B4)</f>
        <v>5.8377145943697618E-2</v>
      </c>
      <c r="C5" s="56">
        <f>SUM(C3:C4)</f>
        <v>4.6847227019753614E-2</v>
      </c>
      <c r="D5" s="56">
        <f>SUM(D3:D4)</f>
        <v>3.8066750300750102E-2</v>
      </c>
      <c r="E5" s="56">
        <f t="shared" ref="E5:H5" si="0">SUM(E3:E4)</f>
        <v>1.0959083377324286</v>
      </c>
      <c r="F5" s="74">
        <f t="shared" si="0"/>
        <v>1.1103626943213202E-3</v>
      </c>
      <c r="G5" s="56">
        <f t="shared" si="0"/>
        <v>0.26795294827927002</v>
      </c>
      <c r="H5" s="56">
        <f t="shared" si="0"/>
        <v>9.7242796794092812E-2</v>
      </c>
    </row>
    <row r="9" spans="1:12" ht="15" customHeight="1" x14ac:dyDescent="0.25">
      <c r="B9" s="53"/>
    </row>
    <row r="12" spans="1:12" ht="15" customHeight="1" x14ac:dyDescent="0.25">
      <c r="L12" s="1" t="s">
        <v>79</v>
      </c>
    </row>
  </sheetData>
  <sheetProtection algorithmName="SHA-512" hashValue="fcD8QXkDjzA9+VQmO5Po3bvpxMmGiQVtiA92BY08oZ4NDvE5YbLA9UZ34CpnOcbhChVzqqxORVs01K6qmBb1Hw==" saltValue="zZw0qaf70oj7obbnkR5Bsg==" spinCount="100000" sheet="1" objects="1" scenarios="1"/>
  <mergeCells count="2">
    <mergeCell ref="A1:A2"/>
    <mergeCell ref="B1:H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FE-Combustão GLP</vt:lpstr>
      <vt:lpstr>FE-Maq e Equip</vt:lpstr>
      <vt:lpstr>FE-Transferências</vt:lpstr>
      <vt:lpstr>Dados</vt:lpstr>
      <vt:lpstr>Emissão Transferências</vt:lpstr>
      <vt:lpstr>Emissão Maq e Equip</vt:lpstr>
      <vt:lpstr>Resumo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Tatiane Jardim Morais</dc:creator>
  <cp:lastModifiedBy>Gabriel Aarão Gonçalves</cp:lastModifiedBy>
  <dcterms:created xsi:type="dcterms:W3CDTF">2018-12-17T17:32:18Z</dcterms:created>
  <dcterms:modified xsi:type="dcterms:W3CDTF">2019-06-07T12:10:21Z</dcterms:modified>
</cp:coreProperties>
</file>