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Granito Concreto_Via Velha\"/>
    </mc:Choice>
  </mc:AlternateContent>
  <bookViews>
    <workbookView xWindow="0" yWindow="0" windowWidth="24000" windowHeight="9135" tabRatio="911" activeTab="7"/>
  </bookViews>
  <sheets>
    <sheet name="FE-Transferências" sheetId="26" r:id="rId1"/>
    <sheet name="FE-Maq e Equip" sheetId="23" r:id="rId2"/>
    <sheet name="Dados" sheetId="32" r:id="rId3"/>
    <sheet name="Emissão Saída do Filtro " sheetId="33" r:id="rId4"/>
    <sheet name="Emissão Maq e Equip" sheetId="24" r:id="rId5"/>
    <sheet name="Emissão Transferências" sheetId="27" r:id="rId6"/>
    <sheet name="Emissão Vias" sheetId="34" r:id="rId7"/>
    <sheet name="Resumo" sheetId="28" r:id="rId8"/>
    <sheet name="ppm to mg.m-3" sheetId="6" state="hidden" r:id="rId9"/>
  </sheets>
  <externalReferences>
    <externalReference r:id="rId10"/>
  </externalReferences>
  <definedNames>
    <definedName name="FE_Maq_Equip" localSheetId="6">'[1]FE - Maq e Equip'!$B$4:$I$11</definedName>
    <definedName name="FE_Maq_Equip">'FE-Maq e Equip'!$B$4:$I$11</definedName>
    <definedName name="Pot_Equip" localSheetId="6">'[1]FE - Maq e Equip'!$B$4:$B$11</definedName>
    <definedName name="Pot_Equip">'FE-Maq e Equip'!$B$4:$B$11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32" l="1"/>
  <c r="G5" i="33" l="1"/>
  <c r="G5" i="24" l="1"/>
  <c r="F5" i="24"/>
  <c r="B5" i="24"/>
  <c r="C16" i="27" l="1"/>
  <c r="C14" i="27"/>
  <c r="L5" i="24" l="1"/>
  <c r="K5" i="24"/>
  <c r="J5" i="24"/>
  <c r="I5" i="24"/>
  <c r="H5" i="24"/>
  <c r="E5" i="33" l="1"/>
  <c r="F5" i="33" s="1"/>
  <c r="H5" i="33" s="1"/>
  <c r="J5" i="33" l="1"/>
  <c r="I5" i="33"/>
  <c r="B3" i="27"/>
  <c r="B4" i="27" s="1"/>
  <c r="B2" i="27"/>
  <c r="B5" i="27" s="1"/>
  <c r="H6" i="33" l="1"/>
  <c r="B6" i="28" s="1"/>
  <c r="I6" i="33" l="1"/>
  <c r="C6" i="28" s="1"/>
  <c r="J6" i="33"/>
  <c r="D6" i="28" s="1"/>
  <c r="A5" i="24"/>
  <c r="M5" i="24" l="1"/>
  <c r="P5" i="24"/>
  <c r="R5" i="24"/>
  <c r="F16" i="27"/>
  <c r="S5" i="24" l="1"/>
  <c r="Q5" i="24"/>
  <c r="F15" i="27"/>
  <c r="F17" i="27"/>
  <c r="F14" i="27"/>
  <c r="C12" i="27" l="1"/>
  <c r="J12" i="27" s="1"/>
  <c r="K12" i="27" l="1"/>
  <c r="L15" i="27"/>
  <c r="O15" i="27" s="1"/>
  <c r="L14" i="27"/>
  <c r="O14" i="27" s="1"/>
  <c r="K15" i="27"/>
  <c r="N15" i="27" s="1"/>
  <c r="K14" i="27"/>
  <c r="N14" i="27" s="1"/>
  <c r="J15" i="27"/>
  <c r="M15" i="27" s="1"/>
  <c r="J14" i="27"/>
  <c r="M14" i="27" s="1"/>
  <c r="F13" i="27"/>
  <c r="L13" i="27"/>
  <c r="L16" i="27"/>
  <c r="L17" i="27"/>
  <c r="L12" i="27"/>
  <c r="K13" i="27"/>
  <c r="K16" i="27"/>
  <c r="K17" i="27"/>
  <c r="J13" i="27"/>
  <c r="J16" i="27"/>
  <c r="J17" i="27"/>
  <c r="M13" i="27" l="1"/>
  <c r="N13" i="27"/>
  <c r="O13" i="27"/>
  <c r="F12" i="27"/>
  <c r="H16" i="26"/>
  <c r="H15" i="26"/>
  <c r="M12" i="27" l="1"/>
  <c r="N12" i="27"/>
  <c r="O12" i="27"/>
  <c r="O16" i="27" l="1"/>
  <c r="N16" i="27"/>
  <c r="M16" i="27"/>
  <c r="O17" i="27"/>
  <c r="M17" i="27"/>
  <c r="N17" i="27"/>
  <c r="O18" i="27" l="1"/>
  <c r="D3" i="28" s="1"/>
  <c r="N18" i="27"/>
  <c r="C3" i="28" s="1"/>
  <c r="M18" i="27"/>
  <c r="B3" i="28" s="1"/>
  <c r="R6" i="24" l="1"/>
  <c r="G4" i="28" s="1"/>
  <c r="G7" i="28" s="1"/>
  <c r="M6" i="24"/>
  <c r="B4" i="28" s="1"/>
  <c r="O5" i="24"/>
  <c r="N5" i="24"/>
  <c r="S6" i="24"/>
  <c r="H4" i="28" s="1"/>
  <c r="H7" i="28" s="1"/>
  <c r="Q6" i="24"/>
  <c r="F4" i="28" s="1"/>
  <c r="F7" i="28" s="1"/>
  <c r="P6" i="24"/>
  <c r="E4" i="28" s="1"/>
  <c r="E7" i="28" s="1"/>
  <c r="N6" i="24" l="1"/>
  <c r="C4" i="28" s="1"/>
  <c r="O6" i="24"/>
  <c r="D4" i="28" s="1"/>
  <c r="F13" i="6"/>
  <c r="F21" i="6" l="1"/>
  <c r="F20" i="6"/>
  <c r="F14" i="6"/>
  <c r="F18" i="6"/>
  <c r="F17" i="6"/>
  <c r="F15" i="6"/>
  <c r="F16" i="6"/>
  <c r="F19" i="6"/>
  <c r="G17" i="6" l="1"/>
  <c r="H17" i="6" s="1"/>
  <c r="J17" i="6" s="1"/>
  <c r="G13" i="6"/>
  <c r="H13" i="6" s="1"/>
  <c r="J13" i="6" s="1"/>
  <c r="G20" i="6"/>
  <c r="H20" i="6" s="1"/>
  <c r="J20" i="6" s="1"/>
  <c r="G18" i="6"/>
  <c r="H18" i="6" s="1"/>
  <c r="J18" i="6" s="1"/>
  <c r="G16" i="6"/>
  <c r="H16" i="6" s="1"/>
  <c r="J16" i="6" s="1"/>
  <c r="G15" i="6"/>
  <c r="H15" i="6" s="1"/>
  <c r="J15" i="6" s="1"/>
  <c r="G14" i="6"/>
  <c r="H14" i="6" s="1"/>
  <c r="J14" i="6" s="1"/>
  <c r="G21" i="6"/>
  <c r="H21" i="6" s="1"/>
  <c r="J21" i="6" s="1"/>
  <c r="G19" i="6"/>
  <c r="H19" i="6" s="1"/>
  <c r="J19" i="6" s="1"/>
  <c r="B7" i="28" l="1"/>
  <c r="C7" i="28"/>
  <c r="D7" i="28" l="1"/>
</calcChain>
</file>

<file path=xl/comments1.xml><?xml version="1.0" encoding="utf-8"?>
<comments xmlns="http://schemas.openxmlformats.org/spreadsheetml/2006/main">
  <authors>
    <author>Andrielly Moutinho Knupp</author>
    <author>Gabriel Aarão Gonçalves</author>
  </authors>
  <commentList>
    <comment ref="A6" authorId="0" shapeId="0">
      <text>
        <r>
          <rPr>
            <b/>
            <sz val="9"/>
            <color indexed="81"/>
            <rFont val="Segoe UI"/>
            <family val="2"/>
          </rPr>
          <t>Rating A</t>
        </r>
        <r>
          <rPr>
            <sz val="9"/>
            <color indexed="81"/>
            <rFont val="Segoe UI"/>
            <family val="2"/>
          </rPr>
          <t xml:space="preserve">
</t>
        </r>
      </text>
    </comment>
    <comment ref="H15" authorId="1" shapeId="0">
      <text>
        <r>
          <rPr>
            <sz val="9"/>
            <color indexed="81"/>
            <rFont val="Segoe UI"/>
            <family val="2"/>
          </rPr>
          <t xml:space="preserve">Fonte: https://repositorio.unesp.br/bitstream/handle/11449/90740/menossi_rt_me_ilha.pdf?sequence
</t>
        </r>
      </text>
    </comment>
    <comment ref="H16" authorId="1" shapeId="0">
      <text>
        <r>
          <rPr>
            <sz val="9"/>
            <color indexed="81"/>
            <rFont val="Segoe UI"/>
            <family val="2"/>
          </rPr>
          <t>Fonte: https://repositorio.unesp.br/bitstream/handle/11449/90740/menossi_rt_me_ilha.pdf?sequence</t>
        </r>
      </text>
    </comment>
    <comment ref="H17" authorId="1" shapeId="0">
      <text>
        <r>
          <rPr>
            <sz val="9"/>
            <color indexed="81"/>
            <rFont val="Segoe UI"/>
            <family val="2"/>
          </rPr>
          <t xml:space="preserve">Densidade obtida na tese: https://repositorio.ufsc.br/xmlui/handle/123456789/135251
</t>
        </r>
      </text>
    </comment>
  </commentList>
</comments>
</file>

<file path=xl/comments2.xml><?xml version="1.0" encoding="utf-8"?>
<comments xmlns="http://schemas.openxmlformats.org/spreadsheetml/2006/main">
  <authors>
    <author>Gabriel Aarão Gonçalves</author>
  </authors>
  <commentList>
    <comment ref="B2" authorId="0" shapeId="0">
      <text>
        <r>
          <rPr>
            <sz val="9"/>
            <color indexed="81"/>
            <rFont val="Segoe UI"/>
            <family val="2"/>
          </rPr>
          <t>Ano de fabricação dos equipamentos do empreendimento não informado. Portanto, foi consideradoo ano de 2007 (mais conservador)</t>
        </r>
      </text>
    </comment>
  </commentList>
</comments>
</file>

<file path=xl/comments3.xml><?xml version="1.0" encoding="utf-8"?>
<comments xmlns="http://schemas.openxmlformats.org/spreadsheetml/2006/main">
  <authors>
    <author>Gabriel Aarão Gonçalves</author>
  </authors>
  <commentList>
    <comment ref="C10" authorId="0" shapeId="0">
      <text>
        <r>
          <rPr>
            <sz val="9"/>
            <color indexed="81"/>
            <rFont val="Segoe UI"/>
            <family val="2"/>
          </rPr>
          <t xml:space="preserve">Temperatura de trabalho do filtro: 25 - 35 ºC
Portanto,foi considerado o valor médio da temperatura de trabalho do filtro de mangas. </t>
        </r>
        <r>
          <rPr>
            <sz val="9"/>
            <color indexed="81"/>
            <rFont val="Segoe UI"/>
            <family val="2"/>
          </rPr>
          <t xml:space="preserve">
</t>
        </r>
      </text>
    </comment>
    <comment ref="D10" authorId="0" shapeId="0">
      <text>
        <r>
          <rPr>
            <sz val="9"/>
            <color indexed="81"/>
            <rFont val="Segoe UI"/>
            <family val="2"/>
          </rPr>
          <t xml:space="preserve">Capacidade máxima volumétrica de cada filtro: 6 m³/min
Número de Filtros de Mangas: 9
</t>
        </r>
      </text>
    </comment>
    <comment ref="B15" authorId="0" shapeId="0">
      <text>
        <r>
          <rPr>
            <sz val="9"/>
            <color indexed="81"/>
            <rFont val="Segoe UI"/>
            <family val="2"/>
          </rPr>
          <t xml:space="preserve">Foi adicionado esse equipamento pois consta no fluxograma do processo produtivo
</t>
        </r>
      </text>
    </comment>
    <comment ref="A23" authorId="0" shapeId="0">
      <text>
        <r>
          <rPr>
            <sz val="9"/>
            <color indexed="81"/>
            <rFont val="Segoe UI"/>
            <family val="2"/>
          </rPr>
          <t xml:space="preserve">Como não há informações sobre o local exato espécies arbóreas, esse tipo de controle não foi considerado. </t>
        </r>
        <r>
          <rPr>
            <sz val="9"/>
            <color indexed="81"/>
            <rFont val="Segoe UI"/>
            <family val="2"/>
          </rPr>
          <t xml:space="preserve">
</t>
        </r>
      </text>
    </comment>
  </commentList>
</comments>
</file>

<file path=xl/comments4.xml><?xml version="1.0" encoding="utf-8"?>
<comments xmlns="http://schemas.openxmlformats.org/spreadsheetml/2006/main">
  <authors>
    <author>Gabriel Aarão Gonçalves</author>
  </authors>
  <commentList>
    <comment ref="I4" authorId="0" shapeId="0">
      <text>
        <r>
          <rPr>
            <sz val="9"/>
            <color indexed="81"/>
            <rFont val="Segoe UI"/>
            <family val="2"/>
          </rPr>
          <t xml:space="preserve">Devido a ausência de informações, a taxa de emissão para o PM10 foi relacionada com a distribuição de tamanho de partículas, de acordo com o Apêndice B.2 da AP-42. 
Fonte: AP-42 (1986) - GENERALIZED PARTICLE SIZE DISTRIBUTIONS: https://www3.epa.gov/ttn/chief/ap42/appendix/appb-2.pdf
</t>
        </r>
      </text>
    </comment>
    <comment ref="J4" authorId="0" shapeId="0">
      <text>
        <r>
          <rPr>
            <sz val="9"/>
            <color indexed="81"/>
            <rFont val="Segoe UI"/>
            <family val="2"/>
          </rPr>
          <t xml:space="preserve">Devido a ausência de informações, a taxa de emissão para o PM2,5 foi relacionada com a distribuição de tamanho de partículas, de acordo com o Apêndice B.2 da AP-42. 
Fonte: AP-42 (1986) - GENERALIZED PARTICLE SIZE DISTRIBUTIONS: https://www3.epa.gov/ttn/chief/ap42/appendix/appb-2.pdf
</t>
        </r>
      </text>
    </comment>
    <comment ref="A5" authorId="0" shapeId="0">
      <text>
        <r>
          <rPr>
            <sz val="9"/>
            <color indexed="81"/>
            <rFont val="Segoe UI"/>
            <family val="2"/>
          </rPr>
          <t>Não há chaminé no filtro de mangas</t>
        </r>
      </text>
    </comment>
    <comment ref="B5" authorId="0" shapeId="0">
      <text>
        <r>
          <rPr>
            <sz val="9"/>
            <color indexed="81"/>
            <rFont val="Segoe UI"/>
            <family val="2"/>
          </rPr>
          <t xml:space="preserve">Ausência da coordenada do local. Portanto, foi considerada a média da coordenada da latitude dos silos.  </t>
        </r>
      </text>
    </comment>
    <comment ref="C5" authorId="0" shapeId="0">
      <text>
        <r>
          <rPr>
            <sz val="9"/>
            <color indexed="81"/>
            <rFont val="Segoe UI"/>
            <family val="2"/>
          </rPr>
          <t xml:space="preserve">Ausência da coordenada do local. Portanto, foi considerada a média da coordenada da latitude dos silos.  
</t>
        </r>
      </text>
    </comment>
    <comment ref="E5" authorId="0" shapeId="0">
      <text>
        <r>
          <rPr>
            <sz val="9"/>
            <color indexed="81"/>
            <rFont val="Segoe UI"/>
            <family val="2"/>
          </rPr>
          <t xml:space="preserve">Vazão do filtro de mangas não informada. Portanto, foi considerada a capacidade máxima volumétrica do filtro </t>
        </r>
      </text>
    </comment>
  </commentList>
</comments>
</file>

<file path=xl/comments5.xml><?xml version="1.0" encoding="utf-8"?>
<comments xmlns="http://schemas.openxmlformats.org/spreadsheetml/2006/main">
  <authors>
    <author>Andrielly Moutinho Knupp</author>
  </authors>
  <commentList>
    <comment ref="J4" authorId="0" shapeId="0">
      <text>
        <r>
          <rPr>
            <sz val="9"/>
            <color indexed="81"/>
            <rFont val="Segoe UI"/>
            <family val="2"/>
          </rPr>
          <t>Devido à inexistência de fator para SO2, foi considerado fator de SOx para SO2.</t>
        </r>
      </text>
    </comment>
    <comment ref="L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4" authorId="0" shapeId="0">
      <text>
        <r>
          <rPr>
            <sz val="9"/>
            <color indexed="81"/>
            <rFont val="Segoe UI"/>
            <family val="2"/>
          </rPr>
          <t>Devido à inexistência de fator para PM10, foi considerado PM10 = PM.</t>
        </r>
      </text>
    </comment>
    <comment ref="O4" authorId="0" shapeId="0">
      <text>
        <r>
          <rPr>
            <sz val="9"/>
            <color indexed="81"/>
            <rFont val="Segoe UI"/>
            <family val="2"/>
          </rPr>
          <t>Devido à inexistência de fator para PM2.5, foi considerado PM2.5 = PM.</t>
        </r>
      </text>
    </comment>
    <comment ref="Q4" authorId="0" shapeId="0">
      <text>
        <r>
          <rPr>
            <sz val="9"/>
            <color indexed="81"/>
            <rFont val="Segoe UI"/>
            <family val="2"/>
          </rPr>
          <t>Devido à inexistência de fator para SO2, foi considerado fator de SOx para SO2.</t>
        </r>
      </text>
    </comment>
    <comment ref="S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List>
</comments>
</file>

<file path=xl/comments6.xml><?xml version="1.0" encoding="utf-8"?>
<comments xmlns="http://schemas.openxmlformats.org/spreadsheetml/2006/main">
  <authors>
    <author>Gabriel Aarão Gonçalves</author>
  </authors>
  <commentList>
    <comment ref="A6" authorId="0" shapeId="0">
      <text>
        <r>
          <rPr>
            <sz val="9"/>
            <color indexed="81"/>
            <rFont val="Segoe UI"/>
            <family val="2"/>
          </rPr>
          <t xml:space="preserve">Velocidade média do ano de 2015 da Estação Aeroporto
</t>
        </r>
      </text>
    </comment>
    <comment ref="G10" authorId="0" shapeId="0">
      <text>
        <r>
          <rPr>
            <sz val="9"/>
            <color indexed="81"/>
            <rFont val="Segoe UI"/>
            <family val="2"/>
          </rPr>
          <t>Foi considerada as coordenadas centrais</t>
        </r>
      </text>
    </comment>
    <comment ref="H10" authorId="0" shapeId="0">
      <text>
        <r>
          <rPr>
            <sz val="9"/>
            <color indexed="81"/>
            <rFont val="Segoe UI"/>
            <family val="2"/>
          </rPr>
          <t>Foi considerada as coordenadas centrais</t>
        </r>
      </text>
    </comment>
    <comment ref="E12" authorId="0" shapeId="0">
      <text>
        <r>
          <rPr>
            <sz val="9"/>
            <color indexed="81"/>
            <rFont val="Segoe UI"/>
            <family val="2"/>
          </rPr>
          <t>WRAP (2006) - Fugitive Dust Handobook</t>
        </r>
      </text>
    </comment>
    <comment ref="I12" authorId="0" shapeId="0">
      <text>
        <r>
          <rPr>
            <sz val="9"/>
            <color indexed="81"/>
            <rFont val="Segoe UI"/>
            <family val="2"/>
          </rPr>
          <t xml:space="preserve">Considerado um valor médio </t>
        </r>
        <r>
          <rPr>
            <sz val="9"/>
            <color indexed="81"/>
            <rFont val="Segoe UI"/>
            <family val="2"/>
          </rPr>
          <t xml:space="preserve">
</t>
        </r>
      </text>
    </comment>
    <comment ref="C13"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3" authorId="0" shapeId="0">
      <text>
        <r>
          <rPr>
            <sz val="9"/>
            <color indexed="81"/>
            <rFont val="Segoe UI"/>
            <family val="2"/>
          </rPr>
          <t>WRAP (2006) - Fugitive Dust Handobook</t>
        </r>
      </text>
    </comment>
    <comment ref="I13" authorId="0" shapeId="0">
      <text>
        <r>
          <rPr>
            <sz val="9"/>
            <color indexed="81"/>
            <rFont val="Segoe UI"/>
            <family val="2"/>
          </rPr>
          <t xml:space="preserve">Considerado um valor médio </t>
        </r>
        <r>
          <rPr>
            <sz val="9"/>
            <color indexed="81"/>
            <rFont val="Segoe UI"/>
            <family val="2"/>
          </rPr>
          <t xml:space="preserve">
</t>
        </r>
      </text>
    </comment>
    <comment ref="E14" authorId="0" shapeId="0">
      <text>
        <r>
          <rPr>
            <sz val="9"/>
            <color indexed="81"/>
            <rFont val="Segoe UI"/>
            <family val="2"/>
          </rPr>
          <t>Valor observado no
WRAP (2006)</t>
        </r>
        <r>
          <rPr>
            <sz val="9"/>
            <color indexed="81"/>
            <rFont val="Segoe UI"/>
            <family val="2"/>
          </rPr>
          <t xml:space="preserve">
</t>
        </r>
      </text>
    </comment>
    <comment ref="I14" authorId="0" shapeId="0">
      <text>
        <r>
          <rPr>
            <sz val="9"/>
            <color indexed="81"/>
            <rFont val="Segoe UI"/>
            <family val="2"/>
          </rPr>
          <t xml:space="preserve">Considerado um valor médio 
</t>
        </r>
      </text>
    </comment>
    <comment ref="C15"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5" authorId="0" shapeId="0">
      <text>
        <r>
          <rPr>
            <sz val="9"/>
            <color indexed="81"/>
            <rFont val="Segoe UI"/>
            <family val="2"/>
          </rPr>
          <t>Valor observado no
WRAP (2006)</t>
        </r>
        <r>
          <rPr>
            <sz val="9"/>
            <color indexed="81"/>
            <rFont val="Segoe UI"/>
            <family val="2"/>
          </rPr>
          <t xml:space="preserve">
</t>
        </r>
      </text>
    </comment>
    <comment ref="I15" authorId="0" shapeId="0">
      <text>
        <r>
          <rPr>
            <sz val="9"/>
            <color indexed="81"/>
            <rFont val="Segoe UI"/>
            <family val="2"/>
          </rPr>
          <t xml:space="preserve">Considerado um valor médio 
</t>
        </r>
      </text>
    </comment>
    <comment ref="E16" authorId="0" shapeId="0">
      <text>
        <r>
          <rPr>
            <sz val="9"/>
            <color indexed="81"/>
            <rFont val="Segoe UI"/>
            <family val="2"/>
          </rPr>
          <t>Valor observado no
WRAP (2006)</t>
        </r>
        <r>
          <rPr>
            <sz val="9"/>
            <color indexed="81"/>
            <rFont val="Segoe UI"/>
            <family val="2"/>
          </rPr>
          <t xml:space="preserve">
</t>
        </r>
      </text>
    </comment>
    <comment ref="I16" authorId="0" shapeId="0">
      <text>
        <r>
          <rPr>
            <sz val="9"/>
            <color indexed="81"/>
            <rFont val="Segoe UI"/>
            <family val="2"/>
          </rPr>
          <t xml:space="preserve">Considerado um valor médio </t>
        </r>
        <r>
          <rPr>
            <sz val="9"/>
            <color indexed="81"/>
            <rFont val="Segoe UI"/>
            <family val="2"/>
          </rPr>
          <t xml:space="preserve">
</t>
        </r>
      </text>
    </comment>
    <comment ref="C17"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7" authorId="0" shapeId="0">
      <text>
        <r>
          <rPr>
            <sz val="9"/>
            <color indexed="81"/>
            <rFont val="Segoe UI"/>
            <family val="2"/>
          </rPr>
          <t>Valor observado no
WRAP (2006)</t>
        </r>
        <r>
          <rPr>
            <sz val="9"/>
            <color indexed="81"/>
            <rFont val="Segoe UI"/>
            <family val="2"/>
          </rPr>
          <t xml:space="preserve">
</t>
        </r>
      </text>
    </comment>
    <comment ref="I17" authorId="0" shapeId="0">
      <text>
        <r>
          <rPr>
            <sz val="9"/>
            <color indexed="81"/>
            <rFont val="Segoe UI"/>
            <family val="2"/>
          </rPr>
          <t xml:space="preserve">Considerado um valor médio </t>
        </r>
        <r>
          <rPr>
            <sz val="9"/>
            <color indexed="81"/>
            <rFont val="Segoe UI"/>
            <family val="2"/>
          </rPr>
          <t xml:space="preserve">
</t>
        </r>
      </text>
    </comment>
  </commentList>
</comments>
</file>

<file path=xl/sharedStrings.xml><?xml version="1.0" encoding="utf-8"?>
<sst xmlns="http://schemas.openxmlformats.org/spreadsheetml/2006/main" count="243" uniqueCount="176">
  <si>
    <t>Fonte Emissora</t>
  </si>
  <si>
    <t>Taxa de Emissão [kg/h]</t>
  </si>
  <si>
    <t>PM</t>
  </si>
  <si>
    <r>
      <t>PM</t>
    </r>
    <r>
      <rPr>
        <b/>
        <vertAlign val="subscript"/>
        <sz val="8"/>
        <color theme="0"/>
        <rFont val="Arial"/>
        <family val="2"/>
      </rPr>
      <t>10</t>
    </r>
  </si>
  <si>
    <t>CO</t>
  </si>
  <si>
    <r>
      <t>NO</t>
    </r>
    <r>
      <rPr>
        <b/>
        <vertAlign val="subscript"/>
        <sz val="8"/>
        <color theme="0"/>
        <rFont val="Arial"/>
        <family val="2"/>
      </rPr>
      <t>X</t>
    </r>
  </si>
  <si>
    <r>
      <t>SO</t>
    </r>
    <r>
      <rPr>
        <b/>
        <vertAlign val="subscript"/>
        <sz val="8"/>
        <color theme="0"/>
        <rFont val="Arial"/>
        <family val="2"/>
      </rPr>
      <t>2</t>
    </r>
  </si>
  <si>
    <t>Chaminé do Secador de Borra</t>
  </si>
  <si>
    <t>Chaminé do Silo de Borra Úmida</t>
  </si>
  <si>
    <t>Chaminé da Caldeira Bremmer</t>
  </si>
  <si>
    <t>Chaminé do Multiciclone da Torre I</t>
  </si>
  <si>
    <t>Chaminé do Multiciclone da Torre II</t>
  </si>
  <si>
    <t>Chaminé do Torrador I</t>
  </si>
  <si>
    <t>Chaminé do Torrador II</t>
  </si>
  <si>
    <t>Chaminé do Gerador I</t>
  </si>
  <si>
    <t>Chaminé do Gerador II</t>
  </si>
  <si>
    <t>Equação Geral:</t>
  </si>
  <si>
    <t>Conversão ppm para mg/m³:</t>
  </si>
  <si>
    <t>NO2</t>
  </si>
  <si>
    <t>NO</t>
  </si>
  <si>
    <t>O3</t>
  </si>
  <si>
    <t>H2S</t>
  </si>
  <si>
    <t>SO2</t>
  </si>
  <si>
    <t>HCl</t>
  </si>
  <si>
    <t>HF</t>
  </si>
  <si>
    <t>C3H8</t>
  </si>
  <si>
    <t>Benzeno</t>
  </si>
  <si>
    <t>CO2</t>
  </si>
  <si>
    <t>Concentração CO [ppm]</t>
  </si>
  <si>
    <t>Pressão [atm]</t>
  </si>
  <si>
    <t>Concentração CO [mg/m³]</t>
  </si>
  <si>
    <t xml:space="preserve">Temperatura [K] </t>
  </si>
  <si>
    <t xml:space="preserve">Temperatura [ºC] </t>
  </si>
  <si>
    <t>Fonte</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</si>
  <si>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</si>
  <si>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</si>
  <si>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Total</t>
  </si>
  <si>
    <t>Quantidade</t>
  </si>
  <si>
    <t>Potência [hp]</t>
  </si>
  <si>
    <t>Equipamento [hp]</t>
  </si>
  <si>
    <t>Horas/dia</t>
  </si>
  <si>
    <r>
      <t>PM</t>
    </r>
    <r>
      <rPr>
        <b/>
        <vertAlign val="subscript"/>
        <sz val="8"/>
        <color theme="0"/>
        <rFont val="Arial"/>
        <family val="2"/>
      </rPr>
      <t>2.5</t>
    </r>
  </si>
  <si>
    <t>Fonte: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</si>
  <si>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</si>
  <si>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</si>
  <si>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</si>
  <si>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</si>
  <si>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</si>
  <si>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</si>
  <si>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</si>
  <si>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</si>
  <si>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</si>
  <si>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</si>
  <si>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</si>
  <si>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</si>
  <si>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</si>
  <si>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</si>
  <si>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</si>
  <si>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</si>
  <si>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</si>
  <si>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</si>
  <si>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t>
  </si>
  <si>
    <t>Ano de fabricação considerado:</t>
  </si>
  <si>
    <t>Máquinas e Equipamentos</t>
  </si>
  <si>
    <t>Referências: AP-42 (USEPA, 2006) - https://www3.epa.gov/ttn/chief/ap42/ch13/final/c13s0204.pdf</t>
  </si>
  <si>
    <t>Aerodynamic Particle Size Multiplier (k) For Equation 1</t>
  </si>
  <si>
    <t xml:space="preserve">Table 13.2.4-1. TYPICAL SILT AND MOISTURE CONTENTS OF MATERIALS AT VARIOUS INDUSTRIES </t>
  </si>
  <si>
    <t xml:space="preserve">PM </t>
  </si>
  <si>
    <t>&lt; 30 µm</t>
  </si>
  <si>
    <t>&lt; 15 µm</t>
  </si>
  <si>
    <t>&lt; 10 µm</t>
  </si>
  <si>
    <t>&lt; 5 µm</t>
  </si>
  <si>
    <t>&lt; 2.5 µm</t>
  </si>
  <si>
    <t>Industry</t>
  </si>
  <si>
    <t>Material</t>
  </si>
  <si>
    <t>Silt Content (%)</t>
  </si>
  <si>
    <t>Moisture Content (%)</t>
  </si>
  <si>
    <t>Range</t>
  </si>
  <si>
    <t>Mean</t>
  </si>
  <si>
    <t>Slag</t>
  </si>
  <si>
    <t>Onde:
E - emissão
k - particle size multiplier (dimensionless)
U - mean wind speed, meters per second (m/s) (miles per hour [mph]) 
M - material moisture content (%)</t>
  </si>
  <si>
    <t>Municipal solid waste landfills</t>
  </si>
  <si>
    <t>Sand</t>
  </si>
  <si>
    <t>3,0 - 4,7</t>
  </si>
  <si>
    <t>2,3 - 4,9</t>
  </si>
  <si>
    <t>Cover</t>
  </si>
  <si>
    <t>5,0 - 16</t>
  </si>
  <si>
    <t>8,9 - 16</t>
  </si>
  <si>
    <t>Clay/dirty mix</t>
  </si>
  <si>
    <t>Clay</t>
  </si>
  <si>
    <t>4,5 - 7,4</t>
  </si>
  <si>
    <t>8,9 - 11</t>
  </si>
  <si>
    <t>Fly ash</t>
  </si>
  <si>
    <t>78 - 81</t>
  </si>
  <si>
    <t>26 - 29</t>
  </si>
  <si>
    <t>Misc. Fill materials</t>
  </si>
  <si>
    <t>Velocidade do Vento (m/s)</t>
  </si>
  <si>
    <t>Umidade do Material [%]</t>
  </si>
  <si>
    <t>Controle</t>
  </si>
  <si>
    <t>Controle [%]</t>
  </si>
  <si>
    <t>Quantidade [t/h]</t>
  </si>
  <si>
    <t>Fator de Emissão [kg/t]</t>
  </si>
  <si>
    <r>
      <t>PM</t>
    </r>
    <r>
      <rPr>
        <b/>
        <vertAlign val="subscript"/>
        <sz val="8"/>
        <color theme="0"/>
        <rFont val="Arial"/>
        <family val="2"/>
      </rPr>
      <t>2,5</t>
    </r>
  </si>
  <si>
    <t>TOTAL</t>
  </si>
  <si>
    <t>Areia</t>
  </si>
  <si>
    <t>Brita</t>
  </si>
  <si>
    <t>Massa específica (kg/m³)</t>
  </si>
  <si>
    <t>Pó calcário FGD</t>
  </si>
  <si>
    <t>Quantidade Brita (t/h):</t>
  </si>
  <si>
    <t>Fontes Emissoras</t>
  </si>
  <si>
    <t>Transferências</t>
  </si>
  <si>
    <t>Erosão Eólica</t>
  </si>
  <si>
    <t>TR - Caminhão / Pátio de brita</t>
  </si>
  <si>
    <t>Onde:
E - emissão (lb/dia)
n - número de equipamentos de cada categoria
H - número de horas diárias de operação do equipamento
EF - fator de emissão (lb/h)</t>
  </si>
  <si>
    <t>ITEM</t>
  </si>
  <si>
    <t>EQUIP.</t>
  </si>
  <si>
    <t>MODELO</t>
  </si>
  <si>
    <t>Aspersão em água</t>
  </si>
  <si>
    <t>Fonte: Informações enviadas pelo empreendimento através dos Ofícios IEMA N° 453/2016</t>
  </si>
  <si>
    <t>Quantidade areia  (t/h):</t>
  </si>
  <si>
    <t xml:space="preserve">TR - Caminhão / Pátio de areia </t>
  </si>
  <si>
    <t>Filtro de Mangas</t>
  </si>
  <si>
    <t>POTÊNCIA (hp)</t>
  </si>
  <si>
    <t>Fonte: Informações enviadas pelo empreendimento através dos Ofícios IEMA N° 454/2016</t>
  </si>
  <si>
    <t>QUANT.</t>
  </si>
  <si>
    <t xml:space="preserve">H. T </t>
  </si>
  <si>
    <t>Filtro</t>
  </si>
  <si>
    <t>Temperatura de Trabalho (ºC)</t>
  </si>
  <si>
    <t xml:space="preserve">Filtro de Mangas </t>
  </si>
  <si>
    <t>Tipo de Controle</t>
  </si>
  <si>
    <t>Vazão do Filtro de Mangas
 [m³/h]</t>
  </si>
  <si>
    <t>Vazão do Filtro de Mangas
 [Nm³/h]</t>
  </si>
  <si>
    <t>Taxa de Emissão
 [kg/h]</t>
  </si>
  <si>
    <t>Consumo de matéria prima - ano 2015</t>
  </si>
  <si>
    <t>M³</t>
  </si>
  <si>
    <t>Unidade</t>
  </si>
  <si>
    <t>Liugong</t>
  </si>
  <si>
    <t>C. COMBUSTIVEL (L)</t>
  </si>
  <si>
    <t>DESCRIÇÃO DOS SISTEMAS DE CONTROLE DE EMISSÕES ATMOSFÉRICAS</t>
  </si>
  <si>
    <t>Sistema</t>
  </si>
  <si>
    <t>Descrição</t>
  </si>
  <si>
    <t>Filtro de Manga</t>
  </si>
  <si>
    <t xml:space="preserve">O sistema instalado ao lado dos silos consiste em caixa de filtragem e alívio do abastecimento pré fabricado, com moega, válvula tipo guilhotina manual para descarga do material acumulado, sistema de limpeza automática por excitadores de alta frequência, pés, caixa elétrica de acionamento do excitador eletromecânico e manômetro diferencial de pressão para controle de saturação dos elementos filtrantes. </t>
  </si>
  <si>
    <t xml:space="preserve">Umectação/Aspersão </t>
  </si>
  <si>
    <t>É realizado por meio de aspersores ligados 8 (oito) vezes por dia por 10 min (dez minutos),  localizados próximos às pilhas de  agregados.  Complementarmente as áreas impermeabilizadas são constantemente umectadas com uso de mangueiras. Toda umectação/aspersão utiliza efluente tratado advindo do decantador.</t>
  </si>
  <si>
    <t>Enclausuramentos</t>
  </si>
  <si>
    <t>A unidade possui enclausuramentos na correia transportadora de agregados, nas balanças e dosador de cimento, além dos silos serem ermeticamente fechados para impedir a propagação de particulado.</t>
  </si>
  <si>
    <t>Cortina Vegetal</t>
  </si>
  <si>
    <t>O empreendimento possui cercamento por espécies arbóreas na maior parte de seu entorno como forma de minimizar a ação dos ventos sobre as estruturas existentes.</t>
  </si>
  <si>
    <t xml:space="preserve">Funcionamento: 08 às 12 e 13 às 17 (horas): </t>
  </si>
  <si>
    <t>Conversão de m³ para t (Brita)</t>
  </si>
  <si>
    <t>Conversão de m³ para t (Areia)</t>
  </si>
  <si>
    <t>Enclausuramento</t>
  </si>
  <si>
    <t>TR - Pá carregadeira (Areia) / Silo</t>
  </si>
  <si>
    <t>TR - Pá carregadeira (Brita) / Silo</t>
  </si>
  <si>
    <t>TR - Mistura Silo (Areia)</t>
  </si>
  <si>
    <t>TR - Mistura Silo (Brita)</t>
  </si>
  <si>
    <t>Padrão de Emissão (mgr/Nm³)</t>
  </si>
  <si>
    <t>Capacidade máxima volumétrica (m³/min)</t>
  </si>
  <si>
    <t>Concentração
 [mg/Nm³]</t>
  </si>
  <si>
    <t>Fator de Emissão [kg/h]</t>
  </si>
  <si>
    <t>Pá Carregadeira</t>
  </si>
  <si>
    <t>Latitude [⁰]</t>
  </si>
  <si>
    <t>Longitude [⁰]</t>
  </si>
  <si>
    <t>H [m]</t>
  </si>
  <si>
    <t>Saída do filtro de mangas</t>
  </si>
  <si>
    <t>Saída do Filtro de Mangas</t>
  </si>
  <si>
    <t>Nota:</t>
  </si>
  <si>
    <t>As emissões provenientes das vias internas de tráfego não foram consideradas pois na maior parte do tempo os veículos trabalham fora da zona do empreendimento. Tais  emissões provenientes do tráfego de veículos em vias já foram contabilizadas no inventário separadamente na estimativa de emissões das vias de tráfego da Região da Grande Vitória.</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</si>
  <si>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</si>
  <si>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</si>
  <si>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As principais matérias primas utilizadas são a brita, a areia e o cimento. As emissões relacionadas à movimentação/armazenamento do cimento foram estimadas na aba: "Emissão Saída do Filtro"</t>
  </si>
  <si>
    <t>VOC</t>
  </si>
  <si>
    <t>Latitude [º]</t>
  </si>
  <si>
    <t>Longitude [º]</t>
  </si>
  <si>
    <t>Nota: "Erosão Eólica" foi calculada na Planilha: Memorial_Granito_Concreto_VV_Erosao_Eolica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</si>
</sst>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
    <numFmt numFmtId="165" formatCode="0.000"/>
    <numFmt numFmtId="166" formatCode="0.00000"/>
    <numFmt numFmtId="167" formatCode="#,##0.0000"/>
    <numFmt numFmtId="168" formatCode="0.0"/>
    <numFmt numFmtId="169" formatCode="[&gt;=0.005]\ #,##0.00;[&lt;0.005]&quot;&lt;0,01&quot;"/>
  </numFmts>
  <fonts count="12"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b/>
      <i/>
      <sz val="8"/>
      <color theme="1"/>
      <name val="Arial"/>
      <family val="2"/>
    </font>
    <font>
      <vertAlign val="subscript"/>
      <sz val="8"/>
      <name val="Arial"/>
      <family val="2"/>
    </font>
    <font>
      <b/>
      <sz val="9"/>
      <color indexed="81"/>
      <name val="Segoe UI"/>
      <family val="2"/>
    </font>
    <font>
      <sz val="8"/>
      <color rgb="FF000000"/>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4">
    <border>
      <left/>
      <right/>
      <top/>
      <bottom/>
      <diagonal/>
    </border>
    <border>
      <left style="thin">
        <color rgb="FFD9D9D9"/>
      </left>
      <right style="thin">
        <color rgb="FFD9D9D9"/>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right style="thin">
        <color theme="0"/>
      </right>
      <top/>
      <bottom/>
      <diagonal/>
    </border>
    <border>
      <left/>
      <right style="thin">
        <color theme="0"/>
      </right>
      <top/>
      <bottom style="thin">
        <color theme="0"/>
      </bottom>
      <diagonal/>
    </border>
    <border>
      <left style="thin">
        <color rgb="FFD9D9D9"/>
      </left>
      <right style="thin">
        <color rgb="FFD9D9D9"/>
      </right>
      <top/>
      <bottom style="thin">
        <color rgb="FFD9D9D9"/>
      </bottom>
      <diagonal/>
    </border>
  </borders>
  <cellStyleXfs count="2">
    <xf numFmtId="0" fontId="0" fillId="0" borderId="0"/>
    <xf numFmtId="0" fontId="1" fillId="0" borderId="0"/>
  </cellStyleXfs>
  <cellXfs count="127">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1" fillId="0" borderId="0" xfId="0" applyFont="1" applyAlignment="1">
      <alignment horizontal="center"/>
    </xf>
    <xf numFmtId="0" fontId="5" fillId="2" borderId="2" xfId="0" applyFont="1" applyFill="1" applyBorder="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xf numFmtId="2" fontId="1" fillId="3" borderId="0" xfId="0" applyNumberFormat="1" applyFont="1" applyFill="1" applyAlignment="1">
      <alignment horizontal="center" vertical="center"/>
    </xf>
    <xf numFmtId="4" fontId="1" fillId="0" borderId="0" xfId="0" applyNumberFormat="1" applyFont="1" applyAlignment="1">
      <alignment horizontal="center" vertical="center"/>
    </xf>
    <xf numFmtId="2" fontId="1" fillId="0" borderId="0" xfId="0" applyNumberFormat="1" applyFont="1" applyAlignment="1">
      <alignment horizontal="center" vertical="center"/>
    </xf>
    <xf numFmtId="1" fontId="1" fillId="0" borderId="0" xfId="0" applyNumberFormat="1" applyFont="1"/>
    <xf numFmtId="164" fontId="1" fillId="0" borderId="0" xfId="0" applyNumberFormat="1" applyFont="1"/>
    <xf numFmtId="165" fontId="1" fillId="3" borderId="0" xfId="0" applyNumberFormat="1" applyFont="1" applyFill="1" applyAlignment="1">
      <alignment horizontal="center" vertical="center"/>
    </xf>
    <xf numFmtId="2" fontId="1" fillId="0" borderId="0" xfId="0" applyNumberFormat="1" applyFont="1" applyAlignment="1">
      <alignment horizontal="center"/>
    </xf>
    <xf numFmtId="165" fontId="1" fillId="0" borderId="0" xfId="0" applyNumberFormat="1" applyFont="1" applyAlignment="1">
      <alignment horizontal="center"/>
    </xf>
    <xf numFmtId="166" fontId="7" fillId="0" borderId="0" xfId="0" applyNumberFormat="1" applyFont="1" applyAlignment="1">
      <alignment horizontal="center" vertical="center"/>
    </xf>
    <xf numFmtId="164" fontId="7" fillId="0" borderId="0" xfId="0" applyNumberFormat="1" applyFont="1" applyAlignment="1">
      <alignment horizontal="center" vertical="center"/>
    </xf>
    <xf numFmtId="0" fontId="1" fillId="0" borderId="0" xfId="0" applyFont="1" applyAlignment="1">
      <alignment horizontal="left" wrapText="1"/>
    </xf>
    <xf numFmtId="164" fontId="1" fillId="0" borderId="0" xfId="0" applyNumberFormat="1" applyFont="1" applyAlignment="1">
      <alignment horizontal="center"/>
    </xf>
    <xf numFmtId="164" fontId="0" fillId="0" borderId="0" xfId="0" applyNumberFormat="1"/>
    <xf numFmtId="164" fontId="1" fillId="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5" fillId="2" borderId="1" xfId="0" applyNumberFormat="1" applyFont="1" applyFill="1" applyBorder="1" applyAlignment="1" applyProtection="1">
      <alignment horizontal="center" vertical="center" wrapText="1"/>
    </xf>
    <xf numFmtId="0" fontId="1" fillId="0" borderId="0" xfId="0" applyFont="1" applyAlignment="1">
      <alignment horizontal="center" vertical="center"/>
    </xf>
    <xf numFmtId="0" fontId="7" fillId="0" borderId="0" xfId="0" applyFont="1" applyFill="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xf>
    <xf numFmtId="2" fontId="0" fillId="0" borderId="0" xfId="0" applyNumberFormat="1"/>
    <xf numFmtId="0" fontId="1" fillId="0" borderId="1" xfId="0" applyFont="1" applyBorder="1" applyAlignment="1">
      <alignment vertical="center"/>
    </xf>
    <xf numFmtId="0" fontId="7" fillId="0" borderId="0" xfId="0" applyFont="1" applyFill="1" applyAlignment="1">
      <alignment vertical="center"/>
    </xf>
    <xf numFmtId="1" fontId="1" fillId="0" borderId="0" xfId="0" applyNumberFormat="1" applyFont="1" applyAlignment="1">
      <alignment horizontal="center" vertical="center"/>
    </xf>
    <xf numFmtId="168" fontId="1" fillId="0" borderId="0" xfId="0" applyNumberFormat="1" applyFont="1" applyAlignment="1">
      <alignment horizontal="center" vertical="center"/>
    </xf>
    <xf numFmtId="0" fontId="1" fillId="0" borderId="0" xfId="0" applyFont="1" applyFill="1" applyAlignment="1">
      <alignment horizontal="left" vertical="center"/>
    </xf>
    <xf numFmtId="11" fontId="1" fillId="0" borderId="0" xfId="0" applyNumberFormat="1" applyFont="1" applyFill="1" applyAlignment="1">
      <alignment horizontal="center" vertical="center"/>
    </xf>
    <xf numFmtId="167" fontId="1" fillId="0" borderId="0" xfId="0" applyNumberFormat="1" applyFont="1" applyFill="1" applyAlignment="1">
      <alignment horizontal="center" vertical="center"/>
    </xf>
    <xf numFmtId="2" fontId="1" fillId="0" borderId="0" xfId="0" applyNumberFormat="1" applyFont="1" applyFill="1" applyAlignment="1">
      <alignment horizontal="center" vertical="center"/>
    </xf>
    <xf numFmtId="165" fontId="1" fillId="0" borderId="0" xfId="0" applyNumberFormat="1" applyFont="1" applyAlignment="1">
      <alignment horizontal="center" vertical="center"/>
    </xf>
    <xf numFmtId="168" fontId="1" fillId="0" borderId="0" xfId="0" applyNumberFormat="1" applyFont="1" applyAlignment="1">
      <alignment vertical="center"/>
    </xf>
    <xf numFmtId="0" fontId="1" fillId="0" borderId="1" xfId="0" applyFont="1" applyFill="1" applyBorder="1" applyAlignment="1">
      <alignment vertical="center"/>
    </xf>
    <xf numFmtId="0" fontId="1" fillId="3" borderId="0" xfId="0" applyFont="1" applyFill="1" applyAlignment="1">
      <alignment horizontal="center" vertical="center"/>
    </xf>
    <xf numFmtId="1" fontId="1" fillId="0" borderId="0" xfId="0" applyNumberFormat="1" applyFont="1" applyFill="1" applyAlignment="1">
      <alignment horizontal="center" vertical="center"/>
    </xf>
    <xf numFmtId="0" fontId="1" fillId="0" borderId="0" xfId="0" applyFont="1" applyAlignment="1">
      <alignment horizontal="left"/>
    </xf>
    <xf numFmtId="4" fontId="1" fillId="0" borderId="0" xfId="0" applyNumberFormat="1" applyFont="1" applyAlignment="1">
      <alignment horizontal="center"/>
    </xf>
    <xf numFmtId="1" fontId="1" fillId="0" borderId="0" xfId="0" applyNumberFormat="1" applyFont="1" applyAlignment="1">
      <alignment horizontal="center"/>
    </xf>
    <xf numFmtId="169" fontId="1" fillId="3" borderId="0" xfId="0" applyNumberFormat="1" applyFont="1" applyFill="1" applyAlignment="1">
      <alignment horizontal="center" vertical="center"/>
    </xf>
    <xf numFmtId="11" fontId="1" fillId="0" borderId="0" xfId="0" applyNumberFormat="1" applyFont="1" applyAlignment="1">
      <alignment horizontal="center" vertical="center"/>
    </xf>
    <xf numFmtId="0" fontId="1" fillId="3"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xf>
    <xf numFmtId="0" fontId="1"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168" fontId="1" fillId="0" borderId="0" xfId="0" applyNumberFormat="1" applyFont="1"/>
    <xf numFmtId="0" fontId="0" fillId="0" borderId="0" xfId="0" applyFill="1"/>
    <xf numFmtId="0" fontId="1" fillId="0" borderId="0" xfId="0" applyFont="1" applyFill="1" applyBorder="1" applyAlignment="1">
      <alignment horizontal="center" vertical="center"/>
    </xf>
    <xf numFmtId="168" fontId="1" fillId="0" borderId="0" xfId="0" applyNumberFormat="1" applyFont="1" applyFill="1" applyAlignment="1">
      <alignment horizontal="center"/>
    </xf>
    <xf numFmtId="0" fontId="2" fillId="0" borderId="0" xfId="0" applyFont="1" applyBorder="1" applyAlignment="1">
      <alignment horizontal="center" vertical="center" wrapText="1"/>
    </xf>
    <xf numFmtId="0" fontId="1" fillId="0" borderId="0" xfId="0" applyFont="1" applyBorder="1" applyAlignment="1">
      <alignment horizontal="center" vertical="center" wrapText="1"/>
    </xf>
    <xf numFmtId="169" fontId="1" fillId="0" borderId="0" xfId="0" applyNumberFormat="1" applyFont="1" applyFill="1" applyAlignment="1">
      <alignment horizontal="center" vertical="center"/>
    </xf>
    <xf numFmtId="0" fontId="5" fillId="2" borderId="1" xfId="0" applyFont="1" applyFill="1" applyBorder="1" applyAlignment="1">
      <alignment horizontal="center" vertical="center"/>
    </xf>
    <xf numFmtId="0" fontId="1" fillId="3" borderId="6" xfId="0" applyFont="1" applyFill="1" applyBorder="1" applyAlignment="1">
      <alignment horizontal="center" vertical="center"/>
    </xf>
    <xf numFmtId="0" fontId="11" fillId="0" borderId="0" xfId="0" applyFont="1" applyAlignment="1">
      <alignment vertical="center"/>
    </xf>
    <xf numFmtId="0" fontId="1" fillId="0" borderId="1" xfId="0" applyFont="1" applyFill="1" applyBorder="1" applyAlignment="1">
      <alignment horizontal="center"/>
    </xf>
    <xf numFmtId="0" fontId="8" fillId="4" borderId="1" xfId="0" applyFont="1" applyFill="1" applyBorder="1" applyAlignment="1">
      <alignment horizontal="center" vertical="center"/>
    </xf>
    <xf numFmtId="0" fontId="1" fillId="4"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Border="1" applyAlignment="1">
      <alignment horizontal="left"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2"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7" xfId="0" applyFont="1" applyFill="1" applyBorder="1" applyAlignment="1">
      <alignment horizontal="center" vertical="center"/>
    </xf>
    <xf numFmtId="0" fontId="1" fillId="4" borderId="9" xfId="0" applyFont="1" applyFill="1" applyBorder="1" applyAlignment="1">
      <alignment horizontal="center"/>
    </xf>
    <xf numFmtId="0" fontId="1" fillId="4" borderId="13" xfId="0" applyFont="1" applyFill="1" applyBorder="1" applyAlignment="1">
      <alignment horizontal="center"/>
    </xf>
    <xf numFmtId="0" fontId="1" fillId="4" borderId="10"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Border="1" applyAlignment="1">
      <alignment horizontal="center"/>
    </xf>
    <xf numFmtId="0" fontId="1" fillId="4" borderId="11"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2" xfId="0" applyFont="1" applyFill="1" applyBorder="1" applyAlignment="1">
      <alignment horizontal="center"/>
    </xf>
    <xf numFmtId="0" fontId="1" fillId="4" borderId="9"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12" xfId="0" applyFont="1" applyFill="1" applyBorder="1" applyAlignment="1">
      <alignment horizontal="left" vertical="center" wrapText="1"/>
    </xf>
    <xf numFmtId="164" fontId="7" fillId="0" borderId="10" xfId="0" applyNumberFormat="1" applyFont="1" applyBorder="1" applyAlignment="1">
      <alignment horizontal="center" vertical="center" wrapText="1"/>
    </xf>
    <xf numFmtId="164" fontId="7" fillId="0" borderId="11" xfId="0" applyNumberFormat="1" applyFont="1" applyBorder="1" applyAlignment="1">
      <alignment horizontal="center" vertical="center" wrapText="1"/>
    </xf>
    <xf numFmtId="4" fontId="1" fillId="0" borderId="0" xfId="0" applyNumberFormat="1" applyFont="1" applyBorder="1" applyAlignment="1">
      <alignment horizontal="left" vertical="center" wrapText="1"/>
    </xf>
    <xf numFmtId="0" fontId="2" fillId="0" borderId="0" xfId="0" applyFont="1" applyBorder="1" applyAlignment="1">
      <alignment horizontal="center" vertical="center" wrapText="1"/>
    </xf>
    <xf numFmtId="0" fontId="5" fillId="2" borderId="20" xfId="0" applyFont="1" applyFill="1" applyBorder="1" applyAlignment="1">
      <alignment horizontal="center" vertical="center"/>
    </xf>
    <xf numFmtId="0" fontId="5" fillId="2" borderId="2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0" xfId="0" applyFont="1" applyFill="1" applyBorder="1" applyAlignment="1">
      <alignment horizontal="center" vertical="center"/>
    </xf>
    <xf numFmtId="0" fontId="1" fillId="3" borderId="0" xfId="0" applyFont="1" applyFill="1" applyAlignment="1">
      <alignment horizontal="center" vertical="center"/>
    </xf>
    <xf numFmtId="0" fontId="5" fillId="2" borderId="14"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 xfId="0" applyNumberFormat="1" applyFont="1" applyFill="1" applyBorder="1" applyAlignment="1" applyProtection="1">
      <alignment horizontal="center" vertical="center" wrapText="1"/>
    </xf>
    <xf numFmtId="0" fontId="5" fillId="2" borderId="22"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0" xfId="0" applyFont="1" applyFill="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wrapText="1"/>
    </xf>
    <xf numFmtId="0" fontId="5" fillId="2" borderId="20" xfId="0" applyNumberFormat="1" applyFont="1" applyFill="1" applyBorder="1" applyAlignment="1" applyProtection="1">
      <alignment horizontal="center" vertical="center" wrapText="1"/>
    </xf>
    <xf numFmtId="0" fontId="5" fillId="2" borderId="19" xfId="0" applyNumberFormat="1" applyFont="1" applyFill="1" applyBorder="1" applyAlignment="1" applyProtection="1">
      <alignment horizontal="center" vertical="center" wrapText="1"/>
    </xf>
    <xf numFmtId="0" fontId="5" fillId="2" borderId="3" xfId="0" applyFont="1" applyFill="1" applyBorder="1" applyAlignment="1">
      <alignment horizontal="center" vertical="center"/>
    </xf>
    <xf numFmtId="0" fontId="0" fillId="0" borderId="0" xfId="0" applyAlignment="1">
      <alignment horizontal="left" vertical="center" wrapText="1"/>
    </xf>
    <xf numFmtId="0" fontId="5" fillId="2" borderId="2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D9D9D9"/>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320386</xdr:colOff>
      <xdr:row>5</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15</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𝑇_0</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a:t>
              </a:r>
              <a:endParaRPr lang="pt-B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arao\Desktop\Gabriel\Projetos\Inventario_RGV\Memorial_C&#225;lculo\Empreendimentos_Concreto\Bela%20Vista_Andamento\Memorial_Bela%20Vis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Transferências"/>
      <sheetName val="FE - Maq e Equip"/>
      <sheetName val="Dados"/>
      <sheetName val="Emissão Maq e Equip"/>
      <sheetName val="Emissão Transferências"/>
      <sheetName val="Emissão Chaminés"/>
      <sheetName val="Emissão Vias"/>
      <sheetName val="Resumo"/>
      <sheetName val="ppm to mg.m-3"/>
    </sheetNames>
    <sheetDataSet>
      <sheetData sheetId="0"/>
      <sheetData sheetId="1">
        <row r="4">
          <cell r="B4" t="str">
            <v>Rubber Tired Loaders - 25</v>
          </cell>
          <cell r="C4">
            <v>4.1647481574952775E-3</v>
          </cell>
          <cell r="D4">
            <v>6.5318933034944765E-2</v>
          </cell>
          <cell r="E4">
            <v>9.7431139391112798E-5</v>
          </cell>
          <cell r="F4">
            <v>3.2117661168667613E-2</v>
          </cell>
          <cell r="G4">
            <v>1.0013560541894806E-2</v>
          </cell>
          <cell r="H4">
            <v>7.6789363702976381</v>
          </cell>
          <cell r="I4">
            <v>9.0350737078986789E-4</v>
          </cell>
        </row>
        <row r="5">
          <cell r="B5" t="str">
            <v>Rubber Tired Loaders - 50</v>
          </cell>
          <cell r="C5">
            <v>1.9389461005136124E-2</v>
          </cell>
          <cell r="D5">
            <v>0.15850781980120351</v>
          </cell>
          <cell r="E5">
            <v>1.8265581631205882E-4</v>
          </cell>
          <cell r="F5">
            <v>0.19953638186759515</v>
          </cell>
          <cell r="G5">
            <v>8.7889870552575564E-2</v>
          </cell>
          <cell r="H5">
            <v>14.129238189499569</v>
          </cell>
          <cell r="I5">
            <v>7.9301638618412291E-3</v>
          </cell>
        </row>
        <row r="6">
          <cell r="B6" t="str">
            <v>Rubber Tired Loaders - 120</v>
          </cell>
          <cell r="C6">
            <v>3.5159649405128737E-2</v>
          </cell>
          <cell r="D6">
            <v>0.39013010201093185</v>
          </cell>
          <cell r="E6">
            <v>3.1347091665644508E-4</v>
          </cell>
          <cell r="F6">
            <v>0.2004419223709539</v>
          </cell>
          <cell r="G6">
            <v>6.7138814469940591E-2</v>
          </cell>
          <cell r="H6">
            <v>26.722695910514073</v>
          </cell>
          <cell r="I6">
            <v>6.0578280967871325E-3</v>
          </cell>
        </row>
        <row r="7">
          <cell r="B7" t="str">
            <v>Rubber Tired Loaders - 175</v>
          </cell>
          <cell r="C7">
            <v>3.4873730864910753E-2</v>
          </cell>
          <cell r="D7">
            <v>0.62819014565488085</v>
          </cell>
          <cell r="E7">
            <v>5.4259968788077681E-4</v>
          </cell>
          <cell r="F7">
            <v>0.29143683660988179</v>
          </cell>
          <cell r="G7">
            <v>7.9806989940830519E-2</v>
          </cell>
          <cell r="H7">
            <v>48.223729179933819</v>
          </cell>
          <cell r="I7">
            <v>7.2008552575325378E-3</v>
          </cell>
        </row>
        <row r="8">
          <cell r="B8" t="str">
            <v>Rubber Tired Loaders - 250</v>
          </cell>
          <cell r="C8">
            <v>3.101083119228833E-2</v>
          </cell>
          <cell r="D8">
            <v>0.83698143551687265</v>
          </cell>
          <cell r="E8">
            <v>7.6033040375300068E-4</v>
          </cell>
          <cell r="F8">
            <v>0.22495851814724077</v>
          </cell>
          <cell r="G8">
            <v>8.0781384871570633E-2</v>
          </cell>
          <cell r="H8">
            <v>67.57462749683539</v>
          </cell>
          <cell r="I8">
            <v>7.2887737155482657E-3</v>
          </cell>
        </row>
        <row r="9">
          <cell r="B9" t="str">
            <v>Rubber Tired Loaders - 500</v>
          </cell>
          <cell r="C9">
            <v>4.4312637095619792E-2</v>
          </cell>
          <cell r="D9">
            <v>1.1811178567160983</v>
          </cell>
          <cell r="E9">
            <v>1.0551972934755545E-3</v>
          </cell>
          <cell r="F9">
            <v>0.44023160723795168</v>
          </cell>
          <cell r="G9">
            <v>0.11468313954524458</v>
          </cell>
          <cell r="H9">
            <v>107.50511325477065</v>
          </cell>
          <cell r="I9">
            <v>1.0347677695252593E-2</v>
          </cell>
        </row>
        <row r="10">
          <cell r="B10" t="str">
            <v>Rubber Tired Loaders - 750</v>
          </cell>
          <cell r="C10">
            <v>9.1699292295937748E-2</v>
          </cell>
          <cell r="D10">
            <v>2.4816495823931239</v>
          </cell>
          <cell r="E10">
            <v>2.2143711863278365E-3</v>
          </cell>
          <cell r="F10">
            <v>0.8977989810489746</v>
          </cell>
          <cell r="G10">
            <v>0.2376690359121682</v>
          </cell>
          <cell r="H10">
            <v>220.23193257962103</v>
          </cell>
          <cell r="I10">
            <v>2.1444490325478866E-2</v>
          </cell>
        </row>
        <row r="11">
          <cell r="B11" t="str">
            <v>Rubber Tired Loaders - 1000</v>
          </cell>
          <cell r="C11">
            <v>0.11281698418835924</v>
          </cell>
          <cell r="D11">
            <v>3.6320533542247149</v>
          </cell>
          <cell r="E11">
            <v>2.708513011176045E-3</v>
          </cell>
          <cell r="F11">
            <v>1.2834306373108464</v>
          </cell>
          <cell r="G11">
            <v>0.33188731556128104</v>
          </cell>
          <cell r="H11">
            <v>269.37717766866973</v>
          </cell>
          <cell r="I11">
            <v>2.9945664738985911E-2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L21"/>
  <sheetViews>
    <sheetView zoomScaleNormal="100" workbookViewId="0">
      <selection activeCell="J16" sqref="J16:J17"/>
    </sheetView>
  </sheetViews>
  <sheetFormatPr defaultRowHeight="15" x14ac:dyDescent="0.25"/>
  <cols>
    <col min="1" max="1" width="14.42578125" customWidth="1"/>
    <col min="7" max="7" width="26.42578125" bestFit="1" customWidth="1"/>
    <col min="8" max="8" width="20.140625" bestFit="1" customWidth="1"/>
  </cols>
  <sheetData>
    <row r="1" spans="1:12" x14ac:dyDescent="0.25">
      <c r="A1" s="2" t="s">
        <v>64</v>
      </c>
    </row>
    <row r="2" spans="1:12" x14ac:dyDescent="0.25">
      <c r="A2" s="72" t="s">
        <v>65</v>
      </c>
      <c r="B2" s="73"/>
      <c r="C2" s="73"/>
      <c r="D2" s="73"/>
      <c r="E2" s="74"/>
      <c r="G2" s="72" t="s">
        <v>66</v>
      </c>
      <c r="H2" s="73"/>
      <c r="I2" s="73"/>
      <c r="J2" s="73"/>
      <c r="K2" s="73"/>
      <c r="L2" s="74"/>
    </row>
    <row r="3" spans="1:12" x14ac:dyDescent="0.25">
      <c r="A3" s="24" t="s">
        <v>68</v>
      </c>
      <c r="B3" s="24" t="s">
        <v>69</v>
      </c>
      <c r="C3" s="24" t="s">
        <v>70</v>
      </c>
      <c r="D3" s="24" t="s">
        <v>71</v>
      </c>
      <c r="E3" s="24" t="s">
        <v>72</v>
      </c>
      <c r="G3" s="75" t="s">
        <v>73</v>
      </c>
      <c r="H3" s="75" t="s">
        <v>74</v>
      </c>
      <c r="I3" s="72" t="s">
        <v>75</v>
      </c>
      <c r="J3" s="74"/>
      <c r="K3" s="72" t="s">
        <v>76</v>
      </c>
      <c r="L3" s="74"/>
    </row>
    <row r="4" spans="1:12" x14ac:dyDescent="0.25">
      <c r="A4" s="28">
        <v>0.74</v>
      </c>
      <c r="B4" s="29">
        <v>0.48</v>
      </c>
      <c r="C4" s="28">
        <v>0.35</v>
      </c>
      <c r="D4" s="29">
        <v>0.2</v>
      </c>
      <c r="E4" s="28">
        <v>5.2999999999999999E-2</v>
      </c>
      <c r="G4" s="76"/>
      <c r="H4" s="76"/>
      <c r="I4" s="65" t="s">
        <v>77</v>
      </c>
      <c r="J4" s="65" t="s">
        <v>78</v>
      </c>
      <c r="K4" s="65" t="s">
        <v>77</v>
      </c>
      <c r="L4" s="65" t="s">
        <v>78</v>
      </c>
    </row>
    <row r="5" spans="1:12" x14ac:dyDescent="0.25">
      <c r="G5" s="71" t="s">
        <v>81</v>
      </c>
      <c r="H5" s="30" t="s">
        <v>82</v>
      </c>
      <c r="I5" s="31" t="s">
        <v>61</v>
      </c>
      <c r="J5" s="31">
        <v>2.6</v>
      </c>
      <c r="K5" s="31" t="s">
        <v>61</v>
      </c>
      <c r="L5" s="31">
        <v>7.4</v>
      </c>
    </row>
    <row r="6" spans="1:12" ht="15" customHeight="1" x14ac:dyDescent="0.25">
      <c r="A6" s="68" t="s">
        <v>16</v>
      </c>
      <c r="B6" s="69"/>
      <c r="C6" s="69"/>
      <c r="D6" s="69"/>
      <c r="E6" s="69"/>
      <c r="G6" s="71"/>
      <c r="H6" s="30" t="s">
        <v>79</v>
      </c>
      <c r="I6" s="31" t="s">
        <v>83</v>
      </c>
      <c r="J6" s="31">
        <v>3.8</v>
      </c>
      <c r="K6" s="31" t="s">
        <v>84</v>
      </c>
      <c r="L6" s="31">
        <v>3.6</v>
      </c>
    </row>
    <row r="7" spans="1:12" x14ac:dyDescent="0.25">
      <c r="A7" s="68"/>
      <c r="B7" s="69"/>
      <c r="C7" s="69"/>
      <c r="D7" s="69"/>
      <c r="E7" s="69"/>
      <c r="G7" s="71"/>
      <c r="H7" s="30" t="s">
        <v>85</v>
      </c>
      <c r="I7" s="31" t="s">
        <v>86</v>
      </c>
      <c r="J7" s="31">
        <v>9</v>
      </c>
      <c r="K7" s="31" t="s">
        <v>87</v>
      </c>
      <c r="L7" s="31">
        <v>12</v>
      </c>
    </row>
    <row r="8" spans="1:12" x14ac:dyDescent="0.25">
      <c r="A8" s="68"/>
      <c r="B8" s="69"/>
      <c r="C8" s="69"/>
      <c r="D8" s="69"/>
      <c r="E8" s="69"/>
      <c r="G8" s="71"/>
      <c r="H8" s="30" t="s">
        <v>88</v>
      </c>
      <c r="I8" s="31" t="s">
        <v>61</v>
      </c>
      <c r="J8" s="31">
        <v>9.1999999999999993</v>
      </c>
      <c r="K8" s="31" t="s">
        <v>61</v>
      </c>
      <c r="L8" s="31">
        <v>14</v>
      </c>
    </row>
    <row r="9" spans="1:12" ht="15" customHeight="1" x14ac:dyDescent="0.25">
      <c r="A9" s="68"/>
      <c r="B9" s="69"/>
      <c r="C9" s="69"/>
      <c r="D9" s="69"/>
      <c r="E9" s="69"/>
      <c r="G9" s="71"/>
      <c r="H9" s="30" t="s">
        <v>89</v>
      </c>
      <c r="I9" s="31" t="s">
        <v>90</v>
      </c>
      <c r="J9" s="31">
        <v>6</v>
      </c>
      <c r="K9" s="31" t="s">
        <v>91</v>
      </c>
      <c r="L9" s="31">
        <v>10</v>
      </c>
    </row>
    <row r="10" spans="1:12" x14ac:dyDescent="0.25">
      <c r="A10" s="68"/>
      <c r="B10" s="69"/>
      <c r="C10" s="69"/>
      <c r="D10" s="69"/>
      <c r="E10" s="69"/>
      <c r="G10" s="71"/>
      <c r="H10" s="30" t="s">
        <v>92</v>
      </c>
      <c r="I10" s="31" t="s">
        <v>93</v>
      </c>
      <c r="J10" s="31">
        <v>80</v>
      </c>
      <c r="K10" s="31" t="s">
        <v>94</v>
      </c>
      <c r="L10" s="31">
        <v>27</v>
      </c>
    </row>
    <row r="11" spans="1:12" ht="15" customHeight="1" x14ac:dyDescent="0.25">
      <c r="A11" s="68"/>
      <c r="B11" s="70" t="s">
        <v>80</v>
      </c>
      <c r="C11" s="70"/>
      <c r="D11" s="70"/>
      <c r="E11" s="70"/>
      <c r="G11" s="71"/>
      <c r="H11" s="30" t="s">
        <v>95</v>
      </c>
      <c r="I11" s="31" t="s">
        <v>61</v>
      </c>
      <c r="J11" s="31">
        <v>12</v>
      </c>
      <c r="K11" s="31" t="s">
        <v>61</v>
      </c>
      <c r="L11" s="31">
        <v>11</v>
      </c>
    </row>
    <row r="12" spans="1:12" x14ac:dyDescent="0.25">
      <c r="A12" s="68"/>
      <c r="B12" s="70"/>
      <c r="C12" s="70"/>
      <c r="D12" s="70"/>
      <c r="E12" s="70"/>
      <c r="G12" s="33"/>
      <c r="H12" s="30"/>
      <c r="I12" s="31"/>
      <c r="J12" s="31"/>
      <c r="K12" s="31"/>
      <c r="L12" s="31"/>
    </row>
    <row r="13" spans="1:12" x14ac:dyDescent="0.25">
      <c r="A13" s="68"/>
      <c r="B13" s="70"/>
      <c r="C13" s="70"/>
      <c r="D13" s="70"/>
      <c r="E13" s="70"/>
      <c r="G13" s="33"/>
      <c r="H13" s="30"/>
      <c r="I13" s="31"/>
      <c r="J13" s="31"/>
      <c r="K13" s="31"/>
      <c r="L13" s="31"/>
    </row>
    <row r="14" spans="1:12" x14ac:dyDescent="0.25">
      <c r="A14" s="68"/>
      <c r="B14" s="70"/>
      <c r="C14" s="70"/>
      <c r="D14" s="70"/>
      <c r="E14" s="70"/>
      <c r="G14" s="72" t="s">
        <v>106</v>
      </c>
      <c r="H14" s="73"/>
      <c r="I14" s="31"/>
      <c r="J14" s="31"/>
      <c r="K14" s="31"/>
      <c r="L14" s="31"/>
    </row>
    <row r="15" spans="1:12" x14ac:dyDescent="0.25">
      <c r="A15" s="68"/>
      <c r="B15" s="70"/>
      <c r="C15" s="70"/>
      <c r="D15" s="70"/>
      <c r="E15" s="70"/>
      <c r="G15" s="33" t="s">
        <v>104</v>
      </c>
      <c r="H15" s="31">
        <f>1.52*1000</f>
        <v>1520</v>
      </c>
      <c r="I15" s="31"/>
      <c r="J15" s="31"/>
      <c r="K15" s="31"/>
      <c r="L15" s="31"/>
    </row>
    <row r="16" spans="1:12" x14ac:dyDescent="0.25">
      <c r="A16" s="2"/>
      <c r="G16" s="33" t="s">
        <v>105</v>
      </c>
      <c r="H16" s="31">
        <f>1.55*1000</f>
        <v>1550</v>
      </c>
      <c r="I16" s="31"/>
      <c r="J16" s="31"/>
      <c r="K16" s="31"/>
      <c r="L16" s="31"/>
    </row>
    <row r="17" spans="4:12" x14ac:dyDescent="0.25">
      <c r="G17" s="43" t="s">
        <v>107</v>
      </c>
      <c r="H17" s="67">
        <v>2400</v>
      </c>
      <c r="I17" s="31"/>
      <c r="J17" s="31"/>
      <c r="K17" s="31"/>
      <c r="L17" s="31"/>
    </row>
    <row r="18" spans="4:12" x14ac:dyDescent="0.25">
      <c r="G18" s="33"/>
      <c r="H18" s="30"/>
      <c r="I18" s="31"/>
      <c r="J18" s="31"/>
      <c r="K18" s="31"/>
      <c r="L18" s="31"/>
    </row>
    <row r="19" spans="4:12" x14ac:dyDescent="0.25">
      <c r="D19" s="32"/>
      <c r="G19" s="33"/>
      <c r="H19" s="30"/>
      <c r="I19" s="31"/>
      <c r="J19" s="31"/>
      <c r="K19" s="31"/>
      <c r="L19" s="31"/>
    </row>
    <row r="20" spans="4:12" x14ac:dyDescent="0.25">
      <c r="D20" s="32"/>
      <c r="G20" s="33"/>
      <c r="H20" s="30"/>
      <c r="I20" s="31"/>
      <c r="J20" s="31"/>
      <c r="K20" s="31"/>
      <c r="L20" s="31"/>
    </row>
    <row r="21" spans="4:12" x14ac:dyDescent="0.25">
      <c r="G21" s="30"/>
      <c r="H21" s="30"/>
      <c r="I21" s="31"/>
      <c r="J21" s="31"/>
      <c r="K21" s="31"/>
      <c r="L21" s="31"/>
    </row>
  </sheetData>
  <sheetProtection password="B056" sheet="1" objects="1" scenarios="1"/>
  <mergeCells count="11">
    <mergeCell ref="A6:A15"/>
    <mergeCell ref="B6:E10"/>
    <mergeCell ref="B11:E15"/>
    <mergeCell ref="G5:G11"/>
    <mergeCell ref="A2:E2"/>
    <mergeCell ref="G2:L2"/>
    <mergeCell ref="G14:H14"/>
    <mergeCell ref="G3:G4"/>
    <mergeCell ref="H3:H4"/>
    <mergeCell ref="I3:J3"/>
    <mergeCell ref="K3:L3"/>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dimension ref="A1:N22"/>
  <sheetViews>
    <sheetView zoomScaleNormal="100" workbookViewId="0">
      <pane xSplit="1" ySplit="3" topLeftCell="B4" activePane="bottomRight" state="frozen"/>
      <selection pane="topRight" activeCell="B1" sqref="B1"/>
      <selection pane="bottomLeft" activeCell="A4" sqref="A4"/>
      <selection pane="bottomRight" activeCell="B2" sqref="B2"/>
    </sheetView>
  </sheetViews>
  <sheetFormatPr defaultRowHeight="15" x14ac:dyDescent="0.25"/>
  <cols>
    <col min="1" max="1" width="34.7109375" customWidth="1"/>
    <col min="2" max="2" width="40.85546875" bestFit="1" customWidth="1"/>
    <col min="3" max="7" width="11.7109375" bestFit="1" customWidth="1"/>
    <col min="8" max="8" width="13.5703125" bestFit="1" customWidth="1"/>
    <col min="9" max="9" width="11.7109375" bestFit="1" customWidth="1"/>
  </cols>
  <sheetData>
    <row r="1" spans="1:14" x14ac:dyDescent="0.25">
      <c r="A1" s="2" t="s">
        <v>42</v>
      </c>
      <c r="B1" s="1"/>
      <c r="C1" s="1"/>
      <c r="D1" s="1"/>
      <c r="E1" s="1"/>
      <c r="F1" s="1"/>
      <c r="G1" s="1"/>
      <c r="H1" s="1"/>
      <c r="I1" s="1"/>
      <c r="J1" s="1"/>
    </row>
    <row r="2" spans="1:14" x14ac:dyDescent="0.25">
      <c r="A2" s="2" t="s">
        <v>62</v>
      </c>
      <c r="B2" s="55">
        <v>2007</v>
      </c>
      <c r="C2" s="1"/>
      <c r="D2" s="1"/>
      <c r="E2" s="1"/>
      <c r="F2" s="1"/>
      <c r="G2" s="1"/>
      <c r="H2" s="1"/>
      <c r="I2" s="1"/>
      <c r="J2" s="1"/>
    </row>
    <row r="3" spans="1:14" x14ac:dyDescent="0.25">
      <c r="A3" s="51" t="s">
        <v>43</v>
      </c>
      <c r="B3" s="51" t="s">
        <v>44</v>
      </c>
      <c r="C3" s="51" t="s">
        <v>45</v>
      </c>
      <c r="D3" s="51" t="s">
        <v>46</v>
      </c>
      <c r="E3" s="51" t="s">
        <v>47</v>
      </c>
      <c r="F3" s="51" t="s">
        <v>48</v>
      </c>
      <c r="G3" s="51" t="s">
        <v>49</v>
      </c>
      <c r="H3" s="51" t="s">
        <v>50</v>
      </c>
      <c r="I3" s="51" t="s">
        <v>51</v>
      </c>
      <c r="J3" s="1"/>
    </row>
    <row r="4" spans="1:14" ht="15" customHeight="1" x14ac:dyDescent="0.25">
      <c r="A4" s="98" t="s">
        <v>52</v>
      </c>
      <c r="B4" s="23" t="s">
        <v>53</v>
      </c>
      <c r="C4" s="21">
        <v>4.1647481574952775E-3</v>
      </c>
      <c r="D4" s="21">
        <v>6.5318933034944765E-2</v>
      </c>
      <c r="E4" s="21">
        <v>9.7431139391112798E-5</v>
      </c>
      <c r="F4" s="21">
        <v>3.2117661168667613E-2</v>
      </c>
      <c r="G4" s="21">
        <v>1.0013560541894806E-2</v>
      </c>
      <c r="H4" s="21">
        <v>7.6789363702976381</v>
      </c>
      <c r="I4" s="21">
        <v>9.0350737078986789E-4</v>
      </c>
      <c r="J4" s="1"/>
      <c r="N4" s="22"/>
    </row>
    <row r="5" spans="1:14" x14ac:dyDescent="0.25">
      <c r="A5" s="99"/>
      <c r="B5" s="23" t="s">
        <v>54</v>
      </c>
      <c r="C5" s="21">
        <v>1.9389461005136124E-2</v>
      </c>
      <c r="D5" s="21">
        <v>0.15850781980120351</v>
      </c>
      <c r="E5" s="21">
        <v>1.8265581631205882E-4</v>
      </c>
      <c r="F5" s="21">
        <v>0.19953638186759515</v>
      </c>
      <c r="G5" s="21">
        <v>8.7889870552575564E-2</v>
      </c>
      <c r="H5" s="21">
        <v>14.129238189499569</v>
      </c>
      <c r="I5" s="21">
        <v>7.9301638618412291E-3</v>
      </c>
      <c r="J5" s="1"/>
      <c r="N5" s="22"/>
    </row>
    <row r="6" spans="1:14" x14ac:dyDescent="0.25">
      <c r="A6" s="99"/>
      <c r="B6" s="23" t="s">
        <v>55</v>
      </c>
      <c r="C6" s="21">
        <v>3.5159649405128737E-2</v>
      </c>
      <c r="D6" s="21">
        <v>0.39013010201093185</v>
      </c>
      <c r="E6" s="21">
        <v>3.1347091665644508E-4</v>
      </c>
      <c r="F6" s="21">
        <v>0.2004419223709539</v>
      </c>
      <c r="G6" s="21">
        <v>6.7138814469940591E-2</v>
      </c>
      <c r="H6" s="21">
        <v>26.722695910514073</v>
      </c>
      <c r="I6" s="21">
        <v>6.0578280967871325E-3</v>
      </c>
      <c r="J6" s="1"/>
      <c r="K6" s="22"/>
      <c r="N6" s="22"/>
    </row>
    <row r="7" spans="1:14" x14ac:dyDescent="0.25">
      <c r="A7" s="99"/>
      <c r="B7" s="23" t="s">
        <v>56</v>
      </c>
      <c r="C7" s="21">
        <v>3.4873730864910753E-2</v>
      </c>
      <c r="D7" s="21">
        <v>0.62819014565488085</v>
      </c>
      <c r="E7" s="21">
        <v>5.4259968788077681E-4</v>
      </c>
      <c r="F7" s="21">
        <v>0.29143683660988179</v>
      </c>
      <c r="G7" s="21">
        <v>7.9806989940830519E-2</v>
      </c>
      <c r="H7" s="21">
        <v>48.223729179933819</v>
      </c>
      <c r="I7" s="21">
        <v>7.2008552575325378E-3</v>
      </c>
      <c r="J7" s="1"/>
      <c r="N7" s="22"/>
    </row>
    <row r="8" spans="1:14" x14ac:dyDescent="0.25">
      <c r="A8" s="99"/>
      <c r="B8" s="23" t="s">
        <v>57</v>
      </c>
      <c r="C8" s="21">
        <v>3.101083119228833E-2</v>
      </c>
      <c r="D8" s="21">
        <v>0.83698143551687265</v>
      </c>
      <c r="E8" s="21">
        <v>7.6033040375300068E-4</v>
      </c>
      <c r="F8" s="21">
        <v>0.22495851814724077</v>
      </c>
      <c r="G8" s="21">
        <v>8.0781384871570633E-2</v>
      </c>
      <c r="H8" s="21">
        <v>67.57462749683539</v>
      </c>
      <c r="I8" s="21">
        <v>7.2887737155482657E-3</v>
      </c>
      <c r="J8" s="1"/>
      <c r="N8" s="22"/>
    </row>
    <row r="9" spans="1:14" x14ac:dyDescent="0.25">
      <c r="A9" s="99"/>
      <c r="B9" s="23" t="s">
        <v>58</v>
      </c>
      <c r="C9" s="21">
        <v>4.4312637095619792E-2</v>
      </c>
      <c r="D9" s="21">
        <v>1.1811178567160983</v>
      </c>
      <c r="E9" s="21">
        <v>1.0551972934755545E-3</v>
      </c>
      <c r="F9" s="21">
        <v>0.44023160723795168</v>
      </c>
      <c r="G9" s="21">
        <v>0.11468313954524458</v>
      </c>
      <c r="H9" s="21">
        <v>107.50511325477065</v>
      </c>
      <c r="I9" s="21">
        <v>1.0347677695252593E-2</v>
      </c>
      <c r="J9" s="1"/>
    </row>
    <row r="10" spans="1:14" x14ac:dyDescent="0.25">
      <c r="A10" s="99"/>
      <c r="B10" s="23" t="s">
        <v>59</v>
      </c>
      <c r="C10" s="21">
        <v>9.1699292295937748E-2</v>
      </c>
      <c r="D10" s="21">
        <v>2.4816495823931239</v>
      </c>
      <c r="E10" s="21">
        <v>2.2143711863278365E-3</v>
      </c>
      <c r="F10" s="21">
        <v>0.8977989810489746</v>
      </c>
      <c r="G10" s="21">
        <v>0.2376690359121682</v>
      </c>
      <c r="H10" s="21">
        <v>220.23193257962103</v>
      </c>
      <c r="I10" s="21">
        <v>2.1444490325478866E-2</v>
      </c>
      <c r="J10" s="1"/>
    </row>
    <row r="11" spans="1:14" x14ac:dyDescent="0.25">
      <c r="A11" s="99"/>
      <c r="B11" s="23" t="s">
        <v>60</v>
      </c>
      <c r="C11" s="21">
        <v>0.11281698418835924</v>
      </c>
      <c r="D11" s="21">
        <v>3.6320533542247149</v>
      </c>
      <c r="E11" s="21">
        <v>2.708513011176045E-3</v>
      </c>
      <c r="F11" s="21">
        <v>1.2834306373108464</v>
      </c>
      <c r="G11" s="21">
        <v>0.33188731556128104</v>
      </c>
      <c r="H11" s="21">
        <v>269.37717766866973</v>
      </c>
      <c r="I11" s="21">
        <v>2.9945664738985911E-2</v>
      </c>
      <c r="J11" s="1"/>
    </row>
    <row r="12" spans="1:14" x14ac:dyDescent="0.25">
      <c r="A12" s="1"/>
      <c r="B12" s="1"/>
      <c r="C12" s="1"/>
      <c r="D12" s="1"/>
      <c r="E12" s="1"/>
      <c r="F12" s="1"/>
      <c r="G12" s="1"/>
      <c r="H12" s="1"/>
      <c r="I12" s="1"/>
      <c r="J12" s="1"/>
    </row>
    <row r="13" spans="1:14" x14ac:dyDescent="0.25">
      <c r="A13" s="1"/>
      <c r="B13" s="1"/>
      <c r="C13" s="1"/>
      <c r="D13" s="1"/>
      <c r="E13" s="1"/>
      <c r="F13" s="1"/>
      <c r="G13" s="1"/>
      <c r="H13" s="1"/>
      <c r="I13" s="1"/>
      <c r="J13" s="1"/>
    </row>
    <row r="14" spans="1:14" x14ac:dyDescent="0.25">
      <c r="A14" s="2" t="s">
        <v>42</v>
      </c>
      <c r="B14" s="1"/>
      <c r="C14" s="1"/>
      <c r="D14" s="1"/>
      <c r="E14" s="1"/>
      <c r="F14" s="1"/>
      <c r="G14" s="1"/>
      <c r="H14" s="1"/>
      <c r="I14" s="1"/>
      <c r="J14" s="1"/>
    </row>
    <row r="15" spans="1:14" x14ac:dyDescent="0.25">
      <c r="A15" s="77" t="s">
        <v>16</v>
      </c>
      <c r="B15" s="80"/>
      <c r="C15" s="81"/>
      <c r="D15" s="81"/>
      <c r="E15" s="82"/>
      <c r="F15" s="1"/>
      <c r="G15" s="1"/>
      <c r="H15" s="1"/>
      <c r="I15" s="1"/>
      <c r="J15" s="1"/>
    </row>
    <row r="16" spans="1:14" x14ac:dyDescent="0.25">
      <c r="A16" s="78"/>
      <c r="B16" s="83"/>
      <c r="C16" s="84"/>
      <c r="D16" s="84"/>
      <c r="E16" s="85"/>
      <c r="F16" s="1"/>
      <c r="G16" s="1"/>
      <c r="H16" s="1"/>
      <c r="I16" s="1"/>
      <c r="J16" s="1"/>
    </row>
    <row r="17" spans="1:10" x14ac:dyDescent="0.25">
      <c r="A17" s="78"/>
      <c r="B17" s="86"/>
      <c r="C17" s="87"/>
      <c r="D17" s="87"/>
      <c r="E17" s="88"/>
      <c r="F17" s="1"/>
      <c r="G17" s="1"/>
      <c r="H17" s="1"/>
      <c r="I17" s="1"/>
      <c r="J17" s="1"/>
    </row>
    <row r="18" spans="1:10" x14ac:dyDescent="0.25">
      <c r="A18" s="78"/>
      <c r="B18" s="89" t="s">
        <v>113</v>
      </c>
      <c r="C18" s="90"/>
      <c r="D18" s="90"/>
      <c r="E18" s="91"/>
      <c r="F18" s="1"/>
      <c r="G18" s="1"/>
      <c r="H18" s="1"/>
      <c r="I18" s="1"/>
      <c r="J18" s="1"/>
    </row>
    <row r="19" spans="1:10" x14ac:dyDescent="0.25">
      <c r="A19" s="78"/>
      <c r="B19" s="92"/>
      <c r="C19" s="93"/>
      <c r="D19" s="93"/>
      <c r="E19" s="94"/>
      <c r="F19" s="1"/>
      <c r="G19" s="1"/>
      <c r="H19" s="1"/>
      <c r="I19" s="1"/>
      <c r="J19" s="1"/>
    </row>
    <row r="20" spans="1:10" x14ac:dyDescent="0.25">
      <c r="A20" s="78"/>
      <c r="B20" s="92"/>
      <c r="C20" s="93"/>
      <c r="D20" s="93"/>
      <c r="E20" s="94"/>
      <c r="F20" s="1"/>
      <c r="G20" s="1"/>
      <c r="H20" s="1"/>
      <c r="I20" s="1"/>
      <c r="J20" s="1"/>
    </row>
    <row r="21" spans="1:10" x14ac:dyDescent="0.25">
      <c r="A21" s="79"/>
      <c r="B21" s="95"/>
      <c r="C21" s="96"/>
      <c r="D21" s="96"/>
      <c r="E21" s="97"/>
      <c r="F21" s="1"/>
      <c r="G21" s="1"/>
      <c r="H21" s="1"/>
      <c r="I21" s="1"/>
      <c r="J21" s="1"/>
    </row>
    <row r="22" spans="1:10" x14ac:dyDescent="0.25">
      <c r="A22" s="1"/>
      <c r="B22" s="1"/>
      <c r="C22" s="1"/>
      <c r="D22" s="1"/>
      <c r="E22" s="1"/>
      <c r="F22" s="1"/>
      <c r="G22" s="1"/>
      <c r="H22" s="1"/>
      <c r="I22" s="1"/>
      <c r="J22" s="1"/>
    </row>
  </sheetData>
  <sheetProtection password="B056" sheet="1" objects="1" scenarios="1"/>
  <mergeCells count="4">
    <mergeCell ref="A15:A21"/>
    <mergeCell ref="B15:E17"/>
    <mergeCell ref="B18:E21"/>
    <mergeCell ref="A4:A11"/>
  </mergeCells>
  <pageMargins left="0.511811024" right="0.511811024" top="0.78740157499999996" bottom="0.78740157499999996" header="0.31496062000000002" footer="0.31496062000000002"/>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5"/>
  <sheetViews>
    <sheetView topLeftCell="A4" zoomScaleNormal="100" workbookViewId="0">
      <selection activeCell="E8" sqref="E8"/>
    </sheetView>
  </sheetViews>
  <sheetFormatPr defaultRowHeight="15" x14ac:dyDescent="0.25"/>
  <cols>
    <col min="1" max="1" width="29.7109375" customWidth="1"/>
    <col min="2" max="2" width="24.140625" customWidth="1"/>
    <col min="3" max="3" width="21.85546875" customWidth="1"/>
    <col min="4" max="4" width="31.140625" customWidth="1"/>
    <col min="5" max="5" width="29.5703125" customWidth="1"/>
    <col min="6" max="6" width="29.7109375" bestFit="1" customWidth="1"/>
    <col min="7" max="7" width="16" customWidth="1"/>
    <col min="10" max="10" width="50.7109375" customWidth="1"/>
    <col min="11" max="11" width="75" customWidth="1"/>
    <col min="12" max="12" width="11.7109375" bestFit="1" customWidth="1"/>
    <col min="13" max="13" width="10.140625" customWidth="1"/>
    <col min="14" max="14" width="16.28515625" bestFit="1" customWidth="1"/>
    <col min="15" max="15" width="20" bestFit="1" customWidth="1"/>
    <col min="16" max="16" width="20.85546875" bestFit="1" customWidth="1"/>
  </cols>
  <sheetData>
    <row r="1" spans="1:17" x14ac:dyDescent="0.25">
      <c r="A1" s="1" t="s">
        <v>123</v>
      </c>
      <c r="B1" s="1"/>
      <c r="C1" s="1"/>
      <c r="D1" s="1"/>
      <c r="E1" s="1"/>
      <c r="F1" s="1"/>
      <c r="G1" s="1"/>
      <c r="H1" s="1"/>
      <c r="I1" s="1"/>
      <c r="J1" s="1"/>
      <c r="K1" s="1"/>
      <c r="L1" s="1"/>
      <c r="M1" s="1"/>
      <c r="N1" s="1"/>
      <c r="O1" s="1"/>
      <c r="P1" s="1"/>
      <c r="Q1" s="1"/>
    </row>
    <row r="2" spans="1:17" x14ac:dyDescent="0.25">
      <c r="A2" s="1"/>
      <c r="B2" s="1"/>
      <c r="C2" s="1"/>
      <c r="D2" s="1"/>
      <c r="E2" s="1"/>
      <c r="F2" s="1"/>
      <c r="G2" s="1"/>
      <c r="H2" s="1"/>
      <c r="I2" s="1"/>
      <c r="J2" s="1"/>
      <c r="K2" s="1"/>
      <c r="L2" s="1"/>
      <c r="M2" s="1"/>
      <c r="N2" s="1"/>
      <c r="O2" s="1"/>
      <c r="P2" s="1"/>
      <c r="Q2" s="1"/>
    </row>
    <row r="3" spans="1:17" x14ac:dyDescent="0.25">
      <c r="A3" s="72" t="s">
        <v>133</v>
      </c>
      <c r="B3" s="74"/>
      <c r="C3" s="51" t="s">
        <v>135</v>
      </c>
      <c r="D3" s="1"/>
      <c r="E3" s="1"/>
      <c r="F3" s="1"/>
      <c r="G3" s="1"/>
      <c r="H3" s="1"/>
      <c r="I3" s="1"/>
      <c r="J3" s="55"/>
      <c r="K3" s="1"/>
      <c r="L3" s="1"/>
      <c r="M3" s="1"/>
      <c r="N3" s="55"/>
      <c r="O3" s="57"/>
      <c r="P3" s="1"/>
      <c r="Q3" s="1"/>
    </row>
    <row r="4" spans="1:17" x14ac:dyDescent="0.25">
      <c r="A4" s="1" t="s">
        <v>104</v>
      </c>
      <c r="B4" s="47">
        <v>20558</v>
      </c>
      <c r="C4" s="55" t="s">
        <v>134</v>
      </c>
      <c r="D4" s="54"/>
      <c r="E4" s="1"/>
      <c r="F4" s="1"/>
      <c r="G4" s="1"/>
      <c r="H4" s="1"/>
      <c r="I4" s="1"/>
      <c r="J4" s="55"/>
      <c r="K4" s="1"/>
      <c r="L4" s="1"/>
      <c r="M4" s="1"/>
      <c r="N4" s="55"/>
      <c r="O4" s="57"/>
      <c r="P4" s="1"/>
      <c r="Q4" s="1"/>
    </row>
    <row r="5" spans="1:17" ht="15.75" customHeight="1" x14ac:dyDescent="0.25">
      <c r="A5" s="1" t="s">
        <v>105</v>
      </c>
      <c r="B5" s="47">
        <v>23984</v>
      </c>
      <c r="C5" s="55" t="s">
        <v>134</v>
      </c>
      <c r="D5" s="54"/>
      <c r="E5" s="1"/>
      <c r="F5" s="1"/>
      <c r="G5" s="1"/>
      <c r="H5" s="1"/>
      <c r="I5" s="1"/>
      <c r="L5" s="1"/>
      <c r="M5" s="1"/>
      <c r="N5" s="55"/>
      <c r="O5" s="57"/>
      <c r="P5" s="1"/>
      <c r="Q5" s="1"/>
    </row>
    <row r="6" spans="1:17" x14ac:dyDescent="0.25">
      <c r="A6" s="1"/>
      <c r="B6" s="1"/>
      <c r="C6" s="1"/>
      <c r="D6" s="1"/>
      <c r="E6" s="1"/>
      <c r="F6" s="1"/>
      <c r="G6" s="1"/>
      <c r="H6" s="1"/>
      <c r="I6" s="1"/>
      <c r="L6" s="1"/>
      <c r="M6" s="1"/>
      <c r="N6" s="55"/>
      <c r="O6" s="57"/>
      <c r="P6" s="1"/>
      <c r="Q6" s="1"/>
    </row>
    <row r="7" spans="1:17" x14ac:dyDescent="0.25">
      <c r="A7" s="1"/>
      <c r="B7" s="1"/>
      <c r="C7" s="1"/>
      <c r="D7" s="1"/>
      <c r="E7" s="1"/>
      <c r="F7" s="1"/>
      <c r="G7" s="1"/>
      <c r="H7" s="1"/>
      <c r="I7" s="1"/>
      <c r="L7" s="1"/>
      <c r="M7" s="55"/>
      <c r="N7" s="55"/>
      <c r="O7" s="13"/>
      <c r="P7" s="1"/>
      <c r="Q7" s="1"/>
    </row>
    <row r="8" spans="1:17" x14ac:dyDescent="0.25">
      <c r="A8" s="72" t="s">
        <v>121</v>
      </c>
      <c r="B8" s="73"/>
      <c r="C8" s="73"/>
      <c r="D8" s="73"/>
      <c r="G8" s="1"/>
      <c r="H8" s="1"/>
      <c r="I8" s="1"/>
      <c r="L8" s="1"/>
      <c r="M8" s="55"/>
      <c r="N8" s="55"/>
      <c r="O8" s="13"/>
      <c r="P8" s="1"/>
      <c r="Q8" s="1"/>
    </row>
    <row r="9" spans="1:17" x14ac:dyDescent="0.25">
      <c r="A9" s="51" t="s">
        <v>126</v>
      </c>
      <c r="B9" s="51" t="s">
        <v>157</v>
      </c>
      <c r="C9" s="51" t="s">
        <v>127</v>
      </c>
      <c r="D9" s="51" t="s">
        <v>158</v>
      </c>
      <c r="G9" s="1"/>
      <c r="H9" s="1"/>
      <c r="I9" s="1"/>
      <c r="L9" s="1"/>
      <c r="M9" s="1"/>
      <c r="N9" s="1"/>
      <c r="O9" s="1"/>
      <c r="P9" s="1"/>
      <c r="Q9" s="1"/>
    </row>
    <row r="10" spans="1:17" x14ac:dyDescent="0.25">
      <c r="A10" s="55" t="s">
        <v>128</v>
      </c>
      <c r="B10" s="55">
        <v>40</v>
      </c>
      <c r="C10" s="55">
        <v>35</v>
      </c>
      <c r="D10" s="55">
        <f>6*9</f>
        <v>54</v>
      </c>
      <c r="G10" s="1"/>
      <c r="H10" s="1"/>
      <c r="I10" s="1"/>
      <c r="J10" s="1"/>
      <c r="K10" s="1"/>
      <c r="L10" s="1"/>
      <c r="M10" s="1"/>
      <c r="N10" s="1"/>
      <c r="O10" s="1"/>
      <c r="P10" s="1"/>
      <c r="Q10" s="1"/>
    </row>
    <row r="11" spans="1:17" x14ac:dyDescent="0.25">
      <c r="G11" s="1"/>
      <c r="H11" s="1"/>
      <c r="I11" s="1"/>
      <c r="J11" s="1"/>
      <c r="K11" s="1"/>
      <c r="L11" s="1"/>
      <c r="M11" s="1"/>
      <c r="N11" s="1"/>
      <c r="O11" s="1"/>
      <c r="P11" s="1"/>
      <c r="Q11" s="1"/>
    </row>
    <row r="12" spans="1:17" x14ac:dyDescent="0.25">
      <c r="G12" s="1"/>
      <c r="H12" s="1"/>
    </row>
    <row r="13" spans="1:17" x14ac:dyDescent="0.25">
      <c r="A13" s="72" t="s">
        <v>63</v>
      </c>
      <c r="B13" s="73"/>
      <c r="C13" s="73"/>
      <c r="D13" s="73"/>
      <c r="E13" s="73"/>
      <c r="F13" s="73"/>
      <c r="G13" s="73"/>
      <c r="H13" s="1"/>
    </row>
    <row r="14" spans="1:17" x14ac:dyDescent="0.25">
      <c r="A14" s="55" t="s">
        <v>114</v>
      </c>
      <c r="B14" s="55" t="s">
        <v>115</v>
      </c>
      <c r="C14" s="55" t="s">
        <v>116</v>
      </c>
      <c r="D14" s="55" t="s">
        <v>124</v>
      </c>
      <c r="E14" s="55" t="s">
        <v>122</v>
      </c>
      <c r="F14" s="55" t="s">
        <v>125</v>
      </c>
      <c r="G14" s="55" t="s">
        <v>137</v>
      </c>
      <c r="H14" s="1"/>
    </row>
    <row r="15" spans="1:17" x14ac:dyDescent="0.25">
      <c r="A15" s="53">
        <v>1</v>
      </c>
      <c r="B15" s="53" t="s">
        <v>161</v>
      </c>
      <c r="C15" s="59" t="s">
        <v>136</v>
      </c>
      <c r="D15" s="53">
        <v>1</v>
      </c>
      <c r="E15" s="53">
        <v>97</v>
      </c>
      <c r="F15" s="60">
        <v>4</v>
      </c>
      <c r="G15" s="53">
        <v>40</v>
      </c>
      <c r="H15" s="1"/>
    </row>
    <row r="16" spans="1:17" x14ac:dyDescent="0.25">
      <c r="G16" s="1"/>
      <c r="H16" s="1"/>
    </row>
    <row r="17" spans="1:8" x14ac:dyDescent="0.25">
      <c r="G17" s="1"/>
      <c r="H17" s="1"/>
    </row>
    <row r="18" spans="1:8" ht="15" customHeight="1" x14ac:dyDescent="0.25">
      <c r="A18" s="72" t="s">
        <v>138</v>
      </c>
      <c r="B18" s="73"/>
      <c r="C18" s="73"/>
      <c r="D18" s="73"/>
      <c r="E18" s="73"/>
      <c r="G18" s="1"/>
      <c r="H18" s="1"/>
    </row>
    <row r="19" spans="1:8" x14ac:dyDescent="0.25">
      <c r="A19" s="61" t="s">
        <v>139</v>
      </c>
      <c r="B19" s="101" t="s">
        <v>140</v>
      </c>
      <c r="C19" s="101"/>
      <c r="D19" s="101"/>
      <c r="E19" s="101"/>
      <c r="G19" s="1"/>
      <c r="H19" s="1"/>
    </row>
    <row r="20" spans="1:8" ht="42.75" customHeight="1" x14ac:dyDescent="0.25">
      <c r="A20" s="62" t="s">
        <v>141</v>
      </c>
      <c r="B20" s="100" t="s">
        <v>142</v>
      </c>
      <c r="C20" s="100"/>
      <c r="D20" s="100"/>
      <c r="E20" s="100"/>
      <c r="F20" s="1"/>
      <c r="G20" s="1"/>
      <c r="H20" s="1"/>
    </row>
    <row r="21" spans="1:8" ht="50.25" customHeight="1" x14ac:dyDescent="0.25">
      <c r="A21" s="62" t="s">
        <v>143</v>
      </c>
      <c r="B21" s="100" t="s">
        <v>144</v>
      </c>
      <c r="C21" s="100"/>
      <c r="D21" s="100"/>
      <c r="E21" s="100"/>
      <c r="F21" s="1"/>
      <c r="G21" s="1"/>
      <c r="H21" s="1"/>
    </row>
    <row r="22" spans="1:8" ht="31.5" customHeight="1" x14ac:dyDescent="0.25">
      <c r="A22" s="62" t="s">
        <v>145</v>
      </c>
      <c r="B22" s="100" t="s">
        <v>146</v>
      </c>
      <c r="C22" s="100"/>
      <c r="D22" s="100"/>
      <c r="E22" s="100"/>
      <c r="F22" s="1"/>
      <c r="G22" s="1"/>
      <c r="H22" s="1"/>
    </row>
    <row r="23" spans="1:8" ht="28.5" customHeight="1" x14ac:dyDescent="0.25">
      <c r="A23" s="62" t="s">
        <v>147</v>
      </c>
      <c r="B23" s="100" t="s">
        <v>148</v>
      </c>
      <c r="C23" s="100"/>
      <c r="D23" s="100"/>
      <c r="E23" s="100"/>
      <c r="F23" s="1"/>
      <c r="G23" s="1"/>
      <c r="H23" s="1"/>
    </row>
    <row r="24" spans="1:8" x14ac:dyDescent="0.25">
      <c r="A24" s="1"/>
      <c r="B24" s="1"/>
      <c r="C24" s="1"/>
      <c r="D24" s="1"/>
      <c r="E24" s="1"/>
      <c r="F24" s="1"/>
      <c r="G24" s="1"/>
      <c r="H24" s="1"/>
    </row>
    <row r="25" spans="1:8" x14ac:dyDescent="0.25">
      <c r="A25" s="1"/>
      <c r="B25" s="1"/>
      <c r="C25" s="1"/>
      <c r="D25" s="1"/>
      <c r="E25" s="1"/>
      <c r="F25" s="1"/>
      <c r="G25" s="1"/>
      <c r="H25" s="1"/>
    </row>
  </sheetData>
  <sheetProtection password="B056" sheet="1" objects="1" scenarios="1"/>
  <mergeCells count="9">
    <mergeCell ref="B22:E22"/>
    <mergeCell ref="B23:E23"/>
    <mergeCell ref="B19:E19"/>
    <mergeCell ref="A13:G13"/>
    <mergeCell ref="A3:B3"/>
    <mergeCell ref="A18:E18"/>
    <mergeCell ref="B20:E20"/>
    <mergeCell ref="B21:E21"/>
    <mergeCell ref="A8:D8"/>
  </mergeCells>
  <pageMargins left="0.511811024" right="0.511811024" top="0.78740157499999996" bottom="0.78740157499999996" header="0.31496062000000002" footer="0.31496062000000002"/>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orkbookViewId="0">
      <selection activeCell="F15" sqref="F15"/>
    </sheetView>
  </sheetViews>
  <sheetFormatPr defaultRowHeight="15" x14ac:dyDescent="0.25"/>
  <cols>
    <col min="1" max="1" width="26.85546875" bestFit="1" customWidth="1"/>
    <col min="2" max="2" width="21.7109375" customWidth="1"/>
    <col min="3" max="3" width="19.7109375" customWidth="1"/>
    <col min="4" max="4" width="15.7109375" bestFit="1" customWidth="1"/>
    <col min="5" max="5" width="27.7109375" customWidth="1"/>
    <col min="6" max="6" width="28.28515625" customWidth="1"/>
    <col min="7" max="7" width="20.28515625" customWidth="1"/>
    <col min="8" max="10" width="12.28515625" customWidth="1"/>
  </cols>
  <sheetData>
    <row r="1" spans="1:12" x14ac:dyDescent="0.25">
      <c r="A1" s="1" t="s">
        <v>118</v>
      </c>
      <c r="B1" s="4"/>
      <c r="C1" s="4"/>
      <c r="D1" s="4"/>
      <c r="E1" s="4"/>
      <c r="F1" s="55"/>
      <c r="G1" s="4"/>
      <c r="H1" s="4"/>
      <c r="I1" s="4"/>
      <c r="J1" s="4"/>
      <c r="K1" s="4"/>
      <c r="L1" s="4"/>
    </row>
    <row r="2" spans="1:12" x14ac:dyDescent="0.25">
      <c r="A2" s="4"/>
      <c r="B2" s="4"/>
      <c r="C2" s="4"/>
      <c r="D2" s="4"/>
      <c r="E2" s="4"/>
      <c r="F2" s="55"/>
      <c r="G2" s="4"/>
      <c r="H2" s="4"/>
      <c r="I2" s="4"/>
      <c r="J2" s="4"/>
      <c r="K2" s="4"/>
      <c r="L2" s="4"/>
    </row>
    <row r="3" spans="1:12" ht="21.75" customHeight="1" x14ac:dyDescent="0.25">
      <c r="A3" s="102" t="s">
        <v>0</v>
      </c>
      <c r="B3" s="102" t="s">
        <v>162</v>
      </c>
      <c r="C3" s="102" t="s">
        <v>163</v>
      </c>
      <c r="D3" s="102" t="s">
        <v>129</v>
      </c>
      <c r="E3" s="102" t="s">
        <v>130</v>
      </c>
      <c r="F3" s="102" t="s">
        <v>131</v>
      </c>
      <c r="G3" s="102" t="s">
        <v>159</v>
      </c>
      <c r="H3" s="104" t="s">
        <v>132</v>
      </c>
      <c r="I3" s="105"/>
      <c r="J3" s="105"/>
      <c r="K3" s="4"/>
      <c r="L3" s="4"/>
    </row>
    <row r="4" spans="1:12" ht="19.5" customHeight="1" x14ac:dyDescent="0.25">
      <c r="A4" s="103"/>
      <c r="B4" s="103"/>
      <c r="C4" s="103"/>
      <c r="D4" s="103"/>
      <c r="E4" s="103"/>
      <c r="F4" s="103"/>
      <c r="G4" s="103"/>
      <c r="H4" s="64" t="s">
        <v>67</v>
      </c>
      <c r="I4" s="64" t="s">
        <v>169</v>
      </c>
      <c r="J4" s="64" t="s">
        <v>170</v>
      </c>
      <c r="K4" s="4"/>
      <c r="L4" s="4"/>
    </row>
    <row r="5" spans="1:12" x14ac:dyDescent="0.25">
      <c r="A5" s="52" t="s">
        <v>165</v>
      </c>
      <c r="B5" s="55">
        <v>-20.355736999999998</v>
      </c>
      <c r="C5" s="55">
        <v>-40.324642499999996</v>
      </c>
      <c r="D5" s="52" t="s">
        <v>121</v>
      </c>
      <c r="E5" s="52">
        <f>Dados!D10*60</f>
        <v>3240</v>
      </c>
      <c r="F5" s="41">
        <f>(E5)*(273.15/(Dados!C10+273.15))</f>
        <v>2871.9974038617556</v>
      </c>
      <c r="G5" s="56">
        <f>Dados!B10</f>
        <v>40</v>
      </c>
      <c r="H5" s="7">
        <f>F5*G5/1000000</f>
        <v>0.11487989615447022</v>
      </c>
      <c r="I5" s="7">
        <f>H5*0.85</f>
        <v>9.7647911731299691E-2</v>
      </c>
      <c r="J5" s="7">
        <f>H5*0.3</f>
        <v>3.4463968846341064E-2</v>
      </c>
      <c r="K5" s="4"/>
      <c r="L5" s="4"/>
    </row>
    <row r="6" spans="1:12" x14ac:dyDescent="0.25">
      <c r="A6" s="106" t="s">
        <v>103</v>
      </c>
      <c r="B6" s="106"/>
      <c r="C6" s="106"/>
      <c r="D6" s="106"/>
      <c r="E6" s="106"/>
      <c r="F6" s="106"/>
      <c r="G6" s="106"/>
      <c r="H6" s="10">
        <f>SUM(H5:H5)</f>
        <v>0.11487989615447022</v>
      </c>
      <c r="I6" s="10">
        <f>SUM(I5:I5)</f>
        <v>9.7647911731299691E-2</v>
      </c>
      <c r="J6" s="10">
        <f>SUM(J5:J5)</f>
        <v>3.4463968846341064E-2</v>
      </c>
      <c r="K6" s="4"/>
      <c r="L6" s="4"/>
    </row>
    <row r="7" spans="1:12" x14ac:dyDescent="0.25">
      <c r="A7" s="4"/>
      <c r="B7" s="4"/>
      <c r="C7" s="4"/>
      <c r="D7" s="4"/>
      <c r="E7" s="4"/>
      <c r="F7" s="55"/>
      <c r="G7" s="4"/>
      <c r="H7" s="4"/>
      <c r="I7" s="4"/>
      <c r="J7" s="4"/>
      <c r="K7" s="4"/>
      <c r="L7" s="4"/>
    </row>
    <row r="8" spans="1:12" x14ac:dyDescent="0.25">
      <c r="A8" s="4"/>
      <c r="B8" s="4"/>
      <c r="C8" s="4"/>
      <c r="D8" s="4"/>
      <c r="E8" s="4"/>
      <c r="F8" s="55"/>
      <c r="G8" s="4"/>
      <c r="H8" s="4"/>
      <c r="I8" s="4"/>
      <c r="J8" s="4"/>
      <c r="K8" s="4"/>
      <c r="L8" s="4"/>
    </row>
    <row r="9" spans="1:12" x14ac:dyDescent="0.25">
      <c r="A9" s="4"/>
      <c r="B9" s="4"/>
      <c r="C9" s="4"/>
      <c r="D9" s="4"/>
      <c r="E9" s="4"/>
      <c r="F9" s="55"/>
      <c r="G9" s="4"/>
      <c r="H9" s="4"/>
      <c r="I9" s="4"/>
      <c r="J9" s="4"/>
      <c r="K9" s="4"/>
      <c r="L9" s="4"/>
    </row>
  </sheetData>
  <sheetProtection password="B056" sheet="1" objects="1" scenarios="1"/>
  <mergeCells count="9">
    <mergeCell ref="G3:G4"/>
    <mergeCell ref="H3:J3"/>
    <mergeCell ref="A6:G6"/>
    <mergeCell ref="A3:A4"/>
    <mergeCell ref="B3:B4"/>
    <mergeCell ref="C3:C4"/>
    <mergeCell ref="D3:D4"/>
    <mergeCell ref="E3:E4"/>
    <mergeCell ref="F3:F4"/>
  </mergeCells>
  <pageMargins left="0.511811024" right="0.511811024" top="0.78740157499999996" bottom="0.78740157499999996" header="0.31496062000000002" footer="0.31496062000000002"/>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6"/>
  <dimension ref="A1:S23"/>
  <sheetViews>
    <sheetView zoomScaleNormal="100" workbookViewId="0">
      <selection activeCell="E5" sqref="E5"/>
    </sheetView>
  </sheetViews>
  <sheetFormatPr defaultRowHeight="15" customHeight="1" x14ac:dyDescent="0.2"/>
  <cols>
    <col min="1" max="1" width="34.85546875" style="1" customWidth="1"/>
    <col min="2" max="2" width="13.7109375" style="1" customWidth="1"/>
    <col min="3" max="3" width="42.28515625" style="1" customWidth="1"/>
    <col min="4" max="7" width="13.7109375" style="1" customWidth="1"/>
    <col min="8" max="12" width="12.28515625" style="1" customWidth="1"/>
    <col min="13" max="18" width="8.7109375" style="1" customWidth="1"/>
    <col min="19" max="19" width="10.42578125" style="1" bestFit="1" customWidth="1"/>
    <col min="20" max="16384" width="9.140625" style="1"/>
  </cols>
  <sheetData>
    <row r="1" spans="1:19" ht="15" customHeight="1" x14ac:dyDescent="0.25">
      <c r="A1" s="1" t="s">
        <v>118</v>
      </c>
      <c r="B1"/>
      <c r="C1"/>
    </row>
    <row r="3" spans="1:19" ht="15" customHeight="1" x14ac:dyDescent="0.2">
      <c r="A3" s="107" t="s">
        <v>0</v>
      </c>
      <c r="B3" s="107" t="s">
        <v>38</v>
      </c>
      <c r="C3" s="107" t="s">
        <v>39</v>
      </c>
      <c r="D3" s="111" t="s">
        <v>173</v>
      </c>
      <c r="E3" s="111" t="s">
        <v>174</v>
      </c>
      <c r="F3" s="107" t="s">
        <v>37</v>
      </c>
      <c r="G3" s="107" t="s">
        <v>40</v>
      </c>
      <c r="H3" s="109" t="s">
        <v>160</v>
      </c>
      <c r="I3" s="110"/>
      <c r="J3" s="110"/>
      <c r="K3" s="110"/>
      <c r="L3" s="112"/>
      <c r="M3" s="109" t="s">
        <v>1</v>
      </c>
      <c r="N3" s="110"/>
      <c r="O3" s="110"/>
      <c r="P3" s="110"/>
      <c r="Q3" s="110"/>
      <c r="R3" s="110"/>
      <c r="S3" s="110"/>
    </row>
    <row r="4" spans="1:19" ht="15" customHeight="1" x14ac:dyDescent="0.2">
      <c r="A4" s="108"/>
      <c r="B4" s="108"/>
      <c r="C4" s="108"/>
      <c r="D4" s="111"/>
      <c r="E4" s="111"/>
      <c r="F4" s="108"/>
      <c r="G4" s="108"/>
      <c r="H4" s="5" t="s">
        <v>2</v>
      </c>
      <c r="I4" s="5" t="s">
        <v>5</v>
      </c>
      <c r="J4" s="5" t="s">
        <v>6</v>
      </c>
      <c r="K4" s="5" t="s">
        <v>4</v>
      </c>
      <c r="L4" s="5" t="s">
        <v>172</v>
      </c>
      <c r="M4" s="5" t="s">
        <v>2</v>
      </c>
      <c r="N4" s="5" t="s">
        <v>3</v>
      </c>
      <c r="O4" s="5" t="s">
        <v>41</v>
      </c>
      <c r="P4" s="5" t="s">
        <v>5</v>
      </c>
      <c r="Q4" s="5" t="s">
        <v>6</v>
      </c>
      <c r="R4" s="5" t="s">
        <v>4</v>
      </c>
      <c r="S4" s="5" t="s">
        <v>172</v>
      </c>
    </row>
    <row r="5" spans="1:19" ht="15" customHeight="1" x14ac:dyDescent="0.2">
      <c r="A5" s="53" t="str">
        <f>Dados!B15</f>
        <v>Pá Carregadeira</v>
      </c>
      <c r="B5" s="4">
        <f>Dados!E15</f>
        <v>97</v>
      </c>
      <c r="C5" s="4" t="s">
        <v>55</v>
      </c>
      <c r="D5" s="55">
        <v>-20.355919</v>
      </c>
      <c r="E5" s="55">
        <v>-40.324795999999999</v>
      </c>
      <c r="F5" s="4">
        <f>Dados!D15</f>
        <v>1</v>
      </c>
      <c r="G5" s="48">
        <f>Dados!F15</f>
        <v>4</v>
      </c>
      <c r="H5" s="7">
        <f>(INDEX(FE_Maq_Equip,MATCH($C5,Pot_Equip,0),2))</f>
        <v>3.5159649405128737E-2</v>
      </c>
      <c r="I5" s="7">
        <f>(INDEX(FE_Maq_Equip,MATCH($C5,Pot_Equip,0),3))</f>
        <v>0.39013010201093185</v>
      </c>
      <c r="J5" s="7">
        <f>(INDEX(FE_Maq_Equip,MATCH($C5,Pot_Equip,0),4))</f>
        <v>3.1347091665644508E-4</v>
      </c>
      <c r="K5" s="7">
        <f>(INDEX(FE_Maq_Equip,MATCH($C5,Pot_Equip,0),5))</f>
        <v>0.2004419223709539</v>
      </c>
      <c r="L5" s="7">
        <f>(INDEX(FE_Maq_Equip,MATCH($C5,Pot_Equip,0),6))</f>
        <v>6.7138814469940591E-2</v>
      </c>
      <c r="M5" s="7">
        <f>H5*F5*G5/24</f>
        <v>5.8599415675214565E-3</v>
      </c>
      <c r="N5" s="7">
        <f>M5</f>
        <v>5.8599415675214565E-3</v>
      </c>
      <c r="O5" s="7">
        <f>M5</f>
        <v>5.8599415675214565E-3</v>
      </c>
      <c r="P5" s="7">
        <f>I5*$F$5*$G$5/24</f>
        <v>6.5021683668488636E-2</v>
      </c>
      <c r="Q5" s="7">
        <f t="shared" ref="Q5:S5" si="0">J5*$F$5*$G$5/24</f>
        <v>5.224515277607418E-5</v>
      </c>
      <c r="R5" s="7">
        <f t="shared" si="0"/>
        <v>3.3406987061825648E-2</v>
      </c>
      <c r="S5" s="7">
        <f t="shared" si="0"/>
        <v>1.1189802411656765E-2</v>
      </c>
    </row>
    <row r="6" spans="1:19" ht="15" customHeight="1" x14ac:dyDescent="0.2">
      <c r="A6" s="106" t="s">
        <v>103</v>
      </c>
      <c r="B6" s="106"/>
      <c r="C6" s="106"/>
      <c r="D6" s="106"/>
      <c r="E6" s="106"/>
      <c r="F6" s="106"/>
      <c r="G6" s="106"/>
      <c r="H6" s="106"/>
      <c r="I6" s="106"/>
      <c r="J6" s="106"/>
      <c r="K6" s="106"/>
      <c r="L6" s="106"/>
      <c r="M6" s="10">
        <f t="shared" ref="M6:S6" si="1">SUM(M5:M5)</f>
        <v>5.8599415675214565E-3</v>
      </c>
      <c r="N6" s="10">
        <f t="shared" si="1"/>
        <v>5.8599415675214565E-3</v>
      </c>
      <c r="O6" s="10">
        <f t="shared" si="1"/>
        <v>5.8599415675214565E-3</v>
      </c>
      <c r="P6" s="15">
        <f t="shared" si="1"/>
        <v>6.5021683668488636E-2</v>
      </c>
      <c r="Q6" s="10">
        <f t="shared" si="1"/>
        <v>5.224515277607418E-5</v>
      </c>
      <c r="R6" s="10">
        <f t="shared" si="1"/>
        <v>3.3406987061825648E-2</v>
      </c>
      <c r="S6" s="10">
        <f t="shared" si="1"/>
        <v>1.1189802411656765E-2</v>
      </c>
    </row>
    <row r="7" spans="1:19" ht="15" customHeight="1" x14ac:dyDescent="0.2">
      <c r="M7" s="16"/>
      <c r="N7" s="16"/>
      <c r="O7" s="16"/>
      <c r="P7" s="16"/>
      <c r="Q7" s="17"/>
      <c r="R7" s="16"/>
      <c r="S7" s="16"/>
    </row>
    <row r="8" spans="1:19" ht="15" customHeight="1" x14ac:dyDescent="0.2">
      <c r="M8" s="18"/>
      <c r="N8" s="18"/>
      <c r="O8" s="18"/>
      <c r="P8" s="19"/>
      <c r="Q8" s="19"/>
      <c r="R8" s="19"/>
      <c r="S8" s="19"/>
    </row>
    <row r="9" spans="1:19" ht="15" customHeight="1" x14ac:dyDescent="0.2">
      <c r="P9" s="4"/>
      <c r="R9" s="4"/>
    </row>
    <row r="10" spans="1:19" ht="11.25" x14ac:dyDescent="0.2">
      <c r="A10" s="20"/>
      <c r="C10" s="2"/>
      <c r="D10" s="14"/>
      <c r="E10" s="14"/>
      <c r="G10" s="14"/>
      <c r="H10" s="14"/>
      <c r="I10" s="14"/>
      <c r="J10" s="14"/>
      <c r="K10" s="14"/>
      <c r="L10" s="14"/>
      <c r="M10" s="14"/>
      <c r="N10" s="14"/>
      <c r="O10" s="14"/>
      <c r="P10" s="14"/>
      <c r="Q10" s="14"/>
      <c r="R10" s="14"/>
      <c r="S10" s="14"/>
    </row>
    <row r="11" spans="1:19" ht="15" customHeight="1" x14ac:dyDescent="0.2">
      <c r="D11" s="14"/>
      <c r="E11" s="14"/>
      <c r="G11" s="14"/>
      <c r="H11" s="14"/>
      <c r="I11" s="14"/>
      <c r="J11" s="14"/>
      <c r="K11" s="14"/>
      <c r="L11" s="14"/>
      <c r="M11" s="7"/>
      <c r="N11" s="7"/>
      <c r="O11" s="14"/>
      <c r="P11" s="14"/>
      <c r="Q11" s="14"/>
      <c r="R11" s="14"/>
      <c r="S11" s="14"/>
    </row>
    <row r="12" spans="1:19" ht="15" customHeight="1" x14ac:dyDescent="0.2">
      <c r="A12" s="14"/>
      <c r="M12" s="14"/>
      <c r="N12" s="14"/>
      <c r="O12" s="14"/>
      <c r="P12" s="14"/>
      <c r="Q12" s="14"/>
      <c r="R12" s="14"/>
      <c r="S12" s="14"/>
    </row>
    <row r="13" spans="1:19" ht="15" customHeight="1" x14ac:dyDescent="0.2">
      <c r="D13" s="14"/>
      <c r="E13" s="14"/>
      <c r="G13" s="14"/>
      <c r="H13" s="14"/>
      <c r="I13" s="14"/>
      <c r="J13" s="14"/>
      <c r="K13" s="14"/>
      <c r="L13" s="14"/>
      <c r="M13" s="14"/>
      <c r="N13" s="14"/>
      <c r="O13" s="14"/>
      <c r="P13" s="14"/>
      <c r="Q13" s="14"/>
      <c r="R13" s="14"/>
      <c r="S13" s="14"/>
    </row>
    <row r="14" spans="1:19" ht="15" customHeight="1" x14ac:dyDescent="0.2">
      <c r="D14" s="14"/>
      <c r="E14" s="14"/>
      <c r="G14" s="14"/>
      <c r="H14" s="14"/>
      <c r="I14" s="14"/>
      <c r="J14" s="14"/>
      <c r="K14" s="14"/>
      <c r="L14" s="14"/>
      <c r="M14" s="14"/>
      <c r="N14" s="14"/>
      <c r="O14" s="14"/>
      <c r="P14" s="14"/>
      <c r="Q14" s="14"/>
      <c r="R14" s="14"/>
      <c r="S14" s="14"/>
    </row>
    <row r="15" spans="1:19" ht="15" customHeight="1" x14ac:dyDescent="0.2">
      <c r="D15" s="14"/>
      <c r="E15" s="14"/>
      <c r="G15" s="14"/>
      <c r="H15" s="14"/>
      <c r="I15" s="14"/>
      <c r="J15" s="14"/>
      <c r="K15" s="14"/>
      <c r="L15" s="14"/>
      <c r="M15" s="14"/>
      <c r="N15" s="14"/>
      <c r="O15" s="14"/>
      <c r="P15" s="14"/>
      <c r="Q15" s="14"/>
      <c r="R15" s="14"/>
      <c r="S15" s="14"/>
    </row>
    <row r="16" spans="1:19" ht="15" customHeight="1" x14ac:dyDescent="0.2">
      <c r="D16" s="14"/>
      <c r="E16" s="14"/>
      <c r="G16" s="14"/>
      <c r="H16" s="14"/>
      <c r="I16" s="14"/>
      <c r="J16" s="14"/>
      <c r="K16" s="14"/>
      <c r="L16" s="14"/>
      <c r="M16" s="14"/>
      <c r="N16" s="14"/>
      <c r="O16" s="14"/>
      <c r="P16" s="14"/>
      <c r="Q16" s="14"/>
      <c r="R16" s="14"/>
      <c r="S16" s="14"/>
    </row>
    <row r="17" spans="4:19" ht="15" customHeight="1" x14ac:dyDescent="0.2">
      <c r="D17" s="14"/>
      <c r="E17" s="14"/>
      <c r="G17" s="14"/>
      <c r="H17" s="14"/>
      <c r="I17" s="14"/>
      <c r="J17" s="14"/>
      <c r="K17" s="14"/>
      <c r="L17" s="14"/>
      <c r="M17" s="14"/>
      <c r="N17" s="14"/>
      <c r="O17" s="14"/>
      <c r="P17" s="14"/>
      <c r="Q17" s="14"/>
      <c r="R17" s="14"/>
      <c r="S17" s="14"/>
    </row>
    <row r="18" spans="4:19" ht="15" customHeight="1" x14ac:dyDescent="0.2">
      <c r="D18" s="14"/>
      <c r="E18" s="14"/>
      <c r="G18" s="14"/>
      <c r="H18" s="14"/>
      <c r="I18" s="14"/>
      <c r="J18" s="14"/>
      <c r="K18" s="14"/>
      <c r="L18" s="14"/>
      <c r="M18" s="14"/>
      <c r="N18" s="14"/>
      <c r="O18" s="14"/>
      <c r="P18" s="14"/>
      <c r="Q18" s="14"/>
      <c r="R18" s="14"/>
      <c r="S18" s="14"/>
    </row>
    <row r="19" spans="4:19" ht="15" customHeight="1" x14ac:dyDescent="0.2">
      <c r="D19" s="14"/>
      <c r="E19" s="14"/>
      <c r="G19" s="14"/>
      <c r="H19" s="14"/>
      <c r="I19" s="14"/>
      <c r="J19" s="14"/>
      <c r="K19" s="14"/>
      <c r="L19" s="14"/>
      <c r="M19" s="14"/>
      <c r="N19" s="14"/>
      <c r="O19" s="14"/>
      <c r="P19" s="14"/>
      <c r="Q19" s="14"/>
      <c r="R19" s="14"/>
      <c r="S19" s="14"/>
    </row>
    <row r="20" spans="4:19" ht="15" customHeight="1" x14ac:dyDescent="0.2">
      <c r="D20" s="14"/>
      <c r="E20" s="14"/>
      <c r="G20" s="14"/>
      <c r="H20" s="14"/>
      <c r="I20" s="14"/>
      <c r="J20" s="14"/>
      <c r="K20" s="14"/>
      <c r="L20" s="14"/>
      <c r="M20" s="14"/>
      <c r="N20" s="14"/>
      <c r="O20" s="14"/>
      <c r="P20" s="14"/>
      <c r="Q20" s="14"/>
      <c r="R20" s="14"/>
      <c r="S20" s="14"/>
    </row>
    <row r="21" spans="4:19" ht="15" customHeight="1" x14ac:dyDescent="0.2">
      <c r="D21" s="14"/>
      <c r="E21" s="14"/>
      <c r="G21" s="14"/>
      <c r="H21" s="14"/>
      <c r="I21" s="14"/>
      <c r="J21" s="14"/>
      <c r="K21" s="14"/>
      <c r="L21" s="14"/>
      <c r="M21" s="14"/>
      <c r="N21" s="14"/>
      <c r="O21" s="14"/>
      <c r="P21" s="14"/>
      <c r="Q21" s="14"/>
      <c r="R21" s="14"/>
      <c r="S21" s="14"/>
    </row>
    <row r="22" spans="4:19" ht="15" customHeight="1" x14ac:dyDescent="0.2">
      <c r="D22" s="14"/>
      <c r="E22" s="14"/>
      <c r="F22" s="13"/>
      <c r="G22" s="14"/>
      <c r="H22" s="14"/>
      <c r="I22" s="14"/>
      <c r="J22" s="14"/>
      <c r="K22" s="14"/>
      <c r="L22" s="14"/>
      <c r="M22" s="14"/>
      <c r="N22" s="14"/>
      <c r="O22" s="14"/>
      <c r="P22" s="14"/>
      <c r="Q22" s="14"/>
      <c r="R22" s="14"/>
      <c r="S22" s="14"/>
    </row>
    <row r="23" spans="4:19" ht="15" customHeight="1" x14ac:dyDescent="0.2">
      <c r="M23" s="16"/>
      <c r="N23" s="16"/>
      <c r="O23" s="16"/>
      <c r="P23" s="16"/>
      <c r="Q23" s="16"/>
      <c r="R23" s="16"/>
      <c r="S23" s="16"/>
    </row>
  </sheetData>
  <sheetProtection password="B056" sheet="1" objects="1" scenarios="1"/>
  <mergeCells count="10">
    <mergeCell ref="A6:L6"/>
    <mergeCell ref="G3:G4"/>
    <mergeCell ref="M3:S3"/>
    <mergeCell ref="A3:A4"/>
    <mergeCell ref="B3:B4"/>
    <mergeCell ref="C3:C4"/>
    <mergeCell ref="D3:D4"/>
    <mergeCell ref="E3:E4"/>
    <mergeCell ref="F3:F4"/>
    <mergeCell ref="H3:L3"/>
  </mergeCells>
  <pageMargins left="0.511811024" right="0.511811024" top="0.78740157499999996" bottom="0.78740157499999996" header="0.31496062000000002" footer="0.31496062000000002"/>
  <legacy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'FE-Maq e Equip'!$B$4:$B$11</xm:f>
          </x14:formula1>
          <xm:sqref>C5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7"/>
  <dimension ref="A1:O27"/>
  <sheetViews>
    <sheetView topLeftCell="B1" zoomScaleNormal="100" workbookViewId="0">
      <selection activeCell="H12" sqref="H12:H17"/>
    </sheetView>
  </sheetViews>
  <sheetFormatPr defaultRowHeight="15" customHeight="1" x14ac:dyDescent="0.25"/>
  <cols>
    <col min="1" max="1" width="42.5703125" style="2" customWidth="1"/>
    <col min="2" max="3" width="18.28515625" style="2" customWidth="1"/>
    <col min="4" max="5" width="18" style="2" customWidth="1"/>
    <col min="6" max="6" width="18" style="26" customWidth="1"/>
    <col min="7" max="8" width="15.7109375" style="2" customWidth="1"/>
    <col min="9" max="12" width="9.140625" style="26"/>
    <col min="13" max="16384" width="9.140625" style="2"/>
  </cols>
  <sheetData>
    <row r="1" spans="1:15" ht="15" customHeight="1" x14ac:dyDescent="0.25">
      <c r="A1" s="34" t="s">
        <v>149</v>
      </c>
      <c r="B1" s="27">
        <v>8</v>
      </c>
      <c r="C1" s="27"/>
    </row>
    <row r="2" spans="1:15" ht="15" customHeight="1" x14ac:dyDescent="0.25">
      <c r="A2" s="34" t="s">
        <v>150</v>
      </c>
      <c r="B2" s="27">
        <f>'FE-Transferências'!H16/1000</f>
        <v>1.55</v>
      </c>
      <c r="C2" s="27"/>
      <c r="F2" s="56"/>
      <c r="I2" s="56"/>
      <c r="J2" s="56"/>
      <c r="K2" s="56"/>
      <c r="L2" s="56"/>
    </row>
    <row r="3" spans="1:15" ht="15" customHeight="1" x14ac:dyDescent="0.25">
      <c r="A3" s="34" t="s">
        <v>151</v>
      </c>
      <c r="B3" s="27">
        <f>'FE-Transferências'!H15/1000</f>
        <v>1.52</v>
      </c>
      <c r="C3" s="27"/>
      <c r="F3" s="56"/>
      <c r="I3" s="56"/>
      <c r="J3" s="56"/>
      <c r="K3" s="56"/>
      <c r="L3" s="56"/>
    </row>
    <row r="4" spans="1:15" ht="15" customHeight="1" x14ac:dyDescent="0.25">
      <c r="A4" s="2" t="s">
        <v>119</v>
      </c>
      <c r="B4" s="41">
        <f>(Dados!B4)*B3/(365*24)</f>
        <v>3.5671415525114156</v>
      </c>
      <c r="C4" s="35"/>
    </row>
    <row r="5" spans="1:15" ht="15" customHeight="1" x14ac:dyDescent="0.25">
      <c r="A5" s="2" t="s">
        <v>108</v>
      </c>
      <c r="B5" s="11">
        <f>(Dados!B5)*B2/(365*24)</f>
        <v>4.2437442922374435</v>
      </c>
      <c r="C5" s="35"/>
    </row>
    <row r="6" spans="1:15" ht="15" customHeight="1" x14ac:dyDescent="0.25">
      <c r="A6" s="2" t="s">
        <v>96</v>
      </c>
      <c r="B6" s="36">
        <v>4.2</v>
      </c>
      <c r="C6" s="35"/>
    </row>
    <row r="7" spans="1:15" ht="15" customHeight="1" x14ac:dyDescent="0.25">
      <c r="A7"/>
      <c r="B7" s="42"/>
      <c r="C7" s="36"/>
    </row>
    <row r="9" spans="1:15" ht="15" customHeight="1" x14ac:dyDescent="0.25">
      <c r="A9" s="34" t="s">
        <v>118</v>
      </c>
    </row>
    <row r="10" spans="1:15" ht="15" customHeight="1" x14ac:dyDescent="0.25">
      <c r="A10" s="107" t="s">
        <v>0</v>
      </c>
      <c r="B10" s="115" t="s">
        <v>74</v>
      </c>
      <c r="C10" s="116" t="s">
        <v>97</v>
      </c>
      <c r="D10" s="117" t="s">
        <v>98</v>
      </c>
      <c r="E10" s="117" t="s">
        <v>99</v>
      </c>
      <c r="F10" s="117" t="s">
        <v>100</v>
      </c>
      <c r="G10" s="111" t="s">
        <v>173</v>
      </c>
      <c r="H10" s="111" t="s">
        <v>174</v>
      </c>
      <c r="I10" s="111" t="s">
        <v>164</v>
      </c>
      <c r="J10" s="119" t="s">
        <v>101</v>
      </c>
      <c r="K10" s="105"/>
      <c r="L10" s="105"/>
      <c r="M10" s="119" t="s">
        <v>1</v>
      </c>
      <c r="N10" s="105"/>
      <c r="O10" s="105"/>
    </row>
    <row r="11" spans="1:15" ht="15" customHeight="1" x14ac:dyDescent="0.25">
      <c r="A11" s="108"/>
      <c r="B11" s="115"/>
      <c r="C11" s="116"/>
      <c r="D11" s="118"/>
      <c r="E11" s="118"/>
      <c r="F11" s="118"/>
      <c r="G11" s="111"/>
      <c r="H11" s="111"/>
      <c r="I11" s="111"/>
      <c r="J11" s="25" t="s">
        <v>2</v>
      </c>
      <c r="K11" s="25" t="s">
        <v>3</v>
      </c>
      <c r="L11" s="25" t="s">
        <v>102</v>
      </c>
      <c r="M11" s="25" t="s">
        <v>2</v>
      </c>
      <c r="N11" s="25" t="s">
        <v>3</v>
      </c>
      <c r="O11" s="25" t="s">
        <v>102</v>
      </c>
    </row>
    <row r="12" spans="1:15" s="3" customFormat="1" ht="15" customHeight="1" x14ac:dyDescent="0.25">
      <c r="A12" s="37" t="s">
        <v>120</v>
      </c>
      <c r="B12" s="8" t="s">
        <v>104</v>
      </c>
      <c r="C12" s="40">
        <f>'FE-Transferências'!$L$5</f>
        <v>7.4</v>
      </c>
      <c r="D12" s="8" t="s">
        <v>117</v>
      </c>
      <c r="E12" s="8">
        <v>50</v>
      </c>
      <c r="F12" s="45">
        <f>B4</f>
        <v>3.5671415525114156</v>
      </c>
      <c r="G12" s="113">
        <v>-20.355782000000001</v>
      </c>
      <c r="H12" s="113">
        <v>-40.324705000000002</v>
      </c>
      <c r="I12" s="8">
        <v>5</v>
      </c>
      <c r="J12" s="38">
        <f>'FE-Transferências'!$A$4*0.0016*((($B$6/2.2)^1.3)/($C$12/2)^1.4)</f>
        <v>4.3948482222233288E-4</v>
      </c>
      <c r="K12" s="38">
        <f>'FE-Transferências'!$C$4*0.0016*((($B$6/2.2)^1.3)/($C$12/2)^1.4)</f>
        <v>2.0786444294299528E-4</v>
      </c>
      <c r="L12" s="38">
        <f>'FE-Transferências'!$E$4*0.0016*((($B$6/2.2)^1.3)/($C$12/2)^1.4)</f>
        <v>3.1476615645653572E-5</v>
      </c>
      <c r="M12" s="39">
        <f t="shared" ref="M12:M17" si="0">F12*J12*(1-E12/100)</f>
        <v>7.8385228552368806E-4</v>
      </c>
      <c r="N12" s="39">
        <f t="shared" ref="N12:N13" si="1">F12*K12*(1-E12/100)</f>
        <v>3.7074094585579841E-4</v>
      </c>
      <c r="O12" s="39">
        <f t="shared" ref="O12:O13" si="2">F12*L12*(1-E12/100)</f>
        <v>5.6140771801020901E-5</v>
      </c>
    </row>
    <row r="13" spans="1:15" s="3" customFormat="1" ht="15" customHeight="1" x14ac:dyDescent="0.2">
      <c r="A13" s="46" t="s">
        <v>112</v>
      </c>
      <c r="B13" s="4" t="s">
        <v>105</v>
      </c>
      <c r="C13" s="4">
        <v>1</v>
      </c>
      <c r="D13" s="8" t="s">
        <v>117</v>
      </c>
      <c r="E13" s="8">
        <v>50</v>
      </c>
      <c r="F13" s="47">
        <f>B5</f>
        <v>4.2437442922374435</v>
      </c>
      <c r="G13" s="114"/>
      <c r="H13" s="114">
        <v>-40.324705000000002</v>
      </c>
      <c r="I13" s="8">
        <v>5</v>
      </c>
      <c r="J13" s="38">
        <f>'FE-Transferências'!$A$4*0.0016*((($B$6/2.2)^1.3)/($C$12/2)^1.4)</f>
        <v>4.3948482222233288E-4</v>
      </c>
      <c r="K13" s="38">
        <f>'FE-Transferências'!$C$4*0.0016*((($B$6/2.2)^1.3)/($C$12/2)^1.4)</f>
        <v>2.0786444294299528E-4</v>
      </c>
      <c r="L13" s="38">
        <f>'FE-Transferências'!$E$4*0.0016*((($B$6/2.2)^1.3)/($C$12/2)^1.4)</f>
        <v>3.1476615645653572E-5</v>
      </c>
      <c r="M13" s="39">
        <f t="shared" si="0"/>
        <v>9.3253060291550636E-4</v>
      </c>
      <c r="N13" s="39">
        <f t="shared" si="1"/>
        <v>4.4106177164922599E-4</v>
      </c>
      <c r="O13" s="39">
        <f t="shared" si="2"/>
        <v>6.6789353992597076E-5</v>
      </c>
    </row>
    <row r="14" spans="1:15" s="3" customFormat="1" ht="15" customHeight="1" x14ac:dyDescent="0.2">
      <c r="A14" s="46" t="s">
        <v>153</v>
      </c>
      <c r="B14" s="4" t="s">
        <v>104</v>
      </c>
      <c r="C14" s="40">
        <f>'FE-Transferências'!$L$5</f>
        <v>7.4</v>
      </c>
      <c r="D14" s="8" t="s">
        <v>152</v>
      </c>
      <c r="E14" s="55">
        <v>70</v>
      </c>
      <c r="F14" s="48">
        <f>B4</f>
        <v>3.5671415525114156</v>
      </c>
      <c r="G14" s="114"/>
      <c r="H14" s="114">
        <v>-40.324705000000002</v>
      </c>
      <c r="I14" s="8">
        <v>10</v>
      </c>
      <c r="J14" s="38">
        <f>'FE-Transferências'!$A$4*0.0016*((($B$6/2.2)^1.3)/($C$12/2)^1.4)</f>
        <v>4.3948482222233288E-4</v>
      </c>
      <c r="K14" s="38">
        <f>'FE-Transferências'!$C$4*0.0016*((($B$6/2.2)^1.3)/($C$12/2)^1.4)</f>
        <v>2.0786444294299528E-4</v>
      </c>
      <c r="L14" s="38">
        <f>'FE-Transferências'!$E$4*0.0016*((($B$6/2.2)^1.3)/($C$12/2)^1.4)</f>
        <v>3.1476615645653572E-5</v>
      </c>
      <c r="M14" s="39">
        <f t="shared" ref="M14:M15" si="3">F14*J14*(1-E14/100)</f>
        <v>4.7031137131421289E-4</v>
      </c>
      <c r="N14" s="39">
        <f t="shared" ref="N14:N17" si="4">F14*K14*(1-E14/100)</f>
        <v>2.2244456751347908E-4</v>
      </c>
      <c r="O14" s="39">
        <f t="shared" ref="O14:O17" si="5">F14*L14*(1-E14/100)</f>
        <v>3.3684463080612544E-5</v>
      </c>
    </row>
    <row r="15" spans="1:15" s="3" customFormat="1" ht="15" customHeight="1" x14ac:dyDescent="0.2">
      <c r="A15" s="46" t="s">
        <v>154</v>
      </c>
      <c r="B15" s="4" t="s">
        <v>105</v>
      </c>
      <c r="C15" s="4">
        <v>1</v>
      </c>
      <c r="D15" s="8" t="s">
        <v>152</v>
      </c>
      <c r="E15" s="55">
        <v>70</v>
      </c>
      <c r="F15" s="47">
        <f>B5</f>
        <v>4.2437442922374435</v>
      </c>
      <c r="G15" s="114"/>
      <c r="H15" s="114">
        <v>-40.324705000000002</v>
      </c>
      <c r="I15" s="8">
        <v>10</v>
      </c>
      <c r="J15" s="38">
        <f>'FE-Transferências'!$A$4*0.0016*((($B$6/2.2)^1.3)/($C$12/2)^1.4)</f>
        <v>4.3948482222233288E-4</v>
      </c>
      <c r="K15" s="38">
        <f>'FE-Transferências'!$C$4*0.0016*((($B$6/2.2)^1.3)/($C$12/2)^1.4)</f>
        <v>2.0786444294299528E-4</v>
      </c>
      <c r="L15" s="38">
        <f>'FE-Transferências'!$E$4*0.0016*((($B$6/2.2)^1.3)/($C$12/2)^1.4)</f>
        <v>3.1476615645653572E-5</v>
      </c>
      <c r="M15" s="39">
        <f t="shared" si="3"/>
        <v>5.5951836174930386E-4</v>
      </c>
      <c r="N15" s="39">
        <f t="shared" si="4"/>
        <v>2.6463706298953565E-4</v>
      </c>
      <c r="O15" s="39">
        <f t="shared" si="5"/>
        <v>4.0073612395558249E-5</v>
      </c>
    </row>
    <row r="16" spans="1:15" s="3" customFormat="1" ht="15" customHeight="1" x14ac:dyDescent="0.2">
      <c r="A16" s="46" t="s">
        <v>155</v>
      </c>
      <c r="B16" s="4" t="s">
        <v>104</v>
      </c>
      <c r="C16" s="40">
        <f>'FE-Transferências'!$L$5</f>
        <v>7.4</v>
      </c>
      <c r="D16" s="8" t="s">
        <v>152</v>
      </c>
      <c r="E16" s="55">
        <v>70</v>
      </c>
      <c r="F16" s="48">
        <f>B4</f>
        <v>3.5671415525114156</v>
      </c>
      <c r="G16" s="114"/>
      <c r="H16" s="114">
        <v>-40.324705000000002</v>
      </c>
      <c r="I16" s="8">
        <v>5</v>
      </c>
      <c r="J16" s="38">
        <f>'FE-Transferências'!$A$4*0.0016*((($B$6/2.2)^1.3)/($C$12/2)^1.4)</f>
        <v>4.3948482222233288E-4</v>
      </c>
      <c r="K16" s="38">
        <f>'FE-Transferências'!$C$4*0.0016*((($B$6/2.2)^1.3)/($C$12/2)^1.4)</f>
        <v>2.0786444294299528E-4</v>
      </c>
      <c r="L16" s="38">
        <f>'FE-Transferências'!$E$4*0.0016*((($B$6/2.2)^1.3)/($C$12/2)^1.4)</f>
        <v>3.1476615645653572E-5</v>
      </c>
      <c r="M16" s="39">
        <f t="shared" si="0"/>
        <v>4.7031137131421289E-4</v>
      </c>
      <c r="N16" s="39">
        <f t="shared" si="4"/>
        <v>2.2244456751347908E-4</v>
      </c>
      <c r="O16" s="39">
        <f t="shared" si="5"/>
        <v>3.3684463080612544E-5</v>
      </c>
    </row>
    <row r="17" spans="1:15" s="3" customFormat="1" ht="15" customHeight="1" x14ac:dyDescent="0.2">
      <c r="A17" s="46" t="s">
        <v>156</v>
      </c>
      <c r="B17" s="4" t="s">
        <v>105</v>
      </c>
      <c r="C17" s="4">
        <v>1</v>
      </c>
      <c r="D17" s="8" t="s">
        <v>152</v>
      </c>
      <c r="E17" s="55">
        <v>70</v>
      </c>
      <c r="F17" s="47">
        <f>B5</f>
        <v>4.2437442922374435</v>
      </c>
      <c r="G17" s="114"/>
      <c r="H17" s="114">
        <v>-40.324705000000002</v>
      </c>
      <c r="I17" s="8">
        <v>5</v>
      </c>
      <c r="J17" s="38">
        <f>'FE-Transferências'!$A$4*0.0016*((($B$6/2.2)^1.3)/($C$12/2)^1.4)</f>
        <v>4.3948482222233288E-4</v>
      </c>
      <c r="K17" s="38">
        <f>'FE-Transferências'!$C$4*0.0016*((($B$6/2.2)^1.3)/($C$12/2)^1.4)</f>
        <v>2.0786444294299528E-4</v>
      </c>
      <c r="L17" s="38">
        <f>'FE-Transferências'!$E$4*0.0016*((($B$6/2.2)^1.3)/($C$12/2)^1.4)</f>
        <v>3.1476615645653572E-5</v>
      </c>
      <c r="M17" s="39">
        <f t="shared" si="0"/>
        <v>5.5951836174930386E-4</v>
      </c>
      <c r="N17" s="39">
        <f t="shared" si="4"/>
        <v>2.6463706298953565E-4</v>
      </c>
      <c r="O17" s="39">
        <f t="shared" si="5"/>
        <v>4.0073612395558249E-5</v>
      </c>
    </row>
    <row r="18" spans="1:15" ht="15" customHeight="1" x14ac:dyDescent="0.25">
      <c r="A18" s="106" t="s">
        <v>103</v>
      </c>
      <c r="B18" s="106"/>
      <c r="C18" s="106"/>
      <c r="D18" s="106"/>
      <c r="E18" s="106"/>
      <c r="F18" s="106"/>
      <c r="G18" s="106"/>
      <c r="H18" s="106"/>
      <c r="I18" s="106"/>
      <c r="J18" s="106"/>
      <c r="K18" s="106"/>
      <c r="L18" s="106"/>
      <c r="M18" s="49">
        <f>SUM(M12:M17)</f>
        <v>3.7760423545662282E-3</v>
      </c>
      <c r="N18" s="49">
        <f>SUM(N12:N17)</f>
        <v>1.7859659785110539E-3</v>
      </c>
      <c r="O18" s="49">
        <f>SUM(O12:O17)</f>
        <v>2.7044627674595951E-4</v>
      </c>
    </row>
    <row r="19" spans="1:15" ht="15" customHeight="1" x14ac:dyDescent="0.2">
      <c r="A19" s="1" t="s">
        <v>167</v>
      </c>
      <c r="B19" s="1"/>
      <c r="C19" s="1"/>
    </row>
    <row r="20" spans="1:15" ht="15" customHeight="1" x14ac:dyDescent="0.2">
      <c r="A20" s="66" t="s">
        <v>171</v>
      </c>
      <c r="B20" s="1"/>
      <c r="C20" s="1"/>
      <c r="J20" s="50"/>
    </row>
    <row r="21" spans="1:15" ht="15" customHeight="1" x14ac:dyDescent="0.2">
      <c r="A21" s="1"/>
      <c r="B21" s="1"/>
      <c r="C21" s="1"/>
    </row>
    <row r="22" spans="1:15" ht="15" customHeight="1" x14ac:dyDescent="0.2">
      <c r="A22" s="1"/>
      <c r="B22" s="1"/>
      <c r="C22" s="1"/>
    </row>
    <row r="23" spans="1:15" ht="15" customHeight="1" x14ac:dyDescent="0.2">
      <c r="A23" s="1"/>
      <c r="B23" s="1"/>
      <c r="C23" s="1"/>
    </row>
    <row r="24" spans="1:15" ht="15" customHeight="1" x14ac:dyDescent="0.2">
      <c r="A24" s="1"/>
      <c r="B24" s="1"/>
      <c r="C24" s="1"/>
    </row>
    <row r="25" spans="1:15" ht="15" customHeight="1" x14ac:dyDescent="0.25">
      <c r="A25"/>
      <c r="B25"/>
      <c r="C25"/>
    </row>
    <row r="26" spans="1:15" ht="15" customHeight="1" x14ac:dyDescent="0.25">
      <c r="A26"/>
      <c r="B26"/>
      <c r="C26"/>
    </row>
    <row r="27" spans="1:15" ht="15" customHeight="1" x14ac:dyDescent="0.25">
      <c r="A27"/>
      <c r="B27"/>
      <c r="C27"/>
    </row>
  </sheetData>
  <sheetProtection password="B056" sheet="1" objects="1" scenarios="1"/>
  <mergeCells count="14">
    <mergeCell ref="M10:O10"/>
    <mergeCell ref="F10:F11"/>
    <mergeCell ref="G10:G11"/>
    <mergeCell ref="H10:H11"/>
    <mergeCell ref="I10:I11"/>
    <mergeCell ref="J10:L10"/>
    <mergeCell ref="G12:G17"/>
    <mergeCell ref="H12:H17"/>
    <mergeCell ref="A18:L18"/>
    <mergeCell ref="A10:A11"/>
    <mergeCell ref="B10:B11"/>
    <mergeCell ref="C10:C11"/>
    <mergeCell ref="D10:D11"/>
    <mergeCell ref="E10:E11"/>
  </mergeCell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L18" sqref="L18"/>
    </sheetView>
  </sheetViews>
  <sheetFormatPr defaultRowHeight="15" x14ac:dyDescent="0.25"/>
  <sheetData>
    <row r="1" spans="1:8" ht="15" customHeight="1" x14ac:dyDescent="0.25">
      <c r="A1" s="120" t="s">
        <v>168</v>
      </c>
      <c r="B1" s="120"/>
      <c r="C1" s="120"/>
      <c r="D1" s="120"/>
      <c r="E1" s="120"/>
      <c r="F1" s="120"/>
      <c r="G1" s="120"/>
      <c r="H1" s="120"/>
    </row>
    <row r="2" spans="1:8" x14ac:dyDescent="0.25">
      <c r="A2" s="120"/>
      <c r="B2" s="120"/>
      <c r="C2" s="120"/>
      <c r="D2" s="120"/>
      <c r="E2" s="120"/>
      <c r="F2" s="120"/>
      <c r="G2" s="120"/>
      <c r="H2" s="120"/>
    </row>
    <row r="3" spans="1:8" x14ac:dyDescent="0.25">
      <c r="A3" s="120"/>
      <c r="B3" s="120"/>
      <c r="C3" s="120"/>
      <c r="D3" s="120"/>
      <c r="E3" s="120"/>
      <c r="F3" s="120"/>
      <c r="G3" s="120"/>
      <c r="H3" s="120"/>
    </row>
    <row r="4" spans="1:8" x14ac:dyDescent="0.25">
      <c r="A4" s="120"/>
      <c r="B4" s="120"/>
      <c r="C4" s="120"/>
      <c r="D4" s="120"/>
      <c r="E4" s="120"/>
      <c r="F4" s="120"/>
      <c r="G4" s="120"/>
      <c r="H4" s="120"/>
    </row>
    <row r="5" spans="1:8" x14ac:dyDescent="0.25">
      <c r="A5" s="120"/>
      <c r="B5" s="120"/>
      <c r="C5" s="120"/>
      <c r="D5" s="120"/>
      <c r="E5" s="120"/>
      <c r="F5" s="120"/>
      <c r="G5" s="120"/>
      <c r="H5" s="120"/>
    </row>
  </sheetData>
  <sheetProtection password="B056" sheet="1" objects="1" scenarios="1"/>
  <mergeCells count="1">
    <mergeCell ref="A1:H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E17" sqref="E17"/>
    </sheetView>
  </sheetViews>
  <sheetFormatPr defaultRowHeight="15" x14ac:dyDescent="0.25"/>
  <cols>
    <col min="1" max="1" width="21.42578125" customWidth="1"/>
  </cols>
  <sheetData>
    <row r="1" spans="1:8" x14ac:dyDescent="0.25">
      <c r="A1" s="121" t="s">
        <v>109</v>
      </c>
      <c r="B1" s="109" t="s">
        <v>1</v>
      </c>
      <c r="C1" s="110"/>
      <c r="D1" s="110"/>
      <c r="E1" s="110"/>
      <c r="F1" s="110"/>
      <c r="G1" s="110"/>
      <c r="H1" s="110"/>
    </row>
    <row r="2" spans="1:8" x14ac:dyDescent="0.25">
      <c r="A2" s="121"/>
      <c r="B2" s="5" t="s">
        <v>2</v>
      </c>
      <c r="C2" s="5" t="s">
        <v>3</v>
      </c>
      <c r="D2" s="5" t="s">
        <v>41</v>
      </c>
      <c r="E2" s="5" t="s">
        <v>5</v>
      </c>
      <c r="F2" s="5" t="s">
        <v>6</v>
      </c>
      <c r="G2" s="5" t="s">
        <v>4</v>
      </c>
      <c r="H2" s="5" t="s">
        <v>172</v>
      </c>
    </row>
    <row r="3" spans="1:8" s="58" customFormat="1" x14ac:dyDescent="0.25">
      <c r="A3" s="3" t="s">
        <v>110</v>
      </c>
      <c r="B3" s="63">
        <f>'Emissão Transferências'!M18</f>
        <v>3.7760423545662282E-3</v>
      </c>
      <c r="C3" s="63">
        <f>'Emissão Transferências'!N18</f>
        <v>1.7859659785110539E-3</v>
      </c>
      <c r="D3" s="63">
        <f>'Emissão Transferências'!O18</f>
        <v>2.7044627674595951E-4</v>
      </c>
      <c r="E3" s="63" t="s">
        <v>61</v>
      </c>
      <c r="F3" s="63" t="s">
        <v>61</v>
      </c>
      <c r="G3" s="63" t="s">
        <v>61</v>
      </c>
      <c r="H3" s="63" t="s">
        <v>61</v>
      </c>
    </row>
    <row r="4" spans="1:8" s="58" customFormat="1" x14ac:dyDescent="0.25">
      <c r="A4" s="3" t="s">
        <v>63</v>
      </c>
      <c r="B4" s="63">
        <f>'Emissão Maq e Equip'!M6</f>
        <v>5.8599415675214565E-3</v>
      </c>
      <c r="C4" s="63">
        <f>'Emissão Maq e Equip'!N6</f>
        <v>5.8599415675214565E-3</v>
      </c>
      <c r="D4" s="63">
        <f>'Emissão Maq e Equip'!O6</f>
        <v>5.8599415675214565E-3</v>
      </c>
      <c r="E4" s="63">
        <f>'Emissão Maq e Equip'!P6</f>
        <v>6.5021683668488636E-2</v>
      </c>
      <c r="F4" s="63">
        <f>'Emissão Maq e Equip'!Q6</f>
        <v>5.224515277607418E-5</v>
      </c>
      <c r="G4" s="63">
        <f>'Emissão Maq e Equip'!R6</f>
        <v>3.3406987061825648E-2</v>
      </c>
      <c r="H4" s="63">
        <f>'Emissão Maq e Equip'!S6</f>
        <v>1.1189802411656765E-2</v>
      </c>
    </row>
    <row r="5" spans="1:8" s="58" customFormat="1" x14ac:dyDescent="0.25">
      <c r="A5" s="3" t="s">
        <v>111</v>
      </c>
      <c r="B5" s="63">
        <v>2.5259362489287673E-2</v>
      </c>
      <c r="C5" s="63">
        <v>1.2629681244643837E-2</v>
      </c>
      <c r="D5" s="63">
        <v>1.8944521866965753E-3</v>
      </c>
      <c r="E5" s="63" t="s">
        <v>61</v>
      </c>
      <c r="F5" s="63" t="s">
        <v>61</v>
      </c>
      <c r="G5" s="63" t="s">
        <v>61</v>
      </c>
      <c r="H5" s="63" t="s">
        <v>61</v>
      </c>
    </row>
    <row r="6" spans="1:8" s="58" customFormat="1" x14ac:dyDescent="0.25">
      <c r="A6" s="3" t="s">
        <v>166</v>
      </c>
      <c r="B6" s="63">
        <f>'Emissão Saída do Filtro '!H6</f>
        <v>0.11487989615447022</v>
      </c>
      <c r="C6" s="63">
        <f>'Emissão Saída do Filtro '!I6</f>
        <v>9.7647911731299691E-2</v>
      </c>
      <c r="D6" s="63">
        <f>'Emissão Saída do Filtro '!J6</f>
        <v>3.4463968846341064E-2</v>
      </c>
      <c r="E6" s="63" t="s">
        <v>61</v>
      </c>
      <c r="F6" s="63" t="s">
        <v>61</v>
      </c>
      <c r="G6" s="63" t="s">
        <v>61</v>
      </c>
      <c r="H6" s="63" t="s">
        <v>61</v>
      </c>
    </row>
    <row r="7" spans="1:8" x14ac:dyDescent="0.25">
      <c r="A7" s="44" t="s">
        <v>36</v>
      </c>
      <c r="B7" s="49">
        <f>SUM(B3:B6)</f>
        <v>0.14977524256584557</v>
      </c>
      <c r="C7" s="49">
        <f t="shared" ref="C7:H7" si="0">SUM(C3:C6)</f>
        <v>0.11792350052197603</v>
      </c>
      <c r="D7" s="49">
        <f t="shared" si="0"/>
        <v>4.2488808877305051E-2</v>
      </c>
      <c r="E7" s="49">
        <f t="shared" si="0"/>
        <v>6.5021683668488636E-2</v>
      </c>
      <c r="F7" s="49">
        <f t="shared" si="0"/>
        <v>5.224515277607418E-5</v>
      </c>
      <c r="G7" s="49">
        <f t="shared" si="0"/>
        <v>3.3406987061825648E-2</v>
      </c>
      <c r="H7" s="49">
        <f t="shared" si="0"/>
        <v>1.1189802411656765E-2</v>
      </c>
    </row>
    <row r="9" spans="1:8" x14ac:dyDescent="0.25">
      <c r="A9" s="2" t="s">
        <v>175</v>
      </c>
    </row>
  </sheetData>
  <sheetProtection password="B056" sheet="1" objects="1" scenarios="1"/>
  <mergeCells count="2">
    <mergeCell ref="A1:A2"/>
    <mergeCell ref="B1:H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23"/>
  <sheetViews>
    <sheetView workbookViewId="0">
      <selection activeCell="K6" sqref="K6"/>
    </sheetView>
  </sheetViews>
  <sheetFormatPr defaultRowHeight="15" x14ac:dyDescent="0.25"/>
  <cols>
    <col min="1" max="1" width="18.28515625" customWidth="1"/>
    <col min="5" max="5" width="25" bestFit="1"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122" t="s">
        <v>17</v>
      </c>
      <c r="B1" s="123"/>
      <c r="C1" s="123"/>
      <c r="D1" s="123"/>
      <c r="E1" s="124"/>
    </row>
    <row r="2" spans="1:10" x14ac:dyDescent="0.25">
      <c r="A2" s="77" t="s">
        <v>16</v>
      </c>
      <c r="B2" s="80"/>
      <c r="C2" s="81"/>
      <c r="D2" s="81"/>
      <c r="E2" s="82"/>
    </row>
    <row r="3" spans="1:10" x14ac:dyDescent="0.25">
      <c r="A3" s="78"/>
      <c r="B3" s="83"/>
      <c r="C3" s="84"/>
      <c r="D3" s="84"/>
      <c r="E3" s="85"/>
    </row>
    <row r="4" spans="1:10" x14ac:dyDescent="0.25">
      <c r="A4" s="78"/>
      <c r="B4" s="86"/>
      <c r="C4" s="87"/>
      <c r="D4" s="87"/>
      <c r="E4" s="88"/>
    </row>
    <row r="5" spans="1:10" ht="15" customHeight="1" x14ac:dyDescent="0.25">
      <c r="A5" s="78"/>
      <c r="B5" s="89" t="s">
        <v>34</v>
      </c>
      <c r="C5" s="90"/>
      <c r="D5" s="90"/>
      <c r="E5" s="91"/>
    </row>
    <row r="6" spans="1:10" x14ac:dyDescent="0.25">
      <c r="A6" s="78"/>
      <c r="B6" s="92"/>
      <c r="C6" s="93"/>
      <c r="D6" s="93"/>
      <c r="E6" s="94"/>
    </row>
    <row r="7" spans="1:10" x14ac:dyDescent="0.25">
      <c r="A7" s="78"/>
      <c r="B7" s="92"/>
      <c r="C7" s="93"/>
      <c r="D7" s="93"/>
      <c r="E7" s="94"/>
    </row>
    <row r="8" spans="1:10" x14ac:dyDescent="0.25">
      <c r="A8" s="78"/>
      <c r="B8" s="92"/>
      <c r="C8" s="93"/>
      <c r="D8" s="93"/>
      <c r="E8" s="94"/>
    </row>
    <row r="9" spans="1:10" x14ac:dyDescent="0.25">
      <c r="A9" s="79"/>
      <c r="B9" s="95"/>
      <c r="C9" s="96"/>
      <c r="D9" s="96"/>
      <c r="E9" s="97"/>
    </row>
    <row r="12" spans="1:10" x14ac:dyDescent="0.25">
      <c r="A12" s="126" t="s">
        <v>35</v>
      </c>
      <c r="B12" s="126"/>
      <c r="C12" s="1"/>
      <c r="D12" s="1"/>
      <c r="E12" s="9" t="s">
        <v>33</v>
      </c>
      <c r="F12" s="9" t="s">
        <v>28</v>
      </c>
      <c r="G12" s="9" t="s">
        <v>32</v>
      </c>
      <c r="H12" s="9" t="s">
        <v>31</v>
      </c>
      <c r="I12" s="9" t="s">
        <v>29</v>
      </c>
      <c r="J12" s="9" t="s">
        <v>30</v>
      </c>
    </row>
    <row r="13" spans="1:10" x14ac:dyDescent="0.25">
      <c r="A13" s="2" t="s">
        <v>18</v>
      </c>
      <c r="B13" s="12">
        <v>46.005499999999998</v>
      </c>
      <c r="C13" s="1"/>
      <c r="D13" s="1"/>
      <c r="E13" s="2" t="s">
        <v>12</v>
      </c>
      <c r="F13" s="11" t="e">
        <f>#REF!</f>
        <v>#REF!</v>
      </c>
      <c r="G13" s="6" t="e">
        <f>#REF!</f>
        <v>#REF!</v>
      </c>
      <c r="H13" s="6" t="e">
        <f>G13+273.15</f>
        <v>#REF!</v>
      </c>
      <c r="I13" s="125">
        <v>1</v>
      </c>
      <c r="J13" s="12" t="e">
        <f>F13*0.04087*$B$15*(($I$13/1)*(298.15/H13))</f>
        <v>#REF!</v>
      </c>
    </row>
    <row r="14" spans="1:10" x14ac:dyDescent="0.25">
      <c r="A14" s="2" t="s">
        <v>19</v>
      </c>
      <c r="B14" s="12">
        <v>30.01</v>
      </c>
      <c r="C14" s="1"/>
      <c r="D14" s="1"/>
      <c r="E14" s="2" t="s">
        <v>13</v>
      </c>
      <c r="F14" s="11" t="e">
        <f>#REF!</f>
        <v>#REF!</v>
      </c>
      <c r="G14" s="6" t="e">
        <f>#REF!</f>
        <v>#REF!</v>
      </c>
      <c r="H14" s="6" t="e">
        <f t="shared" ref="H14:H21" si="0">G14+273.15</f>
        <v>#REF!</v>
      </c>
      <c r="I14" s="125"/>
      <c r="J14" s="12" t="e">
        <f t="shared" ref="J14:J21" si="1">F14*0.04087*$B$15*(($I$13/1)*(298.15/H14))</f>
        <v>#REF!</v>
      </c>
    </row>
    <row r="15" spans="1:10" x14ac:dyDescent="0.25">
      <c r="A15" s="2" t="s">
        <v>4</v>
      </c>
      <c r="B15" s="12">
        <v>28.01</v>
      </c>
      <c r="C15" s="1"/>
      <c r="D15" s="1"/>
      <c r="E15" s="2" t="s">
        <v>9</v>
      </c>
      <c r="F15" s="11" t="e">
        <f>#REF!</f>
        <v>#REF!</v>
      </c>
      <c r="G15" s="6" t="e">
        <f>#REF!</f>
        <v>#REF!</v>
      </c>
      <c r="H15" s="6" t="e">
        <f t="shared" si="0"/>
        <v>#REF!</v>
      </c>
      <c r="I15" s="125"/>
      <c r="J15" s="12" t="e">
        <f t="shared" si="1"/>
        <v>#REF!</v>
      </c>
    </row>
    <row r="16" spans="1:10" x14ac:dyDescent="0.25">
      <c r="A16" s="2" t="s">
        <v>20</v>
      </c>
      <c r="B16" s="12">
        <v>48</v>
      </c>
      <c r="C16" s="1"/>
      <c r="D16" s="1"/>
      <c r="E16" s="2" t="s">
        <v>8</v>
      </c>
      <c r="F16" s="11" t="e">
        <f>#REF!</f>
        <v>#REF!</v>
      </c>
      <c r="G16" s="6" t="e">
        <f>#REF!</f>
        <v>#REF!</v>
      </c>
      <c r="H16" s="6" t="e">
        <f t="shared" si="0"/>
        <v>#REF!</v>
      </c>
      <c r="I16" s="125"/>
      <c r="J16" s="12" t="e">
        <f t="shared" si="1"/>
        <v>#REF!</v>
      </c>
    </row>
    <row r="17" spans="1:10" x14ac:dyDescent="0.25">
      <c r="A17" s="2" t="s">
        <v>21</v>
      </c>
      <c r="B17" s="12">
        <v>34.1</v>
      </c>
      <c r="C17" s="1"/>
      <c r="D17" s="1"/>
      <c r="E17" s="2" t="s">
        <v>10</v>
      </c>
      <c r="F17" s="11" t="e">
        <f>#REF!</f>
        <v>#REF!</v>
      </c>
      <c r="G17" s="6" t="e">
        <f>#REF!</f>
        <v>#REF!</v>
      </c>
      <c r="H17" s="6" t="e">
        <f t="shared" si="0"/>
        <v>#REF!</v>
      </c>
      <c r="I17" s="125"/>
      <c r="J17" s="12" t="e">
        <f t="shared" si="1"/>
        <v>#REF!</v>
      </c>
    </row>
    <row r="18" spans="1:10" x14ac:dyDescent="0.25">
      <c r="A18" s="2" t="s">
        <v>22</v>
      </c>
      <c r="B18" s="12">
        <v>64.066000000000003</v>
      </c>
      <c r="C18" s="1"/>
      <c r="D18" s="1"/>
      <c r="E18" s="2" t="s">
        <v>11</v>
      </c>
      <c r="F18" s="11" t="e">
        <f>#REF!</f>
        <v>#REF!</v>
      </c>
      <c r="G18" s="6" t="e">
        <f>#REF!</f>
        <v>#REF!</v>
      </c>
      <c r="H18" s="6" t="e">
        <f t="shared" si="0"/>
        <v>#REF!</v>
      </c>
      <c r="I18" s="125"/>
      <c r="J18" s="12" t="e">
        <f t="shared" si="1"/>
        <v>#REF!</v>
      </c>
    </row>
    <row r="19" spans="1:10" x14ac:dyDescent="0.25">
      <c r="A19" s="2" t="s">
        <v>23</v>
      </c>
      <c r="B19" s="12">
        <v>36.46</v>
      </c>
      <c r="C19" s="1"/>
      <c r="D19" s="1"/>
      <c r="E19" s="3" t="s">
        <v>7</v>
      </c>
      <c r="F19" s="11" t="e">
        <f>#REF!</f>
        <v>#REF!</v>
      </c>
      <c r="G19" s="6" t="e">
        <f>#REF!</f>
        <v>#REF!</v>
      </c>
      <c r="H19" s="6" t="e">
        <f t="shared" si="0"/>
        <v>#REF!</v>
      </c>
      <c r="I19" s="125"/>
      <c r="J19" s="12" t="e">
        <f t="shared" si="1"/>
        <v>#REF!</v>
      </c>
    </row>
    <row r="20" spans="1:10" x14ac:dyDescent="0.25">
      <c r="A20" s="2" t="s">
        <v>24</v>
      </c>
      <c r="B20" s="12">
        <v>20.0063</v>
      </c>
      <c r="C20" s="1"/>
      <c r="D20" s="1"/>
      <c r="E20" s="2" t="s">
        <v>14</v>
      </c>
      <c r="F20" s="11" t="e">
        <f>#REF!</f>
        <v>#REF!</v>
      </c>
      <c r="G20" s="6" t="e">
        <f>#REF!</f>
        <v>#REF!</v>
      </c>
      <c r="H20" s="6" t="e">
        <f t="shared" si="0"/>
        <v>#REF!</v>
      </c>
      <c r="I20" s="125"/>
      <c r="J20" s="12" t="e">
        <f t="shared" si="1"/>
        <v>#REF!</v>
      </c>
    </row>
    <row r="21" spans="1:10" x14ac:dyDescent="0.25">
      <c r="A21" s="2" t="s">
        <v>25</v>
      </c>
      <c r="B21" s="12">
        <v>44.1</v>
      </c>
      <c r="C21" s="1"/>
      <c r="D21" s="1"/>
      <c r="E21" s="2" t="s">
        <v>15</v>
      </c>
      <c r="F21" s="11" t="e">
        <f>#REF!</f>
        <v>#REF!</v>
      </c>
      <c r="G21" s="6" t="e">
        <f>#REF!</f>
        <v>#REF!</v>
      </c>
      <c r="H21" s="6" t="e">
        <f t="shared" si="0"/>
        <v>#REF!</v>
      </c>
      <c r="I21" s="125"/>
      <c r="J21" s="12" t="e">
        <f t="shared" si="1"/>
        <v>#REF!</v>
      </c>
    </row>
    <row r="22" spans="1:10" x14ac:dyDescent="0.25">
      <c r="A22" s="2" t="s">
        <v>26</v>
      </c>
      <c r="B22" s="12">
        <v>78.11</v>
      </c>
      <c r="C22" s="1"/>
      <c r="D22" s="1"/>
      <c r="E22" s="1"/>
      <c r="F22" s="1"/>
      <c r="G22" s="1"/>
      <c r="H22" s="1"/>
      <c r="I22" s="1"/>
    </row>
    <row r="23" spans="1:10" x14ac:dyDescent="0.25">
      <c r="A23" s="2" t="s">
        <v>27</v>
      </c>
      <c r="B23" s="12">
        <v>44.01</v>
      </c>
      <c r="C23" s="1"/>
      <c r="D23" s="1"/>
      <c r="E23" s="1"/>
      <c r="F23" s="1"/>
      <c r="G23" s="1"/>
      <c r="H23" s="1"/>
      <c r="I23" s="1"/>
    </row>
  </sheetData>
  <mergeCells count="6">
    <mergeCell ref="A1:E1"/>
    <mergeCell ref="I13:I21"/>
    <mergeCell ref="A2:A9"/>
    <mergeCell ref="B2:E4"/>
    <mergeCell ref="B5:E9"/>
    <mergeCell ref="A12:B12"/>
  </mergeCells>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vt:i4>
      </vt:variant>
    </vt:vector>
  </HeadingPairs>
  <TitlesOfParts>
    <vt:vector size="11" baseType="lpstr">
      <vt:lpstr>FE-Transferências</vt:lpstr>
      <vt:lpstr>FE-Maq e Equip</vt:lpstr>
      <vt:lpstr>Dados</vt:lpstr>
      <vt:lpstr>Emissão Saída do Filtro </vt:lpstr>
      <vt:lpstr>Emissão Maq e Equip</vt:lpstr>
      <vt:lpstr>Emissão Transferências</vt:lpstr>
      <vt:lpstr>Emissão Vias</vt:lpstr>
      <vt:lpstr>Resumo</vt:lpstr>
      <vt:lpstr>ppm to mg.m-3</vt:lpstr>
      <vt:lpstr>FE_Maq_Equip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Vanessa Brusco Filete</cp:lastModifiedBy>
  <dcterms:created xsi:type="dcterms:W3CDTF">2016-12-13T12:13:55Z</dcterms:created>
  <dcterms:modified xsi:type="dcterms:W3CDTF">2019-06-07T12:05:57Z</dcterms:modified>
</cp:coreProperties>
</file>