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Holcim\"/>
    </mc:Choice>
  </mc:AlternateContent>
  <bookViews>
    <workbookView xWindow="0" yWindow="0" windowWidth="24000" windowHeight="9135" tabRatio="844" firstSheet="2" activeTab="2"/>
  </bookViews>
  <sheets>
    <sheet name="Dados" sheetId="4" r:id="rId1"/>
    <sheet name="Monitoramento" sheetId="3" r:id="rId2"/>
    <sheet name="FE-Combustão" sheetId="2" r:id="rId3"/>
    <sheet name="FE-Maq e Equip" sheetId="6" r:id="rId4"/>
    <sheet name="FE-Transferências" sheetId="8" r:id="rId5"/>
    <sheet name="FE-Vias" sheetId="12" r:id="rId6"/>
    <sheet name="Emissão Chaminés" sheetId="1" r:id="rId7"/>
    <sheet name="Emissão Transferências" sheetId="7" r:id="rId8"/>
    <sheet name="Emissão Vias" sheetId="11" r:id="rId9"/>
    <sheet name="Emissão Maq e Equip" sheetId="5" r:id="rId10"/>
    <sheet name="Resumo" sheetId="10" r:id="rId11"/>
  </sheets>
  <externalReferences>
    <externalReference r:id="rId12"/>
  </externalReferences>
  <definedNames>
    <definedName name="FE_Equip">'FE-Maq e Equip'!$B$3:$I$10</definedName>
    <definedName name="Pot_Equip">'FE-Maq e Equip'!$B$3:$B$10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1" l="1"/>
  <c r="O4" i="11"/>
  <c r="O3" i="11"/>
  <c r="N3" i="11"/>
  <c r="E12" i="4" l="1"/>
  <c r="F4" i="11"/>
  <c r="F3" i="11"/>
  <c r="O5" i="5" l="1"/>
  <c r="N5" i="5"/>
  <c r="L5" i="5"/>
  <c r="I5" i="5"/>
  <c r="K5" i="5" s="1"/>
  <c r="H6" i="5"/>
  <c r="M6" i="5" s="1"/>
  <c r="H5" i="5"/>
  <c r="M5" i="5" s="1"/>
  <c r="I6" i="5" l="1"/>
  <c r="J6" i="5" s="1"/>
  <c r="N6" i="5"/>
  <c r="J5" i="5"/>
  <c r="O6" i="5"/>
  <c r="L6" i="5"/>
  <c r="K6" i="5"/>
  <c r="W4" i="11" l="1"/>
  <c r="X4" i="11"/>
  <c r="Y4" i="11"/>
  <c r="Z4" i="11"/>
  <c r="AA4" i="11"/>
  <c r="AB4" i="11"/>
  <c r="AB3" i="11"/>
  <c r="AA3" i="11"/>
  <c r="Z3" i="11"/>
  <c r="Y3" i="11"/>
  <c r="X3" i="11"/>
  <c r="W3" i="11"/>
  <c r="V4" i="11"/>
  <c r="V3" i="11"/>
  <c r="U4" i="11"/>
  <c r="U3" i="11"/>
  <c r="T4" i="11"/>
  <c r="T3" i="11"/>
  <c r="S4" i="11"/>
  <c r="S3" i="11"/>
  <c r="R4" i="11"/>
  <c r="R3" i="11"/>
  <c r="Q4" i="11"/>
  <c r="Q3" i="11"/>
  <c r="P4" i="11"/>
  <c r="P3" i="11"/>
  <c r="M4" i="11"/>
  <c r="G15" i="12" l="1"/>
  <c r="M3" i="11" s="1"/>
  <c r="J14" i="12"/>
  <c r="J13" i="12"/>
  <c r="J12" i="12"/>
  <c r="J11" i="12"/>
  <c r="J10" i="12"/>
  <c r="J9" i="12"/>
  <c r="J8" i="12"/>
  <c r="J7" i="12"/>
  <c r="J6" i="12"/>
  <c r="J5" i="12"/>
  <c r="J4" i="12"/>
  <c r="J3" i="12"/>
  <c r="E24" i="7" l="1"/>
  <c r="H24" i="7"/>
  <c r="I24" i="7"/>
  <c r="J24" i="7"/>
  <c r="D24" i="7"/>
  <c r="D23" i="7"/>
  <c r="H23" i="7"/>
  <c r="I23" i="7"/>
  <c r="E23" i="7"/>
  <c r="J23" i="7" s="1"/>
  <c r="H22" i="7"/>
  <c r="I22" i="7"/>
  <c r="E22" i="7"/>
  <c r="J22" i="7" s="1"/>
  <c r="D22" i="7"/>
  <c r="I19" i="7"/>
  <c r="H20" i="7"/>
  <c r="I20" i="7"/>
  <c r="H21" i="7"/>
  <c r="I21" i="7"/>
  <c r="J21" i="7"/>
  <c r="E21" i="7"/>
  <c r="E20" i="7"/>
  <c r="J20" i="7" s="1"/>
  <c r="E19" i="7"/>
  <c r="J19" i="7" s="1"/>
  <c r="E18" i="7"/>
  <c r="H18" i="7" s="1"/>
  <c r="D21" i="7"/>
  <c r="D20" i="7"/>
  <c r="D19" i="7"/>
  <c r="D18" i="7"/>
  <c r="D17" i="7"/>
  <c r="D16" i="7"/>
  <c r="D15" i="7"/>
  <c r="D14" i="7"/>
  <c r="I16" i="7"/>
  <c r="J16" i="7"/>
  <c r="E17" i="7"/>
  <c r="E16" i="7"/>
  <c r="H16" i="7" s="1"/>
  <c r="E15" i="7"/>
  <c r="H15" i="7" s="1"/>
  <c r="E14" i="7"/>
  <c r="H14" i="7" s="1"/>
  <c r="E13" i="7"/>
  <c r="D13" i="7"/>
  <c r="H12" i="7"/>
  <c r="I12" i="7"/>
  <c r="H13" i="7"/>
  <c r="I13" i="7"/>
  <c r="J13" i="7"/>
  <c r="J15" i="7"/>
  <c r="H17" i="7"/>
  <c r="I17" i="7"/>
  <c r="J17" i="7"/>
  <c r="D12" i="7"/>
  <c r="D11" i="7"/>
  <c r="D10" i="7"/>
  <c r="E12" i="7"/>
  <c r="J12" i="7" s="1"/>
  <c r="C12" i="4"/>
  <c r="D12" i="4"/>
  <c r="B12" i="4"/>
  <c r="E11" i="7"/>
  <c r="E10" i="7"/>
  <c r="E9" i="7"/>
  <c r="J9" i="7" s="1"/>
  <c r="E8" i="7"/>
  <c r="E7" i="7"/>
  <c r="E6" i="7"/>
  <c r="E5" i="7"/>
  <c r="E4" i="7"/>
  <c r="E3" i="7"/>
  <c r="I9" i="7"/>
  <c r="D8" i="7"/>
  <c r="D6" i="7"/>
  <c r="D5" i="7"/>
  <c r="M5" i="7" l="1"/>
  <c r="L5" i="7"/>
  <c r="K5" i="7"/>
  <c r="M21" i="7"/>
  <c r="K21" i="7"/>
  <c r="L21" i="7"/>
  <c r="K6" i="7"/>
  <c r="L6" i="7"/>
  <c r="M6" i="7"/>
  <c r="M13" i="7"/>
  <c r="K13" i="7"/>
  <c r="L13" i="7"/>
  <c r="M14" i="7"/>
  <c r="K14" i="7"/>
  <c r="L14" i="7"/>
  <c r="K11" i="7"/>
  <c r="L11" i="7"/>
  <c r="M11" i="7"/>
  <c r="K19" i="7"/>
  <c r="L19" i="7"/>
  <c r="M19" i="7"/>
  <c r="K23" i="7"/>
  <c r="L23" i="7"/>
  <c r="M23" i="7"/>
  <c r="M17" i="7"/>
  <c r="K17" i="7"/>
  <c r="L17" i="7"/>
  <c r="K10" i="7"/>
  <c r="L10" i="7"/>
  <c r="M10" i="7"/>
  <c r="K18" i="7"/>
  <c r="M18" i="7"/>
  <c r="L18" i="7"/>
  <c r="D9" i="7"/>
  <c r="L8" i="7"/>
  <c r="M8" i="7"/>
  <c r="K8" i="7"/>
  <c r="K15" i="7"/>
  <c r="L15" i="7"/>
  <c r="M15" i="7"/>
  <c r="L12" i="7"/>
  <c r="M12" i="7"/>
  <c r="K12" i="7"/>
  <c r="L16" i="7"/>
  <c r="M16" i="7"/>
  <c r="K16" i="7"/>
  <c r="L20" i="7"/>
  <c r="K20" i="7"/>
  <c r="M20" i="7"/>
  <c r="K22" i="7"/>
  <c r="M22" i="7"/>
  <c r="L22" i="7"/>
  <c r="L24" i="7"/>
  <c r="M24" i="7"/>
  <c r="K24" i="7"/>
  <c r="H9" i="7"/>
  <c r="H19" i="7"/>
  <c r="I15" i="7"/>
  <c r="J18" i="7"/>
  <c r="I18" i="7"/>
  <c r="J14" i="7"/>
  <c r="I14" i="7"/>
  <c r="H4" i="7"/>
  <c r="I4" i="7"/>
  <c r="J4" i="7"/>
  <c r="D4" i="7"/>
  <c r="D3" i="7"/>
  <c r="G3" i="11" l="1"/>
  <c r="G4" i="11"/>
  <c r="K3" i="7"/>
  <c r="L3" i="7"/>
  <c r="M3" i="7"/>
  <c r="L4" i="7"/>
  <c r="M4" i="7"/>
  <c r="K4" i="7"/>
  <c r="M9" i="7"/>
  <c r="L9" i="7"/>
  <c r="K9" i="7"/>
  <c r="B18" i="2"/>
  <c r="AF4" i="11" l="1"/>
  <c r="AI4" i="11"/>
  <c r="AE4" i="11"/>
  <c r="AD4" i="11"/>
  <c r="AH4" i="11"/>
  <c r="AC4" i="11"/>
  <c r="AG4" i="11"/>
  <c r="AC3" i="11"/>
  <c r="AE3" i="11"/>
  <c r="AH3" i="11"/>
  <c r="AH5" i="11" s="1"/>
  <c r="G6" i="10" s="1"/>
  <c r="AG3" i="11"/>
  <c r="AF3" i="11"/>
  <c r="AD3" i="11"/>
  <c r="AI3" i="11"/>
  <c r="AI5" i="11" s="1"/>
  <c r="H6" i="10" s="1"/>
  <c r="G4" i="5"/>
  <c r="I4" i="5" s="1"/>
  <c r="J4" i="5" s="1"/>
  <c r="G3" i="5"/>
  <c r="D7" i="7"/>
  <c r="C5" i="1"/>
  <c r="AE5" i="11" l="1"/>
  <c r="D6" i="10" s="1"/>
  <c r="AF5" i="11"/>
  <c r="E6" i="10" s="1"/>
  <c r="AC5" i="11"/>
  <c r="B6" i="10" s="1"/>
  <c r="N5" i="1"/>
  <c r="O5" i="1"/>
  <c r="M5" i="1"/>
  <c r="P5" i="1"/>
  <c r="AG5" i="11"/>
  <c r="F6" i="10" s="1"/>
  <c r="N4" i="5"/>
  <c r="O4" i="5"/>
  <c r="AD5" i="11"/>
  <c r="C6" i="10" s="1"/>
  <c r="K7" i="7"/>
  <c r="L7" i="7"/>
  <c r="M7" i="7"/>
  <c r="M4" i="5"/>
  <c r="L4" i="5"/>
  <c r="K4" i="5"/>
  <c r="M17" i="1" l="1"/>
  <c r="E5" i="10" s="1"/>
  <c r="N17" i="1"/>
  <c r="F5" i="10" s="1"/>
  <c r="O17" i="1"/>
  <c r="G5" i="10" s="1"/>
  <c r="P17" i="1"/>
  <c r="H5" i="10" s="1"/>
  <c r="G16" i="1"/>
  <c r="J16" i="1" s="1"/>
  <c r="G15" i="1"/>
  <c r="J15" i="1" s="1"/>
  <c r="G14" i="1"/>
  <c r="J14" i="1" s="1"/>
  <c r="G13" i="1"/>
  <c r="J13" i="1" s="1"/>
  <c r="G12" i="1"/>
  <c r="J12" i="1" s="1"/>
  <c r="G11" i="1"/>
  <c r="J11" i="1" s="1"/>
  <c r="J10" i="1"/>
  <c r="G9" i="1"/>
  <c r="J9" i="1" s="1"/>
  <c r="G8" i="1"/>
  <c r="J8" i="1" s="1"/>
  <c r="G7" i="1"/>
  <c r="J7" i="1" s="1"/>
  <c r="K10" i="1" l="1"/>
  <c r="L10" i="1"/>
  <c r="K13" i="1"/>
  <c r="L13" i="1"/>
  <c r="K7" i="1"/>
  <c r="L7" i="1"/>
  <c r="K11" i="1"/>
  <c r="L11" i="1"/>
  <c r="K14" i="1"/>
  <c r="L14" i="1"/>
  <c r="L8" i="1"/>
  <c r="K8" i="1"/>
  <c r="K15" i="1"/>
  <c r="L15" i="1"/>
  <c r="K9" i="1"/>
  <c r="L9" i="1"/>
  <c r="K12" i="1"/>
  <c r="L12" i="1"/>
  <c r="K16" i="1"/>
  <c r="L16" i="1"/>
  <c r="H7" i="7"/>
  <c r="I7" i="7"/>
  <c r="J7" i="7"/>
  <c r="H10" i="7" l="1"/>
  <c r="I10" i="7"/>
  <c r="J10" i="7"/>
  <c r="H11" i="7"/>
  <c r="I11" i="7"/>
  <c r="J11" i="7"/>
  <c r="H5" i="7" l="1"/>
  <c r="I5" i="7"/>
  <c r="J5" i="7"/>
  <c r="H6" i="7"/>
  <c r="I6" i="7"/>
  <c r="J6" i="7"/>
  <c r="H8" i="7"/>
  <c r="I8" i="7"/>
  <c r="J8" i="7"/>
  <c r="J3" i="7"/>
  <c r="I3" i="7"/>
  <c r="H3" i="7"/>
  <c r="M25" i="7" l="1"/>
  <c r="D3" i="10" s="1"/>
  <c r="L25" i="7"/>
  <c r="C3" i="10" s="1"/>
  <c r="K25" i="7" l="1"/>
  <c r="B3" i="10" s="1"/>
  <c r="I36" i="3" l="1"/>
  <c r="J36" i="3"/>
  <c r="H36" i="3"/>
  <c r="K36" i="3" s="1"/>
  <c r="K33" i="3"/>
  <c r="K34" i="3"/>
  <c r="K35" i="3"/>
  <c r="K32" i="3"/>
  <c r="I28" i="3"/>
  <c r="K28" i="3" s="1"/>
  <c r="J28" i="3"/>
  <c r="H28" i="3"/>
  <c r="I27" i="3"/>
  <c r="J27" i="3"/>
  <c r="H27" i="3"/>
  <c r="K23" i="3"/>
  <c r="K24" i="3"/>
  <c r="K25" i="3"/>
  <c r="K26" i="3"/>
  <c r="K22" i="3"/>
  <c r="I18" i="3"/>
  <c r="J18" i="3"/>
  <c r="H18" i="3"/>
  <c r="K17" i="3"/>
  <c r="K16" i="3"/>
  <c r="K15" i="3"/>
  <c r="K14" i="3"/>
  <c r="I10" i="3"/>
  <c r="J10" i="3"/>
  <c r="H10" i="3"/>
  <c r="K8" i="3"/>
  <c r="K9" i="3"/>
  <c r="K7" i="3"/>
  <c r="K6" i="3"/>
  <c r="C36" i="3"/>
  <c r="D36" i="3"/>
  <c r="B36" i="3"/>
  <c r="E33" i="3"/>
  <c r="E34" i="3"/>
  <c r="E35" i="3"/>
  <c r="J6" i="1" s="1"/>
  <c r="E32" i="3"/>
  <c r="H6" i="1" s="1"/>
  <c r="C28" i="3"/>
  <c r="D28" i="3"/>
  <c r="B28" i="3"/>
  <c r="C27" i="3"/>
  <c r="D27" i="3"/>
  <c r="B27" i="3"/>
  <c r="E25" i="3"/>
  <c r="E26" i="3"/>
  <c r="E24" i="3"/>
  <c r="E23" i="3"/>
  <c r="E22" i="3"/>
  <c r="C18" i="3"/>
  <c r="D18" i="3"/>
  <c r="B18" i="3"/>
  <c r="E15" i="3"/>
  <c r="E16" i="3"/>
  <c r="E17" i="3"/>
  <c r="E14" i="3"/>
  <c r="C10" i="3"/>
  <c r="D10" i="3"/>
  <c r="B10" i="3"/>
  <c r="E9" i="3"/>
  <c r="E7" i="3"/>
  <c r="E8" i="3"/>
  <c r="E6" i="3"/>
  <c r="P14" i="3"/>
  <c r="Q13" i="3"/>
  <c r="Q12" i="3"/>
  <c r="O14" i="3"/>
  <c r="N14" i="3"/>
  <c r="O18" i="3"/>
  <c r="P18" i="3"/>
  <c r="N18" i="3"/>
  <c r="Q17" i="3"/>
  <c r="Q16" i="3"/>
  <c r="Q15" i="3"/>
  <c r="O6" i="3"/>
  <c r="P6" i="3"/>
  <c r="N6" i="3"/>
  <c r="Q5" i="3"/>
  <c r="O10" i="3"/>
  <c r="P10" i="3"/>
  <c r="N10" i="3"/>
  <c r="Q7" i="3"/>
  <c r="Q4" i="3"/>
  <c r="Q8" i="3"/>
  <c r="Q9" i="3"/>
  <c r="O28" i="3"/>
  <c r="P28" i="3"/>
  <c r="N28" i="3"/>
  <c r="O27" i="3"/>
  <c r="P27" i="3"/>
  <c r="Q26" i="3"/>
  <c r="O22" i="3"/>
  <c r="P22" i="3"/>
  <c r="N22" i="3"/>
  <c r="Q21" i="3"/>
  <c r="Q20" i="3"/>
  <c r="U22" i="3"/>
  <c r="V22" i="3"/>
  <c r="W21" i="3"/>
  <c r="T22" i="3"/>
  <c r="U14" i="3"/>
  <c r="V14" i="3"/>
  <c r="T14" i="3"/>
  <c r="W13" i="3"/>
  <c r="U6" i="3"/>
  <c r="V6" i="3"/>
  <c r="T6" i="3"/>
  <c r="W5" i="3"/>
  <c r="U28" i="3"/>
  <c r="V28" i="3"/>
  <c r="T28" i="3"/>
  <c r="W26" i="3"/>
  <c r="W25" i="3"/>
  <c r="L6" i="1" l="1"/>
  <c r="K6" i="1"/>
  <c r="E18" i="3"/>
  <c r="K18" i="3"/>
  <c r="E10" i="3"/>
  <c r="E27" i="3"/>
  <c r="G6" i="1"/>
  <c r="Q10" i="3"/>
  <c r="K10" i="3"/>
  <c r="E36" i="3"/>
  <c r="K27" i="3"/>
  <c r="Q6" i="3"/>
  <c r="Q22" i="3"/>
  <c r="Q18" i="3"/>
  <c r="E28" i="3"/>
  <c r="Q14" i="3"/>
  <c r="N27" i="3"/>
  <c r="Q23" i="3"/>
  <c r="Q24" i="3"/>
  <c r="J5" i="1" s="1"/>
  <c r="Q25" i="3"/>
  <c r="V27" i="3"/>
  <c r="U27" i="3"/>
  <c r="T27" i="3"/>
  <c r="W24" i="3"/>
  <c r="W23" i="3"/>
  <c r="W20" i="3"/>
  <c r="W22" i="3" s="1"/>
  <c r="V18" i="3"/>
  <c r="U18" i="3"/>
  <c r="T18" i="3"/>
  <c r="W17" i="3"/>
  <c r="J4" i="1" s="1"/>
  <c r="W16" i="3"/>
  <c r="W15" i="3"/>
  <c r="G4" i="1" s="1"/>
  <c r="W12" i="3"/>
  <c r="W14" i="3" s="1"/>
  <c r="V10" i="3"/>
  <c r="U10" i="3"/>
  <c r="T10" i="3"/>
  <c r="W9" i="3"/>
  <c r="W8" i="3"/>
  <c r="J3" i="1" s="1"/>
  <c r="W7" i="3"/>
  <c r="G3" i="1" s="1"/>
  <c r="W4" i="3"/>
  <c r="W6" i="3" s="1"/>
  <c r="L3" i="1" l="1"/>
  <c r="K3" i="1"/>
  <c r="K4" i="1"/>
  <c r="L4" i="1"/>
  <c r="G5" i="1"/>
  <c r="J17" i="1"/>
  <c r="B5" i="10" s="1"/>
  <c r="H5" i="1"/>
  <c r="H4" i="1"/>
  <c r="H3" i="1"/>
  <c r="Q27" i="3"/>
  <c r="Q28" i="3"/>
  <c r="W10" i="3"/>
  <c r="W28" i="3"/>
  <c r="W27" i="3"/>
  <c r="W18" i="3"/>
  <c r="I3" i="5" l="1"/>
  <c r="I7" i="5" l="1"/>
  <c r="B4" i="10" s="1"/>
  <c r="L3" i="5"/>
  <c r="O3" i="5"/>
  <c r="J3" i="5"/>
  <c r="N3" i="5"/>
  <c r="M3" i="5"/>
  <c r="M7" i="5" l="1"/>
  <c r="F4" i="10" s="1"/>
  <c r="F8" i="10" s="1"/>
  <c r="N7" i="5"/>
  <c r="G4" i="10" s="1"/>
  <c r="G8" i="10" s="1"/>
  <c r="J7" i="5"/>
  <c r="C4" i="10" s="1"/>
  <c r="L7" i="5"/>
  <c r="E4" i="10" s="1"/>
  <c r="E8" i="10" s="1"/>
  <c r="O7" i="5"/>
  <c r="H4" i="10" s="1"/>
  <c r="H8" i="10" s="1"/>
  <c r="K3" i="5"/>
  <c r="K7" i="5" l="1"/>
  <c r="D4" i="10" s="1"/>
  <c r="L5" i="1"/>
  <c r="L17" i="1" s="1"/>
  <c r="K5" i="1"/>
  <c r="K17" i="1" s="1"/>
  <c r="C5" i="10" l="1"/>
  <c r="D5" i="10"/>
  <c r="B7" i="10" l="1"/>
  <c r="B8" i="10" s="1"/>
  <c r="D7" i="10" l="1"/>
  <c r="D8" i="10" s="1"/>
  <c r="C7" i="10"/>
  <c r="C8" i="10" s="1"/>
</calcChain>
</file>

<file path=xl/comments1.xml><?xml version="1.0" encoding="utf-8"?>
<comments xmlns="http://schemas.openxmlformats.org/spreadsheetml/2006/main">
  <authors>
    <author>Alinie Rossi dos Santos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>Informado em visita técnica que a operação ocorre de terça a sábado</t>
        </r>
      </text>
    </comment>
    <comment ref="B3" authorId="0" shapeId="0">
      <text>
        <r>
          <rPr>
            <sz val="9"/>
            <color indexed="81"/>
            <rFont val="Segoe UI"/>
            <family val="2"/>
          </rPr>
          <t xml:space="preserve">O PCA, enviado pelo empreendimento, de 08/2008 contem os seguintes dias e horários de funcionamento, para o setor produtivo:
Segunda à sexta:
6:00h às 15:48h.
7:30h às 17:18h.
8:12h às 18:00h
22:00h às 07:48h.
</t>
        </r>
      </text>
    </comment>
  </commentList>
</comments>
</file>

<file path=xl/comments2.xml><?xml version="1.0" encoding="utf-8"?>
<comments xmlns="http://schemas.openxmlformats.org/spreadsheetml/2006/main">
  <authors>
    <author>Alinie Rossi dos Santos</author>
  </authors>
  <commentList>
    <comment ref="S11" authorId="0" shapeId="0">
      <text>
        <r>
          <rPr>
            <sz val="9"/>
            <color indexed="81"/>
            <rFont val="Segoe UI"/>
            <family val="2"/>
          </rPr>
          <t xml:space="preserve">Diâmetro = 0,6m
</t>
        </r>
      </text>
    </comment>
    <comment ref="A25" authorId="0" shapeId="0">
      <text>
        <r>
          <rPr>
            <sz val="8"/>
            <color indexed="81"/>
            <rFont val="Segoe UI"/>
            <family val="2"/>
          </rPr>
          <t>Valores Corrigidos a 18% de oxigênio conforme resolução CONAMA 436/2011</t>
        </r>
        <r>
          <rPr>
            <sz val="9"/>
            <color indexed="81"/>
            <rFont val="Segoe UI"/>
            <family val="2"/>
          </rPr>
          <t xml:space="preserve">)
</t>
        </r>
      </text>
    </comment>
    <comment ref="G25" authorId="0" shapeId="0">
      <text>
        <r>
          <rPr>
            <sz val="8"/>
            <color indexed="81"/>
            <rFont val="Segoe UI"/>
            <family val="2"/>
          </rPr>
          <t>Valores Corrigidos a 18% de oxigênio conforme resolução CONAMA 436/2011</t>
        </r>
        <r>
          <rPr>
            <sz val="9"/>
            <color indexed="81"/>
            <rFont val="Segoe UI"/>
            <family val="2"/>
          </rPr>
          <t xml:space="preserve">)
</t>
        </r>
      </text>
    </comment>
    <comment ref="M25" authorId="0" shapeId="0">
      <text>
        <r>
          <rPr>
            <sz val="8"/>
            <color indexed="81"/>
            <rFont val="Segoe UI"/>
            <family val="2"/>
          </rPr>
          <t>Valores Corrigidos a 18% de oxigênio conforme resolução CONAMA 436/2011</t>
        </r>
        <r>
          <rPr>
            <sz val="9"/>
            <color indexed="81"/>
            <rFont val="Segoe UI"/>
            <family val="2"/>
          </rPr>
          <t xml:space="preserve">)
</t>
        </r>
      </text>
    </comment>
    <comment ref="S25" authorId="0" shapeId="0">
      <text>
        <r>
          <rPr>
            <sz val="8"/>
            <color indexed="81"/>
            <rFont val="Segoe UI"/>
            <family val="2"/>
          </rPr>
          <t>Valores Corrigidos a 18% de oxigênio conforme resolução CONAMA 436/2011</t>
        </r>
        <r>
          <rPr>
            <sz val="9"/>
            <color indexed="81"/>
            <rFont val="Segoe UI"/>
            <family val="2"/>
          </rPr>
          <t xml:space="preserve">)
</t>
        </r>
      </text>
    </comment>
    <comment ref="A27" authorId="0" shapeId="0">
      <text>
        <r>
          <rPr>
            <sz val="9"/>
            <color indexed="81"/>
            <rFont val="Segoe UI"/>
            <family val="2"/>
          </rPr>
          <t xml:space="preserve">Valores Corrigidos a 18% de oxigênio conforme resolução CONAMA 436/2011)
</t>
        </r>
      </text>
    </comment>
    <comment ref="G27" authorId="0" shapeId="0">
      <text>
        <r>
          <rPr>
            <sz val="9"/>
            <color indexed="81"/>
            <rFont val="Segoe UI"/>
            <family val="2"/>
          </rPr>
          <t xml:space="preserve">Valores Corrigidos a 18% de oxigênio conforme resolução CONAMA 436/2011)
</t>
        </r>
      </text>
    </comment>
    <comment ref="M27" authorId="0" shapeId="0">
      <text>
        <r>
          <rPr>
            <sz val="9"/>
            <color indexed="81"/>
            <rFont val="Segoe UI"/>
            <family val="2"/>
          </rPr>
          <t xml:space="preserve">Valores Corrigidos a 18% de oxigênio conforme resolução CONAMA 436/2011)
</t>
        </r>
      </text>
    </comment>
    <comment ref="S27" authorId="0" shapeId="0">
      <text>
        <r>
          <rPr>
            <sz val="9"/>
            <color indexed="81"/>
            <rFont val="Segoe UI"/>
            <family val="2"/>
          </rPr>
          <t>Valores Corrigidos a 18% de oxigênio conforme resolução CONAMA 436/2011)</t>
        </r>
      </text>
    </comment>
  </commentList>
</comments>
</file>

<file path=xl/comments3.xml><?xml version="1.0" encoding="utf-8"?>
<comments xmlns="http://schemas.openxmlformats.org/spreadsheetml/2006/main">
  <authors>
    <author>Alinie Rossi dos Santos</author>
  </authors>
  <commentList>
    <comment ref="B9" authorId="0" shapeId="0">
      <text>
        <r>
          <rPr>
            <sz val="9"/>
            <color indexed="81"/>
            <rFont val="Segoe UI"/>
            <family val="2"/>
          </rPr>
          <t>S equals the sulfur content expressed in gr/100 ft³ gas vapor</t>
        </r>
      </text>
    </comment>
    <comment ref="C9" authorId="0" shapeId="0">
      <text>
        <r>
          <rPr>
            <sz val="9"/>
            <color indexed="81"/>
            <rFont val="Segoe UI"/>
            <family val="2"/>
          </rPr>
          <t xml:space="preserve">S equals the sulfur content expressed in gr/100 ft³ gas vapor
</t>
        </r>
      </text>
    </comment>
    <comment ref="B17" authorId="0" shapeId="0">
      <text>
        <r>
          <rPr>
            <sz val="9"/>
            <color indexed="81"/>
            <rFont val="Segoe UI"/>
            <family val="2"/>
          </rPr>
          <t xml:space="preserve">Fonte: Liquigás (2018)
https://www.liquigas.com.br/wps/portal/!ut/p/z1/hY5BC4JAFIR_SweP7XutENVNspKKKA9p7yIa2yrorqxbUr--hY4Vzm1mvoEBghRI5Y9K5rbSKq-dv9A02x2Q82jDEcM1Rx7Hx_kpCifLlQ9nIKDOQjIEkqvxjwJ0expCtkCy1sXnVaAKfyaBjLgJIwy7GxeX1rbdwkMP-75nUmtZC3bVDSuMh79WpXbX0y8Y2kY9x-q1F0kwegNlmKM_/dz/d5/L2dBISEvZ0FBIS9nQSEh/
</t>
        </r>
      </text>
    </comment>
    <comment ref="B18" authorId="0" shapeId="0">
      <text>
        <r>
          <rPr>
            <sz val="9"/>
            <color indexed="81"/>
            <rFont val="Segoe UI"/>
            <family val="2"/>
          </rPr>
          <t>1 lb/10³ gal = 0,120 kg/m³</t>
        </r>
      </text>
    </comment>
    <comment ref="B19" authorId="0" shapeId="0">
      <text>
        <r>
          <rPr>
            <sz val="9"/>
            <color indexed="81"/>
            <rFont val="Segoe UI"/>
            <family val="2"/>
          </rPr>
          <t>1 g/m³=0,437 gr/ft³</t>
        </r>
      </text>
    </comment>
  </commentList>
</comments>
</file>

<file path=xl/comments4.xml><?xml version="1.0" encoding="utf-8"?>
<comments xmlns="http://schemas.openxmlformats.org/spreadsheetml/2006/main">
  <authors>
    <author>Alinie Rossi dos Santos</author>
    <author>Andrielly Moutinho Knupp</author>
    <author>Autor</author>
  </authors>
  <commentList>
    <comment ref="F1" authorId="0" shapeId="0">
      <text>
        <r>
          <rPr>
            <sz val="9"/>
            <color indexed="81"/>
            <rFont val="Segoe UI"/>
            <family val="2"/>
          </rPr>
          <t>Fonte: Estação INMET 
ES_A612_Vitoria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B10" authorId="1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21" authorId="2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21" authorId="2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21" authorId="2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5.xml><?xml version="1.0" encoding="utf-8"?>
<comments xmlns="http://schemas.openxmlformats.org/spreadsheetml/2006/main">
  <authors>
    <author>Alinie Rossi dos Santos</author>
  </authors>
  <commentList>
    <comment ref="K2" authorId="0" shapeId="0">
      <text>
        <r>
          <rPr>
            <sz val="9"/>
            <color indexed="81"/>
            <rFont val="Segoe UI"/>
            <family val="2"/>
          </rPr>
          <t xml:space="preserve">Relação PM10/PM baseada em:
USEPA (1996) - Appendix B.2 Generalized Particle Size Distributions </t>
        </r>
      </text>
    </comment>
    <comment ref="L2" authorId="0" shapeId="0">
      <text>
        <r>
          <rPr>
            <sz val="9"/>
            <color indexed="81"/>
            <rFont val="Segoe UI"/>
            <family val="2"/>
          </rPr>
          <t>Relação PM2.5/PM baseada em:
USEPA (1996) - Appendix B.2 Generalized Particle Size Distributions</t>
        </r>
      </text>
    </comment>
    <comment ref="J3" authorId="0" shapeId="0">
      <text>
        <r>
          <rPr>
            <sz val="9"/>
            <color indexed="81"/>
            <rFont val="Segoe UI"/>
            <family val="2"/>
          </rPr>
          <t>Média dos dados de monitoramento</t>
        </r>
      </text>
    </comment>
    <comment ref="J4" authorId="0" shapeId="0">
      <text>
        <r>
          <rPr>
            <sz val="9"/>
            <color indexed="81"/>
            <rFont val="Segoe UI"/>
            <family val="2"/>
          </rPr>
          <t>Média dos dados de monitoramento</t>
        </r>
      </text>
    </comment>
    <comment ref="J5" authorId="0" shapeId="0">
      <text>
        <r>
          <rPr>
            <sz val="9"/>
            <color indexed="81"/>
            <rFont val="Segoe UI"/>
            <family val="2"/>
          </rPr>
          <t>Média dos dados de monitoramento</t>
        </r>
      </text>
    </comment>
    <comment ref="K5" authorId="0" shapeId="0">
      <text>
        <r>
          <rPr>
            <sz val="9"/>
            <color indexed="81"/>
            <rFont val="Segoe UI"/>
            <family val="2"/>
          </rPr>
          <t>Table 1.5-1 do AP-42. For natural gas, a fuel with similar combustion characteristics, all PM is less than 10 µm in aerodynamic equivalent diameter (PM-10).</t>
        </r>
      </text>
    </comment>
    <comment ref="L5" authorId="0" shapeId="0">
      <text>
        <r>
          <rPr>
            <sz val="9"/>
            <color indexed="81"/>
            <rFont val="Segoe UI"/>
            <family val="2"/>
          </rPr>
          <t>Foi considerado que PM2.5=PM10, da mesma forma que é estabelecido para  gás natural (Table 1.4-2), visto que o GLP apresenta características de combustão similares ao gás natural.</t>
        </r>
      </text>
    </comment>
    <comment ref="J6" authorId="0" shapeId="0">
      <text>
        <r>
          <rPr>
            <sz val="9"/>
            <color indexed="81"/>
            <rFont val="Segoe UI"/>
            <family val="2"/>
          </rPr>
          <t>Média dos dados de monitoramento</t>
        </r>
      </text>
    </comment>
    <comment ref="G7" authorId="0" shapeId="0">
      <text>
        <r>
          <rPr>
            <sz val="9"/>
            <color indexed="81"/>
            <rFont val="Segoe UI"/>
            <family val="2"/>
          </rPr>
          <t>Considerada a capacidade nominal do filtro.</t>
        </r>
      </text>
    </comment>
    <comment ref="H7" authorId="0" shapeId="0">
      <text>
        <r>
          <rPr>
            <sz val="9"/>
            <color indexed="81"/>
            <rFont val="Segoe UI"/>
            <family val="2"/>
          </rPr>
          <t xml:space="preserve">Informada a temperatura máxima, conforme enviado pelo empreendimento.
</t>
        </r>
      </text>
    </comment>
    <comment ref="G8" authorId="0" shapeId="0">
      <text>
        <r>
          <rPr>
            <sz val="9"/>
            <color indexed="81"/>
            <rFont val="Segoe UI"/>
            <family val="2"/>
          </rPr>
          <t>Considerada a capacidade nominal do filtro.</t>
        </r>
      </text>
    </comment>
    <comment ref="H8" authorId="0" shapeId="0">
      <text>
        <r>
          <rPr>
            <sz val="9"/>
            <color indexed="81"/>
            <rFont val="Segoe UI"/>
            <family val="2"/>
          </rPr>
          <t xml:space="preserve">Informada a temperatura máxima, conforme enviado pelo empreendimento.
</t>
        </r>
      </text>
    </comment>
    <comment ref="G9" authorId="0" shapeId="0">
      <text>
        <r>
          <rPr>
            <sz val="9"/>
            <color indexed="81"/>
            <rFont val="Segoe UI"/>
            <family val="2"/>
          </rPr>
          <t>Considerada a capacidade nominal do filtro.</t>
        </r>
      </text>
    </comment>
    <comment ref="H9" authorId="0" shapeId="0">
      <text>
        <r>
          <rPr>
            <sz val="9"/>
            <color indexed="81"/>
            <rFont val="Segoe UI"/>
            <family val="2"/>
          </rPr>
          <t xml:space="preserve">Informada a temperatura máxima, conforme enviado pelo empreendimento.
</t>
        </r>
      </text>
    </comment>
    <comment ref="G10" authorId="0" shapeId="0">
      <text>
        <r>
          <rPr>
            <sz val="9"/>
            <color indexed="81"/>
            <rFont val="Segoe UI"/>
            <family val="2"/>
          </rPr>
          <t>Considerada a capacidade nominal do filtro.</t>
        </r>
      </text>
    </comment>
    <comment ref="H10" authorId="0" shapeId="0">
      <text>
        <r>
          <rPr>
            <sz val="9"/>
            <color indexed="81"/>
            <rFont val="Segoe UI"/>
            <family val="2"/>
          </rPr>
          <t xml:space="preserve">Não informado pelo empreedimento
</t>
        </r>
      </text>
    </comment>
    <comment ref="G11" authorId="0" shapeId="0">
      <text>
        <r>
          <rPr>
            <sz val="9"/>
            <color indexed="81"/>
            <rFont val="Segoe UI"/>
            <family val="2"/>
          </rPr>
          <t>Considerada a capacidade nominal do filtro.</t>
        </r>
      </text>
    </comment>
    <comment ref="H11" authorId="0" shapeId="0">
      <text>
        <r>
          <rPr>
            <sz val="9"/>
            <color indexed="81"/>
            <rFont val="Segoe UI"/>
            <family val="2"/>
          </rPr>
          <t xml:space="preserve">Informada a temperatura máxima, conforme enviado pelo empreendimento.
</t>
        </r>
      </text>
    </comment>
    <comment ref="G12" authorId="0" shapeId="0">
      <text>
        <r>
          <rPr>
            <sz val="9"/>
            <color indexed="81"/>
            <rFont val="Segoe UI"/>
            <family val="2"/>
          </rPr>
          <t>Considerada a capacidade nominal do filtro.</t>
        </r>
      </text>
    </comment>
    <comment ref="H12" authorId="0" shapeId="0">
      <text>
        <r>
          <rPr>
            <sz val="9"/>
            <color indexed="81"/>
            <rFont val="Segoe UI"/>
            <family val="2"/>
          </rPr>
          <t xml:space="preserve">Informada a temperatura máxima, conforme enviado pelo empreendimento.
</t>
        </r>
      </text>
    </comment>
    <comment ref="G13" authorId="0" shapeId="0">
      <text>
        <r>
          <rPr>
            <sz val="9"/>
            <color indexed="81"/>
            <rFont val="Segoe UI"/>
            <family val="2"/>
          </rPr>
          <t>Considerada a capacidade nominal do filtro.</t>
        </r>
      </text>
    </comment>
    <comment ref="H13" authorId="0" shapeId="0">
      <text>
        <r>
          <rPr>
            <sz val="9"/>
            <color indexed="81"/>
            <rFont val="Segoe UI"/>
            <family val="2"/>
          </rPr>
          <t xml:space="preserve">Informada a temperatura máxima, conforme enviado pelo empreendimento.
</t>
        </r>
      </text>
    </comment>
    <comment ref="G14" authorId="0" shapeId="0">
      <text>
        <r>
          <rPr>
            <sz val="9"/>
            <color indexed="81"/>
            <rFont val="Segoe UI"/>
            <family val="2"/>
          </rPr>
          <t>Considerada a capacidade nominal do filtro.</t>
        </r>
      </text>
    </comment>
    <comment ref="H14" authorId="0" shapeId="0">
      <text>
        <r>
          <rPr>
            <sz val="9"/>
            <color indexed="81"/>
            <rFont val="Segoe UI"/>
            <family val="2"/>
          </rPr>
          <t xml:space="preserve">Informada a temperatura máxima, conforme enviado pelo empreendimento.
</t>
        </r>
      </text>
    </comment>
    <comment ref="G15" authorId="0" shapeId="0">
      <text>
        <r>
          <rPr>
            <sz val="9"/>
            <color indexed="81"/>
            <rFont val="Segoe UI"/>
            <family val="2"/>
          </rPr>
          <t>Considerada a capacidade nominal do filtro.</t>
        </r>
      </text>
    </comment>
    <comment ref="H15" authorId="0" shapeId="0">
      <text>
        <r>
          <rPr>
            <sz val="9"/>
            <color indexed="81"/>
            <rFont val="Segoe UI"/>
            <family val="2"/>
          </rPr>
          <t xml:space="preserve">Informada a temperatura máxima, conforme enviado pelo empreendimento.
</t>
        </r>
      </text>
    </comment>
    <comment ref="G16" authorId="0" shapeId="0">
      <text>
        <r>
          <rPr>
            <sz val="9"/>
            <color indexed="81"/>
            <rFont val="Segoe UI"/>
            <family val="2"/>
          </rPr>
          <t>Considerada a capacidade nominal do filtro.</t>
        </r>
      </text>
    </comment>
    <comment ref="H16" authorId="0" shapeId="0">
      <text>
        <r>
          <rPr>
            <sz val="9"/>
            <color indexed="81"/>
            <rFont val="Segoe UI"/>
            <family val="2"/>
          </rPr>
          <t xml:space="preserve">Informada a temperatura máxima, conforme enviado pelo empreendimento.
</t>
        </r>
      </text>
    </comment>
    <comment ref="A19" authorId="0" shapeId="0">
      <text>
        <r>
          <rPr>
            <sz val="9"/>
            <color indexed="81"/>
            <rFont val="Segoe UI"/>
            <family val="2"/>
          </rPr>
          <t>Para as chaminés que não possuem monitoramento, foi considerado uma concentração dos filtros de mangas de 50 mg/m³, visto que a concentração típica corresponde a um valor &lt; 50 mg/m³.</t>
        </r>
      </text>
    </comment>
  </commentList>
</comments>
</file>

<file path=xl/comments6.xml><?xml version="1.0" encoding="utf-8"?>
<comments xmlns="http://schemas.openxmlformats.org/spreadsheetml/2006/main">
  <authors>
    <author>Alinie Rossi dos Santos</author>
  </authors>
  <commentList>
    <comment ref="G2" authorId="0" shapeId="0">
      <text>
        <r>
          <rPr>
            <sz val="9"/>
            <color indexed="81"/>
            <rFont val="Segoe UI"/>
            <family val="2"/>
          </rPr>
          <t>Referências:
Filtro de Mangas - USEPA, Air Pollution Control Technology Fact Sheet. 
https://www3.epa.gov/ttn/catc/cica/files/ff-pulse.pdf
Enclausuramento - WRAP Fugitive Dust Handbook
https://www.wrapair.org/forums/dejf/fdh/content/FDHandbook_Rev_06.pdf</t>
        </r>
      </text>
    </comment>
    <comment ref="D23" authorId="0" shapeId="0">
      <text>
        <r>
          <rPr>
            <sz val="9"/>
            <color indexed="81"/>
            <rFont val="Segoe UI"/>
            <family val="2"/>
          </rPr>
          <t>Como não foi informado o percentual de material que é ensacado e comercializado a granel, foi considerado 50% para cada tipo.</t>
        </r>
      </text>
    </comment>
    <comment ref="D24" authorId="0" shapeId="0">
      <text>
        <r>
          <rPr>
            <sz val="9"/>
            <color indexed="81"/>
            <rFont val="Segoe UI"/>
            <family val="2"/>
          </rPr>
          <t xml:space="preserve">Como não foi informado o percentual de material que é ensacado e comercializado a granel, foi considerado 50% para cada tipo.
</t>
        </r>
      </text>
    </comment>
    <comment ref="A27" authorId="0" shapeId="0">
      <text>
        <r>
          <rPr>
            <sz val="9"/>
            <color indexed="81"/>
            <rFont val="Segoe UI"/>
            <family val="2"/>
          </rPr>
          <t>Velocidade média do ano de 2015 da Estação Aeroporto</t>
        </r>
      </text>
    </comment>
    <comment ref="B32" authorId="0" shapeId="0">
      <text>
        <r>
          <rPr>
            <sz val="9"/>
            <color indexed="81"/>
            <rFont val="Segoe UI"/>
            <family val="2"/>
          </rPr>
          <t xml:space="preserve">Fonte: (USEPA, 2006)
https://www3.epa.gov/ttn/chief/ap42/ch13/final/c13s0204.pdf
Table 13.2.4-1 - Various limestone products
</t>
        </r>
      </text>
    </comment>
    <comment ref="B33" authorId="0" shapeId="0">
      <text>
        <r>
          <rPr>
            <sz val="9"/>
            <color indexed="81"/>
            <rFont val="Segoe UI"/>
            <family val="2"/>
          </rPr>
          <t xml:space="preserve">USEPA (1995) - Portland Cement Manufacturing
</t>
        </r>
      </text>
    </comment>
    <comment ref="B34" authorId="0" shapeId="0">
      <text>
        <r>
          <rPr>
            <sz val="9"/>
            <color indexed="81"/>
            <rFont val="Segoe UI"/>
            <family val="2"/>
          </rPr>
          <t>USEPA (1995) - Portland Cement Manufacturing</t>
        </r>
      </text>
    </comment>
    <comment ref="B35" authorId="0" shapeId="0">
      <text>
        <r>
          <rPr>
            <sz val="9"/>
            <color indexed="81"/>
            <rFont val="Segoe UI"/>
            <family val="2"/>
          </rPr>
          <t>USEPA (1995) - Portland Cement Manufacturing</t>
        </r>
      </text>
    </comment>
  </commentList>
</comments>
</file>

<file path=xl/comments7.xml><?xml version="1.0" encoding="utf-8"?>
<comments xmlns="http://schemas.openxmlformats.org/spreadsheetml/2006/main">
  <authors>
    <author>Alinie Rossi dos Santos</author>
    <author>Vanessa Brusco Filete</author>
  </authors>
  <commentList>
    <comment ref="H1" authorId="0" shapeId="0">
      <text>
        <r>
          <rPr>
            <sz val="9"/>
            <color indexed="81"/>
            <rFont val="Segoe UI"/>
            <family val="2"/>
          </rPr>
          <t xml:space="preserve">USEPA (2011) - Paved Roads. Table 13.2.1-3 - Concrete Batching
Como não foi informado o teor de silte das vias internas, foi considerado o valor médio referente à "Concrete Batching".
</t>
        </r>
      </text>
    </comment>
    <comment ref="I1" authorId="0" shapeId="0">
      <text>
        <r>
          <rPr>
            <sz val="9"/>
            <color indexed="81"/>
            <rFont val="Segoe UI"/>
            <family val="2"/>
          </rPr>
          <t>Como não foi informado pelo empreendimento o modelo específico do caminhão e suas características, foi considerado modelo de caminhão basculante.
http://www1.dnit.gov.br/Pesagem/sis_sgpv/QFV/QFV%202008%20Divulga%C3%A7%C3%A3o.pdf</t>
        </r>
      </text>
    </comment>
    <comment ref="K1" authorId="0" shapeId="0">
      <text>
        <r>
          <rPr>
            <sz val="9"/>
            <color indexed="81"/>
            <rFont val="Segoe UI"/>
            <family val="2"/>
          </rPr>
          <t xml:space="preserve">WRAP (2006)
NPI (2012) </t>
        </r>
      </text>
    </comment>
    <comment ref="V2" authorId="1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</commentList>
</comments>
</file>

<file path=xl/comments8.xml><?xml version="1.0" encoding="utf-8"?>
<comments xmlns="http://schemas.openxmlformats.org/spreadsheetml/2006/main">
  <authors>
    <author>Alinie Rossi dos Santos</author>
    <author>Andrielly Moutinho Knupp</author>
  </authors>
  <commentList>
    <comment ref="H1" authorId="0" shapeId="0">
      <text>
        <r>
          <rPr>
            <sz val="9"/>
            <color indexed="81"/>
            <rFont val="Segoe UI"/>
            <family val="2"/>
          </rPr>
          <t>Combustível utilizado é GLP. Considerado uma proporção de 70% de butano e 30% de propano no GLP, com base  em manual de cilindros de GLP utilizados em empilhadeiras.</t>
        </r>
      </text>
    </comment>
    <comment ref="J2" authorId="1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K2" authorId="1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M2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O2" authorId="1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A3" authorId="0" shapeId="0">
      <text>
        <r>
          <rPr>
            <sz val="9"/>
            <color indexed="81"/>
            <rFont val="Segoe UI"/>
            <family val="2"/>
          </rPr>
          <t>Case 621D</t>
        </r>
      </text>
    </comment>
    <comment ref="A4" authorId="0" shapeId="0">
      <text>
        <r>
          <rPr>
            <sz val="9"/>
            <color indexed="81"/>
            <rFont val="Segoe UI"/>
            <family val="2"/>
          </rPr>
          <t xml:space="preserve">CAT 966C
</t>
        </r>
      </text>
    </comment>
    <comment ref="A5" authorId="0" shapeId="0">
      <text>
        <r>
          <rPr>
            <sz val="9"/>
            <color indexed="81"/>
            <rFont val="Segoe UI"/>
            <family val="2"/>
          </rPr>
          <t xml:space="preserve">Hyster 7 ton
</t>
        </r>
      </text>
    </comment>
    <comment ref="H5" authorId="0" shapeId="0">
      <text>
        <r>
          <rPr>
            <sz val="9"/>
            <color indexed="81"/>
            <rFont val="Segoe UI"/>
            <family val="2"/>
          </rPr>
          <t>Considerado o consumo das duas empilhadeiras</t>
        </r>
      </text>
    </comment>
    <comment ref="A6" authorId="0" shapeId="0">
      <text>
        <r>
          <rPr>
            <sz val="9"/>
            <color indexed="81"/>
            <rFont val="Segoe UI"/>
            <family val="2"/>
          </rPr>
          <t>Hyster 3 ton</t>
        </r>
      </text>
    </comment>
  </commentList>
</comments>
</file>

<file path=xl/comments9.xml><?xml version="1.0" encoding="utf-8"?>
<comments xmlns="http://schemas.openxmlformats.org/spreadsheetml/2006/main">
  <authors>
    <author>Alinie Rossi dos Santos</author>
  </authors>
  <commentList>
    <comment ref="A7" authorId="0" shapeId="0">
      <text>
        <r>
          <rPr>
            <sz val="9"/>
            <color indexed="81"/>
            <rFont val="Segoe UI"/>
            <family val="2"/>
          </rPr>
          <t>Memorial de Cálculo na Planilha: Memorial_Holcim_Erosao_Eolica</t>
        </r>
      </text>
    </comment>
  </commentList>
</comments>
</file>

<file path=xl/sharedStrings.xml><?xml version="1.0" encoding="utf-8"?>
<sst xmlns="http://schemas.openxmlformats.org/spreadsheetml/2006/main" count="647" uniqueCount="265">
  <si>
    <t>Fonte Emissora</t>
  </si>
  <si>
    <t>Taxa de Emissão [kg/h]</t>
  </si>
  <si>
    <t>PM</t>
  </si>
  <si>
    <t>Média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</si>
  <si>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</si>
  <si>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</si>
  <si>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CO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</si>
  <si>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</si>
  <si>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</si>
  <si>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-</t>
  </si>
  <si>
    <t>TOTAL</t>
  </si>
  <si>
    <t>Consumo Combustível [m³/h]</t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</si>
  <si>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</si>
  <si>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</si>
  <si>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</si>
  <si>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</si>
  <si>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</si>
  <si>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CO [kg/h]</t>
  </si>
  <si>
    <t>ROG [kg/h]</t>
  </si>
  <si>
    <t>Potência [hp]</t>
  </si>
  <si>
    <t>Equipamento [hp]</t>
  </si>
  <si>
    <t>Quantidade</t>
  </si>
  <si>
    <t>Horas/dia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</si>
  <si>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</si>
  <si>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Tipo de Combustível</t>
  </si>
  <si>
    <t>Equação Geral:</t>
  </si>
  <si>
    <t>Onde:
E - emissão (lb/dia)
n - número de equipamentos de cada categoria
H - número de horas diárias de operação do equipamento
EF - fator de emissão (lb/h)</t>
  </si>
  <si>
    <t>Referência: AQMD (2016) - http://www.aqmd.gov/home/regulations/ceqa/air-quality-analysis-handbook/off-road-mobile-source-emission-factors</t>
  </si>
  <si>
    <t>Onde:
E - emissão
EF - fator de emissão
ER - eficiência de redução de emissão</t>
  </si>
  <si>
    <t>Horário de Funcionamento</t>
  </si>
  <si>
    <t>Terça a sábado</t>
  </si>
  <si>
    <t>Pá Carregadeira</t>
  </si>
  <si>
    <t>Filtro de Mangas</t>
  </si>
  <si>
    <t>GLP</t>
  </si>
  <si>
    <t>Chaminé 531 FM1 - Filtro do Moinho</t>
  </si>
  <si>
    <t>Chaminé 529 FM3 - Filtro do Secador</t>
  </si>
  <si>
    <t>1ª Coleta</t>
  </si>
  <si>
    <t>2ª Coleta</t>
  </si>
  <si>
    <t>3ª Coleta</t>
  </si>
  <si>
    <t>Vazão nas condições da chaminé (m³/h)</t>
  </si>
  <si>
    <t>Vazão na condição normal base seca (Nm³/h)</t>
  </si>
  <si>
    <t>Concentração de Material Particulado (mg/Nm³)</t>
  </si>
  <si>
    <t>Taxa de Emissão (kg/h)</t>
  </si>
  <si>
    <t>Chaminé 531 FM1 - Filtro do Moinho (Medição - 26/11/2015)</t>
  </si>
  <si>
    <t>Chaminé 529 FM3 - Filtro do secador (Medição - 21/12/2015)</t>
  </si>
  <si>
    <t>Chaminé 529 FM3 - Filtro do secador (Medição - 30/09/2015)</t>
  </si>
  <si>
    <t>Chaminé 531 FM1 - Filtro do Moinho (Medição - 16/10/2015)</t>
  </si>
  <si>
    <t>529-FM3</t>
  </si>
  <si>
    <t>FILTRO DE MANGAS</t>
  </si>
  <si>
    <t>531-FM1</t>
  </si>
  <si>
    <t>621-FM1</t>
  </si>
  <si>
    <t>531-FM2</t>
  </si>
  <si>
    <t>519-FM2</t>
  </si>
  <si>
    <t>531-FM3</t>
  </si>
  <si>
    <t>519-FM1</t>
  </si>
  <si>
    <t>541-FM1</t>
  </si>
  <si>
    <t>529-FM1</t>
  </si>
  <si>
    <t>611-FM1</t>
  </si>
  <si>
    <t>611-FM2</t>
  </si>
  <si>
    <t>621-FM2</t>
  </si>
  <si>
    <t>621-FM3</t>
  </si>
  <si>
    <t>529-FM4</t>
  </si>
  <si>
    <t>Chaminé do Filtro de Mangas Ensacadeira - 621 FM1 (Medição - 24/11/2015)</t>
  </si>
  <si>
    <t>Temperatura absoluta máxima do gás na chaminé (K)</t>
  </si>
  <si>
    <t>Temperatura absoluta mínima do gás na chaminé (K)</t>
  </si>
  <si>
    <t>Temperatura média do gás na chaminé (K)</t>
  </si>
  <si>
    <t>Chaminé do Filtro de Mangas Ensacadeira - 621 FM1 (Medição - 09/10/2015)</t>
  </si>
  <si>
    <t>Setembro/Outubro/2015</t>
  </si>
  <si>
    <t>Novembro/Dezembro 2015</t>
  </si>
  <si>
    <t>Cimento</t>
  </si>
  <si>
    <t>Escória Seca</t>
  </si>
  <si>
    <t>Março/2015</t>
  </si>
  <si>
    <t>Chaminé 531 FM1 - Filtro do Moinho (Medição - 04/03/2015)</t>
  </si>
  <si>
    <t>Temperatura do gás (ºC)</t>
  </si>
  <si>
    <t>Chaminé do Filtro de Mangas Ensacadeira - 621 FM1 (Medição - 02/03/2015)</t>
  </si>
  <si>
    <t>Chaminé 529 FM3 - Filtro do secador (Medição - 03/03/2015)</t>
  </si>
  <si>
    <t>Temperatura do gás  (ºC)</t>
  </si>
  <si>
    <t>Chamie 529 FM4 - Filtro Silo de Escoria (Medição - 03/03/2015)</t>
  </si>
  <si>
    <t>Chaminé 531 FM1 - Filtro do Moinho (Medição - 07/07/2015)</t>
  </si>
  <si>
    <t>Junho/Julho-2015</t>
  </si>
  <si>
    <t>Chaminé do Filtro de Mangas Ensacadeira - 621 FM1 (Medição - 23/06/2015)</t>
  </si>
  <si>
    <t>Chaminé 529 FM3 - Filtro do secador (Medição - 22/06/2015)</t>
  </si>
  <si>
    <t>Chamie 529 FM4 - Filtro Silo de Escoria (25/06/2015)</t>
  </si>
  <si>
    <t>Gesso</t>
  </si>
  <si>
    <t>Fonte: USEPA (2006) - https://www3.epa.gov/ttn/chief/ap42/ch13/final/c13s0204.pdf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</si>
  <si>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</si>
  <si>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2,5</t>
    </r>
  </si>
  <si>
    <t>Aerodynamic Particle Size Multiplier (k)</t>
  </si>
  <si>
    <t>Onde:
E - emissão (kg/t)
k -constante de tamanho das partículas com diâmetro aerodinâmico ≤ i μm
U - velocidade do vento (m/s)
M - teor de umidade do material (%)</t>
  </si>
  <si>
    <t>Movimentação material [t/h]</t>
  </si>
  <si>
    <t>Umidade do Material [%]</t>
  </si>
  <si>
    <t>Controle</t>
  </si>
  <si>
    <t>Fator de Emissão [kg/t]</t>
  </si>
  <si>
    <t>Tipo</t>
  </si>
  <si>
    <t>Eficiência [%]</t>
  </si>
  <si>
    <t xml:space="preserve">PM 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</si>
  <si>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</t>
    </r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</si>
  <si>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</t>
    </r>
  </si>
  <si>
    <t>Velocidade do Vento (m/s)</t>
  </si>
  <si>
    <t>TR - Desc. Caminhão Gesso</t>
  </si>
  <si>
    <t>TR - Desc. Calcário</t>
  </si>
  <si>
    <t xml:space="preserve">TR - Car. Correia Escória </t>
  </si>
  <si>
    <t>Chaminé 621 FM1 - Filtro de Mangas Ensacadeira</t>
  </si>
  <si>
    <t>Chaminé 531 FM2 - Moagem de Cimento</t>
  </si>
  <si>
    <t>Chaminé 531 FM3 - Transferência de Correias</t>
  </si>
  <si>
    <t>Chaminé 621 FM3 - Ensacadeira</t>
  </si>
  <si>
    <t>Chaminé 621 FM2 - Ensacadeira</t>
  </si>
  <si>
    <t>Chaminé 529 FM1 - Transferência de Correias</t>
  </si>
  <si>
    <t>Chaminé 519 FM1 - Transferência de Correias</t>
  </si>
  <si>
    <t>Chaminé 519 FM2 - Transferência de Correias</t>
  </si>
  <si>
    <t>Chaminé 541 FM1 - Silo de Cimento</t>
  </si>
  <si>
    <t xml:space="preserve">Chaminé 611 FM1 - Extração Silo de Cimento </t>
  </si>
  <si>
    <t>Chaminé 611 FM2 - Extração Silo de Cimento</t>
  </si>
  <si>
    <t>Chaminé 529 FM4 - Silo de Escória Seca</t>
  </si>
  <si>
    <t>TR - Desc. Clínquer</t>
  </si>
  <si>
    <t>Rubber Tired Loaders
(Pá Carregadeira)</t>
  </si>
  <si>
    <t>Rubber Tired Loaders - 25</t>
  </si>
  <si>
    <t>Rubber Tired Loaders - 50</t>
  </si>
  <si>
    <t>Rubber Tired Loaders - 120</t>
  </si>
  <si>
    <t>Rubber Tired Loaders - 175</t>
  </si>
  <si>
    <t>Rubber Tired Loaders - 250</t>
  </si>
  <si>
    <t>Rubber Tired Loaders - 500</t>
  </si>
  <si>
    <t>Rubber Tired Loaders - 750</t>
  </si>
  <si>
    <t>Rubber Tired Loaders - 1000</t>
  </si>
  <si>
    <r>
      <t>CO</t>
    </r>
    <r>
      <rPr>
        <vertAlign val="subscript"/>
        <sz val="8"/>
        <rFont val="Arial"/>
        <family val="2"/>
      </rPr>
      <t xml:space="preserve">2 </t>
    </r>
    <r>
      <rPr>
        <sz val="8"/>
        <rFont val="Arial"/>
        <family val="2"/>
      </rPr>
      <t>[kg/h]</t>
    </r>
  </si>
  <si>
    <r>
      <t>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[kg/h]</t>
    </r>
  </si>
  <si>
    <t>Enclausuramento</t>
  </si>
  <si>
    <t>Concentração - Filtro de Mangas [mg/m³]</t>
  </si>
  <si>
    <t>Energia Elétrica</t>
  </si>
  <si>
    <t>Fontes Emissoras</t>
  </si>
  <si>
    <t>Transferências</t>
  </si>
  <si>
    <t>Máquinas e Equipamentos</t>
  </si>
  <si>
    <t>Erosão Eólica</t>
  </si>
  <si>
    <t>185x510</t>
  </si>
  <si>
    <t>Matéria-primas</t>
  </si>
  <si>
    <t>Estoque/2014</t>
  </si>
  <si>
    <t>Entradas/2015</t>
  </si>
  <si>
    <t>Consumo</t>
  </si>
  <si>
    <t>Transferência/2015</t>
  </si>
  <si>
    <t>Estoque/2015</t>
  </si>
  <si>
    <t>Clinquer</t>
  </si>
  <si>
    <t>Escoria de Alto Forno (Úmida)</t>
  </si>
  <si>
    <t>Escoria de Alto Forno (Seca)</t>
  </si>
  <si>
    <t>Caminhões</t>
  </si>
  <si>
    <t>Equipamento</t>
  </si>
  <si>
    <t>5 botijas de 20 kg</t>
  </si>
  <si>
    <t>Fonte: USEPA (2008)  https://www3.epa.gov/ttn/chief/ap42/ch01/final/c01s05.pdf</t>
  </si>
  <si>
    <t>Table 1.5 -1 EMISSION FACTORS FOR LPG COMBUSTION</t>
  </si>
  <si>
    <t>EMISSION FACTOR RATING E</t>
  </si>
  <si>
    <t>Poluente</t>
  </si>
  <si>
    <r>
      <t>Butane Emission Factor (lb/10</t>
    </r>
    <r>
      <rPr>
        <vertAlign val="superscript"/>
        <sz val="8"/>
        <color theme="1"/>
        <rFont val="Arial"/>
        <family val="2"/>
      </rPr>
      <t xml:space="preserve">3 </t>
    </r>
    <r>
      <rPr>
        <sz val="8"/>
        <color theme="1"/>
        <rFont val="Arial"/>
        <family val="2"/>
      </rPr>
      <t>gal)</t>
    </r>
  </si>
  <si>
    <r>
      <t>Propane Emission Factor (lb/10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gal)</t>
    </r>
  </si>
  <si>
    <t xml:space="preserve">Industrial/Comercial Boilers </t>
  </si>
  <si>
    <t>PM, Filterable</t>
  </si>
  <si>
    <t>PM, Condensable</t>
  </si>
  <si>
    <t>PM, Total</t>
  </si>
  <si>
    <r>
      <t>SO</t>
    </r>
    <r>
      <rPr>
        <b/>
        <vertAlign val="subscript"/>
        <sz val="8"/>
        <color theme="1"/>
        <rFont val="Arial"/>
        <family val="2"/>
      </rPr>
      <t>2</t>
    </r>
  </si>
  <si>
    <t>0,09S</t>
  </si>
  <si>
    <t>0,10S</t>
  </si>
  <si>
    <r>
      <t>NO</t>
    </r>
    <r>
      <rPr>
        <b/>
        <vertAlign val="subscript"/>
        <sz val="8"/>
        <color theme="1"/>
        <rFont val="Arial"/>
        <family val="2"/>
      </rPr>
      <t>X</t>
    </r>
  </si>
  <si>
    <r>
      <t>N</t>
    </r>
    <r>
      <rPr>
        <vertAlign val="sub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>O</t>
    </r>
  </si>
  <si>
    <r>
      <t>CO</t>
    </r>
    <r>
      <rPr>
        <vertAlign val="subscript"/>
        <sz val="8"/>
        <color theme="1"/>
        <rFont val="Arial"/>
        <family val="2"/>
      </rPr>
      <t>2</t>
    </r>
  </si>
  <si>
    <t>TOC</t>
  </si>
  <si>
    <r>
      <t>CH</t>
    </r>
    <r>
      <rPr>
        <vertAlign val="subscript"/>
        <sz val="8"/>
        <color theme="1"/>
        <rFont val="Arial"/>
        <family val="2"/>
      </rPr>
      <t>4</t>
    </r>
  </si>
  <si>
    <t>Ter de enxofre máximo de GLP (g/m³)</t>
  </si>
  <si>
    <t>Conversão (lb/10³ gal) para (kg/m³)</t>
  </si>
  <si>
    <t>Conversão (g/m³) para (gr/ft³)</t>
  </si>
  <si>
    <t>TR - Desc. Caminhão Escória Seca</t>
  </si>
  <si>
    <t>TR - Desc. Caminhão Escória Úmida</t>
  </si>
  <si>
    <t xml:space="preserve">TR - Secador Escória </t>
  </si>
  <si>
    <t>Teor [%]</t>
  </si>
  <si>
    <t>Material</t>
  </si>
  <si>
    <t>Escória Úmida</t>
  </si>
  <si>
    <t>Calcário</t>
  </si>
  <si>
    <t>Clínquer</t>
  </si>
  <si>
    <t>TR - Transf. Correia Gesso</t>
  </si>
  <si>
    <t>TR - Transf. Correia Calcário</t>
  </si>
  <si>
    <t>TR - Transf. Correia Clínquer</t>
  </si>
  <si>
    <t xml:space="preserve">TR - Transf. Correia Escória </t>
  </si>
  <si>
    <t>TR - Transf. Silo Gesso</t>
  </si>
  <si>
    <t>TR - Transf. Silo Escória</t>
  </si>
  <si>
    <t>TR - Transf. Silo Calcário</t>
  </si>
  <si>
    <t>TR - Transf. Silo Clínquer</t>
  </si>
  <si>
    <t>TR - Transf. Moinho Gesso</t>
  </si>
  <si>
    <t>TR - Transf. Moinho Calcário</t>
  </si>
  <si>
    <t>TR - Transf. Moinho Clínquer</t>
  </si>
  <si>
    <t xml:space="preserve">TR - Transf. Moinho Escória </t>
  </si>
  <si>
    <t>TR - Transf. Silos</t>
  </si>
  <si>
    <t>TR - Transf. Caminhão</t>
  </si>
  <si>
    <t xml:space="preserve">TR - Transf. Ensacadeira </t>
  </si>
  <si>
    <t>Pavimentada</t>
  </si>
  <si>
    <t>Umectação</t>
  </si>
  <si>
    <t xml:space="preserve">Fonte Emissora </t>
  </si>
  <si>
    <t>Ano 2015</t>
  </si>
  <si>
    <t xml:space="preserve">Mês </t>
  </si>
  <si>
    <t>Precipitação Acumulada (mm)</t>
  </si>
  <si>
    <t>N° dias no mês</t>
  </si>
  <si>
    <t>Fator de Ajuste</t>
  </si>
  <si>
    <t>Jan</t>
  </si>
  <si>
    <t>Fev</t>
  </si>
  <si>
    <t>PM2.5</t>
  </si>
  <si>
    <t>PM10</t>
  </si>
  <si>
    <t>PM30</t>
  </si>
  <si>
    <t>Mar</t>
  </si>
  <si>
    <t>Abr</t>
  </si>
  <si>
    <t>Mai</t>
  </si>
  <si>
    <t>Jun</t>
  </si>
  <si>
    <t>g/VKT</t>
  </si>
  <si>
    <t>Jul</t>
  </si>
  <si>
    <t>Ago</t>
  </si>
  <si>
    <t>Set</t>
  </si>
  <si>
    <t>Out</t>
  </si>
  <si>
    <t>Nov</t>
  </si>
  <si>
    <t>Dez</t>
  </si>
  <si>
    <t>Fator Ajuste:</t>
  </si>
  <si>
    <t xml:space="preserve">Fonte: USEPA (2011)https://www3.epa.gov/ttn/chief/ap42/ch13/final/c13s0201.pdf </t>
  </si>
  <si>
    <t>Table 13.2.1-1. PARTICLE SIZE MULTIPLIERS FOR PAVED ROAD EQUATION</t>
  </si>
  <si>
    <t>Número de Horas com Precipitação &gt; 0,254 mm</t>
  </si>
  <si>
    <t>Size Range</t>
  </si>
  <si>
    <t>Particle Size Multiplier (k)</t>
  </si>
  <si>
    <t>Onde:
FE - fator de emissão de material particulado (g/km)
k - constante de tamanho da partícula (g/VKT)
sL - taxa de silt na superfície de rodagem (g/m²)
W - peso médio dos veículos que trafegam na via (t)
P - número de horas onde a precipitação durante o período observado foi no mínimo 0,254 mm
N - número de horas do período observado (Ex: 8760 para anual, 2124 por estação, 720 para mensal)</t>
  </si>
  <si>
    <t>Classe de Veículo</t>
  </si>
  <si>
    <t>Fator de emissão médio da frota veicular da RGV [g/km]</t>
  </si>
  <si>
    <t>Escapamento</t>
  </si>
  <si>
    <t>Desgaste Pneus e Freio</t>
  </si>
  <si>
    <t>Desgaste da Pista</t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</si>
  <si>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</si>
  <si>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</si>
  <si>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</si>
  <si>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HCT</t>
  </si>
  <si>
    <t>Veículos Pesados</t>
  </si>
  <si>
    <t>Via Trecho 1</t>
  </si>
  <si>
    <t>Vias de Tráfego</t>
  </si>
  <si>
    <t>Via Trecho 2</t>
  </si>
  <si>
    <t>Umectação/Varrição</t>
  </si>
  <si>
    <t>Varrição</t>
  </si>
  <si>
    <t>Comprimento [m]</t>
  </si>
  <si>
    <r>
      <t>Nº de Caminhões por Hora [h</t>
    </r>
    <r>
      <rPr>
        <b/>
        <vertAlign val="superscript"/>
        <sz val="8"/>
        <color theme="0"/>
        <rFont val="Arial"/>
        <family val="2"/>
      </rPr>
      <t>-1</t>
    </r>
    <r>
      <rPr>
        <b/>
        <sz val="8"/>
        <color theme="0"/>
        <rFont val="Arial"/>
        <family val="2"/>
      </rPr>
      <t>]</t>
    </r>
  </si>
  <si>
    <t>DMT  [km/h]</t>
  </si>
  <si>
    <t>Peso Médio dos Caminhões[t]</t>
  </si>
  <si>
    <t>Eficiência de Controle [%]</t>
  </si>
  <si>
    <t>Fator de Emissão - Ressuspensão [kg/VKT]</t>
  </si>
  <si>
    <t>Fator de Emissão - Gases Escapamento [kg/km]</t>
  </si>
  <si>
    <t>Fator - Desgaste Pneus e Freio [kg/km]</t>
  </si>
  <si>
    <t>Fator - Desgaste da Pista [kg/km]</t>
  </si>
  <si>
    <r>
      <t>CAPACIDADE NOMINAL (m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/h)</t>
    </r>
  </si>
  <si>
    <t>TAG 
ATUAL</t>
  </si>
  <si>
    <t>Empilhadeira Hyster 7 ton</t>
  </si>
  <si>
    <t xml:space="preserve">Empilhadeira </t>
  </si>
  <si>
    <t>Densidade do GLP (kg/m³)</t>
  </si>
  <si>
    <t>Empilhadeira Hyster 3 ton</t>
  </si>
  <si>
    <t>65 botijas de 20 kg</t>
  </si>
  <si>
    <t>Tráfego de veículos (diariamente)</t>
  </si>
  <si>
    <t>Teor de Silte [g/m²]</t>
  </si>
  <si>
    <t>Dados contidos no Ofício enviado pela empresa</t>
  </si>
  <si>
    <t>VOC</t>
  </si>
  <si>
    <t>Chaminés</t>
  </si>
  <si>
    <t>Latitude [º]</t>
  </si>
  <si>
    <t>Longitude [º]</t>
  </si>
  <si>
    <t>Diâmetro [m]</t>
  </si>
  <si>
    <t>Vazão [m³/h]</t>
  </si>
  <si>
    <t>Temperatura [ºC]</t>
  </si>
  <si>
    <t>Altura [m]</t>
  </si>
  <si>
    <t>Consideração:</t>
  </si>
  <si>
    <t>Como não foi informado o ano de fabricação dos equipamentos, foi considerado, de forma conservadora, os fatores de emissão referentes ao ano de 2007.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</si>
</sst>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0.0000"/>
    <numFmt numFmtId="165" formatCode="0.0"/>
    <numFmt numFmtId="166" formatCode="0.000"/>
    <numFmt numFmtId="167" formatCode="#,##0.0"/>
    <numFmt numFmtId="168" formatCode="0.000000"/>
    <numFmt numFmtId="169" formatCode="#,##0.00000"/>
    <numFmt numFmtId="170" formatCode="[&gt;=0.005]\ #,##0.00;[&lt;0.005]&quot;&lt;0,01&quot;"/>
    <numFmt numFmtId="171" formatCode="0.00000"/>
  </numFmts>
  <fonts count="2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b/>
      <sz val="9"/>
      <color indexed="81"/>
      <name val="Segoe UI"/>
      <family val="2"/>
    </font>
    <font>
      <sz val="8"/>
      <name val="Arial"/>
      <family val="2"/>
    </font>
    <font>
      <sz val="8"/>
      <color rgb="FFFF0000"/>
      <name val="Arial"/>
      <family val="2"/>
    </font>
    <font>
      <vertAlign val="subscript"/>
      <sz val="8"/>
      <name val="Arial"/>
      <family val="2"/>
    </font>
    <font>
      <b/>
      <i/>
      <sz val="8"/>
      <color theme="1"/>
      <name val="Arial"/>
      <family val="2"/>
    </font>
    <font>
      <sz val="8"/>
      <color indexed="81"/>
      <name val="Segoe U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vertAlign val="superscript"/>
      <sz val="8"/>
      <color theme="1"/>
      <name val="Arial"/>
      <family val="2"/>
    </font>
    <font>
      <b/>
      <vertAlign val="subscript"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vertAlign val="superscript"/>
      <sz val="8"/>
      <color theme="0"/>
      <name val="Arial"/>
      <family val="2"/>
    </font>
    <font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 style="thin">
        <color theme="0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9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2" fontId="1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0" xfId="0" applyFont="1" applyFill="1"/>
    <xf numFmtId="164" fontId="0" fillId="0" borderId="0" xfId="0" applyNumberFormat="1"/>
    <xf numFmtId="164" fontId="1" fillId="0" borderId="0" xfId="0" applyNumberFormat="1" applyFont="1"/>
    <xf numFmtId="1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" fillId="4" borderId="15" xfId="0" applyFont="1" applyFill="1" applyBorder="1"/>
    <xf numFmtId="0" fontId="1" fillId="4" borderId="3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167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9" fillId="0" borderId="0" xfId="0" applyFont="1"/>
    <xf numFmtId="1" fontId="8" fillId="0" borderId="8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4" borderId="15" xfId="0" applyFont="1" applyFill="1" applyBorder="1" applyAlignment="1"/>
    <xf numFmtId="0" fontId="1" fillId="4" borderId="19" xfId="0" applyFont="1" applyFill="1" applyBorder="1" applyAlignment="1"/>
    <xf numFmtId="0" fontId="1" fillId="4" borderId="3" xfId="0" applyFont="1" applyFill="1" applyBorder="1" applyAlignment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1" fillId="4" borderId="10" xfId="0" applyFont="1" applyFill="1" applyBorder="1" applyAlignment="1"/>
    <xf numFmtId="0" fontId="2" fillId="0" borderId="0" xfId="0" applyFont="1" applyFill="1" applyBorder="1" applyAlignment="1">
      <alignment vertical="center"/>
    </xf>
    <xf numFmtId="4" fontId="1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0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4" fontId="1" fillId="0" borderId="0" xfId="0" applyNumberFormat="1" applyFont="1"/>
    <xf numFmtId="0" fontId="13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left" vertical="center"/>
    </xf>
    <xf numFmtId="164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vertical="center"/>
    </xf>
    <xf numFmtId="0" fontId="13" fillId="0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/>
    <xf numFmtId="0" fontId="1" fillId="4" borderId="18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1" fillId="4" borderId="9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1" fillId="0" borderId="0" xfId="0" applyNumberFormat="1" applyFont="1" applyAlignment="1">
      <alignment horizontal="right" vertical="center"/>
    </xf>
    <xf numFmtId="43" fontId="1" fillId="0" borderId="0" xfId="1" applyFont="1"/>
    <xf numFmtId="167" fontId="1" fillId="0" borderId="1" xfId="0" applyNumberFormat="1" applyFont="1" applyFill="1" applyBorder="1" applyAlignment="1">
      <alignment horizontal="center" vertical="center"/>
    </xf>
    <xf numFmtId="170" fontId="1" fillId="3" borderId="1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170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/>
    <xf numFmtId="2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Fill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8" fontId="1" fillId="0" borderId="0" xfId="0" applyNumberFormat="1" applyFont="1" applyFill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/>
    <xf numFmtId="0" fontId="1" fillId="0" borderId="0" xfId="0" applyFont="1" applyFill="1"/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13" fillId="0" borderId="7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4" fillId="0" borderId="0" xfId="0" applyFont="1" applyFill="1" applyBorder="1" applyAlignment="1"/>
    <xf numFmtId="165" fontId="1" fillId="0" borderId="0" xfId="0" applyNumberFormat="1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2" fillId="0" borderId="6" xfId="0" applyNumberFormat="1" applyFont="1" applyFill="1" applyBorder="1" applyAlignment="1" applyProtection="1">
      <alignment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/>
    <xf numFmtId="0" fontId="16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1" xfId="0" applyFont="1" applyFill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2" fontId="1" fillId="0" borderId="0" xfId="0" applyNumberFormat="1" applyFon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3" fontId="1" fillId="3" borderId="0" xfId="0" applyNumberFormat="1" applyFont="1" applyFill="1" applyAlignment="1">
      <alignment horizontal="right" vertical="center"/>
    </xf>
    <xf numFmtId="166" fontId="1" fillId="0" borderId="0" xfId="0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170" fontId="1" fillId="3" borderId="23" xfId="0" applyNumberFormat="1" applyFont="1" applyFill="1" applyBorder="1" applyAlignment="1">
      <alignment horizontal="center" vertical="center"/>
    </xf>
    <xf numFmtId="170" fontId="1" fillId="0" borderId="5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5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171" fontId="1" fillId="0" borderId="21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9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 vertical="center"/>
    </xf>
    <xf numFmtId="168" fontId="1" fillId="0" borderId="1" xfId="0" applyNumberFormat="1" applyFont="1" applyFill="1" applyBorder="1" applyAlignment="1">
      <alignment horizontal="center" vertical="center"/>
    </xf>
    <xf numFmtId="171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71" fontId="1" fillId="0" borderId="0" xfId="0" applyNumberFormat="1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5" fillId="2" borderId="5" xfId="0" applyNumberFormat="1" applyFont="1" applyFill="1" applyBorder="1" applyAlignment="1" applyProtection="1">
      <alignment horizontal="center" vertical="center" wrapText="1"/>
    </xf>
    <xf numFmtId="0" fontId="5" fillId="2" borderId="6" xfId="0" applyNumberFormat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DCE6F1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20</xdr:row>
      <xdr:rowOff>138112</xdr:rowOff>
    </xdr:from>
    <xdr:ext cx="1609725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2667000" y="3948112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(1−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2667000" y="3948112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𝐸=𝐴 𝑥 𝐸𝐹 𝑥 (1−𝐸𝑅/100)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142876</xdr:colOff>
      <xdr:row>4</xdr:row>
      <xdr:rowOff>100012</xdr:rowOff>
    </xdr:from>
    <xdr:ext cx="2400300" cy="3726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× 0,0016×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 × 0,0016×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(𝑈/2,2)^1,3∕(𝑀/2)^1,4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7</xdr:row>
      <xdr:rowOff>4762</xdr:rowOff>
    </xdr:from>
    <xdr:ext cx="234315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1143000" y="5243512"/>
              <a:ext cx="23431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. </m:t>
                        </m:r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𝑠𝐿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0,91</m:t>
                            </m:r>
                          </m:sup>
                        </m:s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1,02</m:t>
                            </m:r>
                          </m:sup>
                        </m:sSup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. 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1−1,2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1143000" y="5243512"/>
              <a:ext cx="23431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𝐹𝐸=(𝑘 . 〖𝑠𝐿〗^0,91. 𝑊^1,02 )  . (1−1,2𝑃/𝑁) 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2</xdr:col>
      <xdr:colOff>600076</xdr:colOff>
      <xdr:row>6</xdr:row>
      <xdr:rowOff>142875</xdr:rowOff>
    </xdr:from>
    <xdr:to>
      <xdr:col>3</xdr:col>
      <xdr:colOff>552450</xdr:colOff>
      <xdr:row>8</xdr:row>
      <xdr:rowOff>47625</xdr:rowOff>
    </xdr:to>
    <xdr:sp macro="" textlink="">
      <xdr:nvSpPr>
        <xdr:cNvPr id="4" name="Elipse 3"/>
        <xdr:cNvSpPr/>
      </xdr:nvSpPr>
      <xdr:spPr>
        <a:xfrm>
          <a:off x="2581276" y="5191125"/>
          <a:ext cx="942974" cy="28575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11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971675" y="23002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971675" y="23002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ros&#227;o%20E&#243;lica_Holc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Material"/>
      <sheetName val="Série Vento-Bruta"/>
      <sheetName val="Serie Vento - 7 dias "/>
      <sheetName val="FE-Área Exposta"/>
      <sheetName val="TE - Total"/>
    </sheetNames>
    <sheetDataSet>
      <sheetData sheetId="0"/>
      <sheetData sheetId="1"/>
      <sheetData sheetId="2"/>
      <sheetData sheetId="3"/>
      <sheetData sheetId="4"/>
      <sheetData sheetId="5">
        <row r="4">
          <cell r="L4">
            <v>0.62977917735638433</v>
          </cell>
          <cell r="O4">
            <v>0.31488958867819217</v>
          </cell>
          <cell r="R4">
            <v>4.7233438301728825E-2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7"/>
  <sheetViews>
    <sheetView topLeftCell="A4" workbookViewId="0"/>
  </sheetViews>
  <sheetFormatPr defaultRowHeight="15" customHeight="1" x14ac:dyDescent="0.2"/>
  <cols>
    <col min="1" max="1" width="27.85546875" style="1" customWidth="1"/>
    <col min="2" max="2" width="24.5703125" style="1" customWidth="1"/>
    <col min="3" max="3" width="27.42578125" style="1" customWidth="1"/>
    <col min="4" max="4" width="32.28515625" style="1" bestFit="1" customWidth="1"/>
    <col min="5" max="5" width="23.140625" style="1" customWidth="1"/>
    <col min="6" max="6" width="16.28515625" style="1" bestFit="1" customWidth="1"/>
    <col min="7" max="7" width="23.42578125" style="1" bestFit="1" customWidth="1"/>
    <col min="8" max="8" width="25.42578125" style="1" customWidth="1"/>
    <col min="9" max="9" width="25.5703125" style="1" bestFit="1" customWidth="1"/>
    <col min="10" max="10" width="56" style="1" bestFit="1" customWidth="1"/>
    <col min="11" max="11" width="23.28515625" style="1" customWidth="1"/>
    <col min="12" max="12" width="25" style="1" bestFit="1" customWidth="1"/>
    <col min="13" max="15" width="16.28515625" style="1" bestFit="1" customWidth="1"/>
    <col min="16" max="17" width="9.140625" style="1"/>
    <col min="18" max="18" width="14.28515625" style="1" bestFit="1" customWidth="1"/>
    <col min="19" max="19" width="13.85546875" style="1" bestFit="1" customWidth="1"/>
    <col min="20" max="16384" width="9.140625" style="1"/>
  </cols>
  <sheetData>
    <row r="1" spans="1:7" ht="15" customHeight="1" x14ac:dyDescent="0.2">
      <c r="A1" s="2" t="s">
        <v>254</v>
      </c>
    </row>
    <row r="2" spans="1:7" ht="15" customHeight="1" x14ac:dyDescent="0.2">
      <c r="A2" s="149" t="s">
        <v>29</v>
      </c>
      <c r="B2" s="149"/>
    </row>
    <row r="3" spans="1:7" ht="15" customHeight="1" x14ac:dyDescent="0.2">
      <c r="A3" s="2" t="s">
        <v>30</v>
      </c>
      <c r="B3" s="129" t="s">
        <v>9</v>
      </c>
    </row>
    <row r="4" spans="1:7" ht="15" customHeight="1" x14ac:dyDescent="0.2">
      <c r="A4" s="2"/>
    </row>
    <row r="5" spans="1:7" ht="15" customHeight="1" x14ac:dyDescent="0.2">
      <c r="A5" s="150" t="s">
        <v>134</v>
      </c>
      <c r="B5" s="150" t="s">
        <v>136</v>
      </c>
      <c r="C5" s="73" t="s">
        <v>137</v>
      </c>
      <c r="D5" s="150" t="s">
        <v>139</v>
      </c>
      <c r="E5" s="150" t="s">
        <v>135</v>
      </c>
    </row>
    <row r="6" spans="1:7" ht="15" customHeight="1" x14ac:dyDescent="0.2">
      <c r="A6" s="150"/>
      <c r="B6" s="150"/>
      <c r="C6" s="73" t="s">
        <v>138</v>
      </c>
      <c r="D6" s="150"/>
      <c r="E6" s="150"/>
    </row>
    <row r="7" spans="1:7" ht="15" customHeight="1" x14ac:dyDescent="0.2">
      <c r="A7" s="59" t="s">
        <v>173</v>
      </c>
      <c r="B7" s="136">
        <v>6970.24</v>
      </c>
      <c r="C7" s="136">
        <v>6691.9</v>
      </c>
      <c r="D7" s="74">
        <v>567.82100000000003</v>
      </c>
      <c r="E7" s="74">
        <v>289.48099999999999</v>
      </c>
    </row>
    <row r="8" spans="1:7" ht="15" customHeight="1" x14ac:dyDescent="0.2">
      <c r="A8" s="59" t="s">
        <v>140</v>
      </c>
      <c r="B8" s="136">
        <v>78220.44</v>
      </c>
      <c r="C8" s="136">
        <v>75148.831000000006</v>
      </c>
      <c r="D8" s="135">
        <v>7474.8230000000003</v>
      </c>
      <c r="E8" s="135">
        <v>4403.2139999999999</v>
      </c>
    </row>
    <row r="9" spans="1:7" ht="15" customHeight="1" x14ac:dyDescent="0.2">
      <c r="A9" s="59" t="s">
        <v>141</v>
      </c>
      <c r="B9" s="136">
        <v>203879.76</v>
      </c>
      <c r="C9" s="136">
        <v>183181.40400000001</v>
      </c>
      <c r="D9" s="135">
        <v>139054.242</v>
      </c>
      <c r="E9" s="135">
        <v>118355.886</v>
      </c>
      <c r="G9" s="52"/>
    </row>
    <row r="10" spans="1:7" ht="15" customHeight="1" x14ac:dyDescent="0.2">
      <c r="A10" s="59" t="s">
        <v>142</v>
      </c>
      <c r="B10" s="136">
        <v>28649.475999999999</v>
      </c>
      <c r="C10" s="136">
        <v>29349.403999999999</v>
      </c>
      <c r="D10" s="74">
        <v>38.939</v>
      </c>
      <c r="E10" s="74">
        <v>738.86699999999996</v>
      </c>
    </row>
    <row r="11" spans="1:7" ht="15" customHeight="1" x14ac:dyDescent="0.2">
      <c r="A11" s="59" t="s">
        <v>83</v>
      </c>
      <c r="B11" s="136">
        <v>5986.1239999999998</v>
      </c>
      <c r="C11" s="136">
        <v>5840.98</v>
      </c>
      <c r="D11" s="135">
        <v>1195.5840000000001</v>
      </c>
      <c r="E11" s="135">
        <v>1050.44</v>
      </c>
    </row>
    <row r="12" spans="1:7" ht="15" customHeight="1" x14ac:dyDescent="0.2">
      <c r="A12" s="74" t="s">
        <v>10</v>
      </c>
      <c r="B12" s="135">
        <f>SUM(B7:B11)</f>
        <v>323706.04000000004</v>
      </c>
      <c r="C12" s="135">
        <f>SUM(C7:C11)</f>
        <v>300212.51899999997</v>
      </c>
      <c r="D12" s="135">
        <f>SUM(D7:D11)</f>
        <v>148331.40900000001</v>
      </c>
      <c r="E12" s="135">
        <f>SUM(E7:E11)</f>
        <v>124837.88800000001</v>
      </c>
    </row>
    <row r="13" spans="1:7" ht="15" customHeight="1" x14ac:dyDescent="0.2">
      <c r="G13" s="52"/>
    </row>
    <row r="14" spans="1:7" ht="15" customHeight="1" x14ac:dyDescent="0.2">
      <c r="A14" s="56" t="s">
        <v>144</v>
      </c>
      <c r="B14" s="122"/>
    </row>
    <row r="15" spans="1:7" ht="15" customHeight="1" x14ac:dyDescent="0.2">
      <c r="A15" s="3" t="s">
        <v>247</v>
      </c>
      <c r="B15" s="9" t="s">
        <v>251</v>
      </c>
    </row>
    <row r="16" spans="1:7" ht="15" customHeight="1" x14ac:dyDescent="0.2">
      <c r="A16" s="3" t="s">
        <v>250</v>
      </c>
      <c r="B16" s="9" t="s">
        <v>145</v>
      </c>
    </row>
    <row r="17" spans="1:13" ht="15" customHeight="1" x14ac:dyDescent="0.2">
      <c r="A17" s="3"/>
      <c r="B17" s="76"/>
    </row>
    <row r="18" spans="1:13" ht="15" customHeight="1" x14ac:dyDescent="0.2">
      <c r="A18" s="149" t="s">
        <v>252</v>
      </c>
      <c r="B18" s="149"/>
    </row>
    <row r="19" spans="1:13" ht="15" customHeight="1" x14ac:dyDescent="0.2">
      <c r="A19" s="3" t="s">
        <v>143</v>
      </c>
      <c r="B19" s="9">
        <v>50</v>
      </c>
    </row>
    <row r="20" spans="1:13" ht="15" customHeight="1" x14ac:dyDescent="0.2">
      <c r="B20" s="33"/>
      <c r="C20" s="77"/>
    </row>
    <row r="21" spans="1:13" ht="15" customHeight="1" x14ac:dyDescent="0.2">
      <c r="A21" s="96" t="s">
        <v>246</v>
      </c>
      <c r="B21" s="50"/>
      <c r="C21" s="94" t="s">
        <v>245</v>
      </c>
      <c r="D21" s="10"/>
      <c r="E21" s="10"/>
      <c r="F21" s="53"/>
      <c r="G21" s="101"/>
      <c r="L21" s="10"/>
      <c r="M21" s="10"/>
    </row>
    <row r="22" spans="1:13" ht="15" customHeight="1" x14ac:dyDescent="0.2">
      <c r="A22" s="2" t="s">
        <v>47</v>
      </c>
      <c r="B22" s="2" t="s">
        <v>48</v>
      </c>
      <c r="C22" s="97">
        <v>60000</v>
      </c>
      <c r="D22" s="3"/>
      <c r="E22" s="128"/>
      <c r="F22" s="53"/>
      <c r="G22" s="101"/>
      <c r="L22" s="2"/>
      <c r="M22" s="2"/>
    </row>
    <row r="23" spans="1:13" ht="15" customHeight="1" x14ac:dyDescent="0.2">
      <c r="A23" s="2" t="s">
        <v>49</v>
      </c>
      <c r="B23" s="2" t="s">
        <v>48</v>
      </c>
      <c r="C23" s="97">
        <v>53000</v>
      </c>
      <c r="D23" s="3"/>
      <c r="E23" s="128"/>
      <c r="F23" s="53"/>
      <c r="G23" s="101"/>
      <c r="L23" s="2"/>
      <c r="M23" s="2"/>
    </row>
    <row r="24" spans="1:13" ht="15" customHeight="1" x14ac:dyDescent="0.2">
      <c r="A24" s="2" t="s">
        <v>50</v>
      </c>
      <c r="B24" s="2" t="s">
        <v>48</v>
      </c>
      <c r="C24" s="97">
        <v>19200</v>
      </c>
      <c r="D24" s="3"/>
      <c r="E24" s="128"/>
      <c r="F24" s="53"/>
      <c r="G24" s="101"/>
      <c r="L24" s="2"/>
      <c r="M24" s="2"/>
    </row>
    <row r="25" spans="1:13" ht="15" customHeight="1" x14ac:dyDescent="0.2">
      <c r="A25" s="2" t="s">
        <v>51</v>
      </c>
      <c r="B25" s="2" t="s">
        <v>48</v>
      </c>
      <c r="C25" s="97">
        <v>16500</v>
      </c>
      <c r="D25" s="3"/>
      <c r="E25" s="128"/>
      <c r="F25" s="53"/>
      <c r="G25" s="101"/>
      <c r="L25" s="2"/>
      <c r="M25" s="2"/>
    </row>
    <row r="26" spans="1:13" ht="15" customHeight="1" x14ac:dyDescent="0.2">
      <c r="A26" s="2" t="s">
        <v>52</v>
      </c>
      <c r="B26" s="2" t="s">
        <v>48</v>
      </c>
      <c r="C26" s="97">
        <v>16000</v>
      </c>
      <c r="D26" s="3"/>
      <c r="E26" s="128"/>
      <c r="F26" s="53"/>
      <c r="G26" s="101"/>
      <c r="L26" s="97"/>
      <c r="M26" s="2"/>
    </row>
    <row r="27" spans="1:13" ht="15" customHeight="1" x14ac:dyDescent="0.2">
      <c r="A27" s="2" t="s">
        <v>53</v>
      </c>
      <c r="B27" s="2" t="s">
        <v>48</v>
      </c>
      <c r="C27" s="97">
        <v>16000</v>
      </c>
      <c r="D27" s="3"/>
      <c r="E27" s="128"/>
      <c r="F27" s="53"/>
      <c r="G27" s="101"/>
      <c r="L27" s="97"/>
      <c r="M27" s="2"/>
    </row>
    <row r="28" spans="1:13" ht="15" customHeight="1" x14ac:dyDescent="0.2">
      <c r="A28" s="2" t="s">
        <v>54</v>
      </c>
      <c r="B28" s="2" t="s">
        <v>48</v>
      </c>
      <c r="C28" s="97">
        <v>7500</v>
      </c>
      <c r="D28" s="3"/>
      <c r="E28" s="128"/>
      <c r="F28" s="53"/>
      <c r="G28" s="101"/>
      <c r="L28" s="2"/>
      <c r="M28" s="2"/>
    </row>
    <row r="29" spans="1:13" ht="15" customHeight="1" x14ac:dyDescent="0.2">
      <c r="A29" s="2" t="s">
        <v>55</v>
      </c>
      <c r="B29" s="2" t="s">
        <v>48</v>
      </c>
      <c r="C29" s="97">
        <v>7500</v>
      </c>
      <c r="D29" s="3"/>
      <c r="E29" s="128"/>
      <c r="F29" s="53"/>
      <c r="G29" s="101"/>
      <c r="L29" s="2"/>
      <c r="M29" s="2"/>
    </row>
    <row r="30" spans="1:13" ht="15" customHeight="1" x14ac:dyDescent="0.2">
      <c r="A30" s="2" t="s">
        <v>56</v>
      </c>
      <c r="B30" s="2" t="s">
        <v>48</v>
      </c>
      <c r="C30" s="97">
        <v>6500</v>
      </c>
      <c r="D30" s="3"/>
      <c r="E30" s="128"/>
      <c r="F30" s="53"/>
      <c r="G30" s="101"/>
      <c r="L30" s="2"/>
      <c r="M30" s="2"/>
    </row>
    <row r="31" spans="1:13" ht="15" customHeight="1" x14ac:dyDescent="0.2">
      <c r="A31" s="2" t="s">
        <v>57</v>
      </c>
      <c r="B31" s="2" t="s">
        <v>48</v>
      </c>
      <c r="C31" s="97">
        <v>6000</v>
      </c>
      <c r="D31" s="3"/>
      <c r="E31" s="128"/>
      <c r="F31" s="53"/>
      <c r="G31" s="101"/>
      <c r="L31" s="2"/>
      <c r="M31" s="2"/>
    </row>
    <row r="32" spans="1:13" ht="15" customHeight="1" x14ac:dyDescent="0.2">
      <c r="A32" s="2" t="s">
        <v>58</v>
      </c>
      <c r="B32" s="2" t="s">
        <v>48</v>
      </c>
      <c r="C32" s="97">
        <v>6000</v>
      </c>
      <c r="D32" s="3"/>
      <c r="E32" s="128"/>
      <c r="F32" s="53"/>
      <c r="G32" s="101"/>
      <c r="L32" s="2"/>
      <c r="M32" s="2"/>
    </row>
    <row r="33" spans="1:13" ht="15" customHeight="1" x14ac:dyDescent="0.2">
      <c r="A33" s="2" t="s">
        <v>59</v>
      </c>
      <c r="B33" s="2" t="s">
        <v>48</v>
      </c>
      <c r="C33" s="97">
        <v>5500</v>
      </c>
      <c r="D33" s="3"/>
      <c r="E33" s="128"/>
      <c r="F33" s="53"/>
      <c r="G33" s="101"/>
      <c r="L33" s="2"/>
      <c r="M33" s="2"/>
    </row>
    <row r="34" spans="1:13" ht="15" customHeight="1" x14ac:dyDescent="0.2">
      <c r="A34" s="2" t="s">
        <v>60</v>
      </c>
      <c r="B34" s="2" t="s">
        <v>48</v>
      </c>
      <c r="C34" s="97">
        <v>5000</v>
      </c>
      <c r="D34" s="3"/>
      <c r="E34" s="128"/>
      <c r="F34" s="53"/>
      <c r="G34" s="101"/>
      <c r="L34" s="2"/>
      <c r="M34" s="2"/>
    </row>
    <row r="35" spans="1:13" ht="15" customHeight="1" x14ac:dyDescent="0.2">
      <c r="A35" s="2" t="s">
        <v>61</v>
      </c>
      <c r="B35" s="2" t="s">
        <v>48</v>
      </c>
      <c r="C35" s="97">
        <v>2142</v>
      </c>
      <c r="D35" s="3"/>
      <c r="E35" s="128"/>
      <c r="F35" s="53"/>
      <c r="G35" s="101"/>
      <c r="L35" s="2"/>
      <c r="M35" s="2"/>
    </row>
    <row r="37" spans="1:13" ht="15" customHeight="1" x14ac:dyDescent="0.25">
      <c r="G37" s="111"/>
      <c r="H37" s="111"/>
    </row>
    <row r="38" spans="1:13" ht="15" customHeight="1" x14ac:dyDescent="0.25">
      <c r="D38" s="57"/>
      <c r="E38" s="103"/>
      <c r="F38" s="105"/>
      <c r="G38" s="104"/>
      <c r="H38" s="101"/>
      <c r="I38" s="58"/>
      <c r="J38" s="101"/>
    </row>
    <row r="39" spans="1:13" ht="15" customHeight="1" x14ac:dyDescent="0.25">
      <c r="D39" s="57"/>
      <c r="E39" s="103"/>
      <c r="F39" s="105"/>
      <c r="G39" s="104"/>
      <c r="H39" s="101"/>
      <c r="I39" s="58"/>
      <c r="J39" s="101"/>
    </row>
    <row r="40" spans="1:13" ht="15" customHeight="1" x14ac:dyDescent="0.25">
      <c r="A40" s="2"/>
      <c r="B40" s="2"/>
      <c r="D40" s="57"/>
      <c r="E40" s="103"/>
      <c r="F40" s="105"/>
      <c r="G40" s="104"/>
      <c r="H40" s="101"/>
      <c r="I40" s="58"/>
      <c r="J40" s="101"/>
    </row>
    <row r="41" spans="1:13" ht="15" customHeight="1" x14ac:dyDescent="0.25">
      <c r="A41" s="2"/>
      <c r="B41" s="2"/>
      <c r="D41" s="57"/>
      <c r="E41" s="103"/>
      <c r="F41" s="105"/>
      <c r="G41" s="104"/>
      <c r="H41" s="101"/>
      <c r="I41" s="58"/>
      <c r="J41" s="101"/>
    </row>
    <row r="42" spans="1:13" ht="15" customHeight="1" x14ac:dyDescent="0.25">
      <c r="D42" s="57"/>
      <c r="E42" s="103"/>
      <c r="F42" s="105"/>
      <c r="G42" s="104"/>
      <c r="H42" s="101"/>
      <c r="I42" s="58"/>
      <c r="J42" s="101"/>
    </row>
    <row r="43" spans="1:13" ht="15" customHeight="1" x14ac:dyDescent="0.2">
      <c r="D43" s="101"/>
      <c r="E43" s="101"/>
      <c r="F43" s="101"/>
      <c r="G43" s="101"/>
      <c r="H43" s="101"/>
      <c r="I43" s="101"/>
      <c r="J43" s="101"/>
    </row>
    <row r="44" spans="1:13" ht="15" customHeight="1" x14ac:dyDescent="0.2">
      <c r="D44" s="101"/>
      <c r="E44" s="101"/>
      <c r="F44" s="101"/>
      <c r="G44" s="53"/>
      <c r="H44" s="101"/>
      <c r="I44" s="101"/>
      <c r="J44" s="101"/>
    </row>
    <row r="45" spans="1:13" ht="15" customHeight="1" x14ac:dyDescent="0.2">
      <c r="D45" s="101"/>
      <c r="E45" s="101"/>
      <c r="F45" s="101"/>
      <c r="G45" s="58"/>
      <c r="H45" s="101"/>
      <c r="I45" s="101"/>
      <c r="J45" s="101"/>
    </row>
    <row r="46" spans="1:13" ht="15" customHeight="1" x14ac:dyDescent="0.25">
      <c r="A46" s="105"/>
      <c r="B46" s="107"/>
      <c r="C46" s="107"/>
      <c r="E46" s="11"/>
      <c r="F46" s="101"/>
      <c r="G46" s="58"/>
    </row>
    <row r="47" spans="1:13" ht="15" customHeight="1" x14ac:dyDescent="0.25">
      <c r="A47" s="105"/>
      <c r="B47" s="107"/>
      <c r="C47" s="107"/>
      <c r="E47" s="11"/>
      <c r="F47" s="101"/>
      <c r="G47" s="58"/>
    </row>
    <row r="48" spans="1:13" ht="15" customHeight="1" x14ac:dyDescent="0.25">
      <c r="A48" s="105"/>
      <c r="B48" s="107"/>
      <c r="C48" s="107"/>
      <c r="E48" s="11"/>
      <c r="F48" s="101"/>
      <c r="G48" s="58"/>
    </row>
    <row r="49" spans="1:7" ht="15" customHeight="1" x14ac:dyDescent="0.25">
      <c r="A49" s="105"/>
      <c r="B49" s="107"/>
      <c r="C49" s="107"/>
      <c r="E49" s="11"/>
      <c r="F49" s="101"/>
      <c r="G49" s="58"/>
    </row>
    <row r="50" spans="1:7" ht="15" customHeight="1" x14ac:dyDescent="0.25">
      <c r="A50" s="105"/>
      <c r="B50" s="107"/>
      <c r="C50" s="107"/>
      <c r="E50" s="11"/>
      <c r="F50" s="101"/>
      <c r="G50" s="58"/>
    </row>
    <row r="51" spans="1:7" ht="15" customHeight="1" x14ac:dyDescent="0.25">
      <c r="A51" s="105"/>
      <c r="B51" s="107"/>
      <c r="C51" s="107"/>
      <c r="E51" s="11"/>
      <c r="F51" s="101"/>
      <c r="G51" s="58"/>
    </row>
    <row r="52" spans="1:7" ht="15" customHeight="1" x14ac:dyDescent="0.25">
      <c r="A52" s="105"/>
      <c r="B52" s="107"/>
      <c r="C52" s="107"/>
      <c r="E52" s="3"/>
      <c r="F52" s="101"/>
      <c r="G52" s="58"/>
    </row>
    <row r="53" spans="1:7" ht="15" customHeight="1" x14ac:dyDescent="0.25">
      <c r="A53" s="105"/>
      <c r="B53" s="107"/>
      <c r="C53" s="107"/>
      <c r="E53" s="11"/>
      <c r="F53" s="101"/>
      <c r="G53" s="58"/>
    </row>
    <row r="54" spans="1:7" ht="15" customHeight="1" x14ac:dyDescent="0.25">
      <c r="A54" s="105"/>
      <c r="B54" s="107"/>
      <c r="C54" s="107"/>
      <c r="E54" s="11"/>
      <c r="F54" s="101"/>
      <c r="G54" s="58"/>
    </row>
    <row r="55" spans="1:7" ht="15" customHeight="1" x14ac:dyDescent="0.25">
      <c r="A55" s="105"/>
      <c r="B55" s="107"/>
      <c r="C55" s="107"/>
      <c r="E55" s="11"/>
      <c r="F55" s="101"/>
      <c r="G55" s="58"/>
    </row>
    <row r="56" spans="1:7" ht="15" customHeight="1" x14ac:dyDescent="0.25">
      <c r="A56" s="105"/>
      <c r="B56" s="107"/>
      <c r="C56" s="107"/>
      <c r="E56" s="11"/>
      <c r="F56" s="101"/>
      <c r="G56" s="58"/>
    </row>
    <row r="57" spans="1:7" ht="15" customHeight="1" x14ac:dyDescent="0.25">
      <c r="A57" s="105"/>
      <c r="B57" s="107"/>
      <c r="C57" s="107"/>
      <c r="E57" s="11"/>
      <c r="F57" s="101"/>
      <c r="G57" s="58"/>
    </row>
    <row r="58" spans="1:7" ht="15" customHeight="1" x14ac:dyDescent="0.25">
      <c r="A58" s="105"/>
      <c r="B58" s="107"/>
      <c r="C58" s="107"/>
      <c r="E58" s="11"/>
      <c r="F58" s="101"/>
      <c r="G58" s="58"/>
    </row>
    <row r="59" spans="1:7" ht="15" customHeight="1" x14ac:dyDescent="0.25">
      <c r="A59" s="105"/>
      <c r="B59" s="107"/>
      <c r="C59" s="107"/>
      <c r="E59" s="11"/>
      <c r="F59" s="101"/>
      <c r="G59" s="58"/>
    </row>
    <row r="60" spans="1:7" ht="15" customHeight="1" x14ac:dyDescent="0.25">
      <c r="A60" s="105"/>
      <c r="B60" s="107"/>
      <c r="C60" s="107"/>
      <c r="E60" s="11"/>
      <c r="F60" s="101"/>
      <c r="G60" s="58"/>
    </row>
    <row r="61" spans="1:7" ht="15" customHeight="1" x14ac:dyDescent="0.2">
      <c r="C61" s="108"/>
    </row>
    <row r="62" spans="1:7" ht="15" customHeight="1" x14ac:dyDescent="0.2">
      <c r="A62" s="101"/>
      <c r="B62" s="101"/>
      <c r="C62" s="102"/>
      <c r="D62" s="10"/>
    </row>
    <row r="63" spans="1:7" ht="15" customHeight="1" x14ac:dyDescent="0.2">
      <c r="A63" s="101"/>
      <c r="B63" s="51"/>
      <c r="C63" s="10"/>
      <c r="D63" s="106"/>
    </row>
    <row r="64" spans="1:7" ht="15" customHeight="1" x14ac:dyDescent="0.2">
      <c r="A64" s="101"/>
      <c r="B64" s="10"/>
      <c r="C64" s="10"/>
      <c r="D64" s="106"/>
    </row>
    <row r="65" spans="1:4" ht="15" customHeight="1" x14ac:dyDescent="0.2">
      <c r="A65" s="101"/>
      <c r="B65" s="10"/>
      <c r="C65" s="10"/>
      <c r="D65" s="106"/>
    </row>
    <row r="66" spans="1:4" ht="15" customHeight="1" x14ac:dyDescent="0.2">
      <c r="A66" s="101"/>
      <c r="B66" s="10"/>
      <c r="C66" s="10"/>
      <c r="D66" s="106"/>
    </row>
    <row r="67" spans="1:4" ht="15" customHeight="1" x14ac:dyDescent="0.2">
      <c r="A67" s="101"/>
      <c r="B67" s="10"/>
      <c r="C67" s="22"/>
      <c r="D67" s="10"/>
    </row>
    <row r="68" spans="1:4" ht="15" customHeight="1" x14ac:dyDescent="0.2">
      <c r="A68" s="101"/>
      <c r="B68" s="10"/>
      <c r="C68" s="22"/>
      <c r="D68" s="10"/>
    </row>
    <row r="69" spans="1:4" ht="15" customHeight="1" x14ac:dyDescent="0.2">
      <c r="A69" s="101"/>
      <c r="B69" s="10"/>
      <c r="C69" s="22"/>
      <c r="D69" s="10"/>
    </row>
    <row r="70" spans="1:4" ht="15" customHeight="1" x14ac:dyDescent="0.2">
      <c r="A70" s="101"/>
      <c r="B70" s="10"/>
      <c r="C70" s="22"/>
      <c r="D70" s="10"/>
    </row>
    <row r="71" spans="1:4" ht="15" customHeight="1" x14ac:dyDescent="0.2">
      <c r="A71" s="101"/>
      <c r="B71" s="10"/>
      <c r="C71" s="22"/>
      <c r="D71" s="10"/>
    </row>
    <row r="72" spans="1:4" ht="15" customHeight="1" x14ac:dyDescent="0.2">
      <c r="A72" s="101"/>
      <c r="B72" s="10"/>
      <c r="C72" s="22"/>
      <c r="D72" s="10"/>
    </row>
    <row r="73" spans="1:4" ht="15" customHeight="1" x14ac:dyDescent="0.2">
      <c r="A73" s="101"/>
      <c r="B73" s="10"/>
      <c r="C73" s="22"/>
      <c r="D73" s="10"/>
    </row>
    <row r="74" spans="1:4" ht="15" customHeight="1" x14ac:dyDescent="0.2">
      <c r="A74" s="101"/>
      <c r="B74" s="10"/>
      <c r="C74" s="22"/>
      <c r="D74" s="10"/>
    </row>
    <row r="75" spans="1:4" ht="15" customHeight="1" x14ac:dyDescent="0.2">
      <c r="A75" s="101"/>
      <c r="B75" s="10"/>
      <c r="C75" s="22"/>
      <c r="D75" s="10"/>
    </row>
    <row r="76" spans="1:4" ht="15" customHeight="1" x14ac:dyDescent="0.2">
      <c r="A76" s="101"/>
      <c r="B76" s="10"/>
      <c r="C76" s="22"/>
      <c r="D76" s="10"/>
    </row>
    <row r="77" spans="1:4" ht="15" customHeight="1" x14ac:dyDescent="0.2">
      <c r="A77" s="101"/>
      <c r="B77" s="10"/>
      <c r="C77" s="22"/>
      <c r="D77" s="10"/>
    </row>
  </sheetData>
  <sheetProtection password="B056" sheet="1" objects="1" scenarios="1"/>
  <mergeCells count="6">
    <mergeCell ref="A18:B18"/>
    <mergeCell ref="A2:B2"/>
    <mergeCell ref="A5:A6"/>
    <mergeCell ref="E5:E6"/>
    <mergeCell ref="D5:D6"/>
    <mergeCell ref="B5:B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7"/>
  <sheetViews>
    <sheetView workbookViewId="0">
      <selection activeCell="I19" sqref="I19"/>
    </sheetView>
  </sheetViews>
  <sheetFormatPr defaultRowHeight="15" customHeight="1" x14ac:dyDescent="0.2"/>
  <cols>
    <col min="1" max="1" width="22.28515625" style="1" customWidth="1"/>
    <col min="2" max="2" width="13.7109375" style="1" customWidth="1"/>
    <col min="3" max="3" width="20.42578125" style="1" customWidth="1"/>
    <col min="4" max="5" width="13.7109375" style="1" customWidth="1"/>
    <col min="6" max="6" width="13.42578125" style="1" customWidth="1"/>
    <col min="7" max="7" width="13.7109375" style="1" customWidth="1"/>
    <col min="8" max="8" width="16.140625" style="1" customWidth="1"/>
    <col min="9" max="14" width="8.7109375" style="1" customWidth="1"/>
    <col min="15" max="15" width="10.42578125" style="1" bestFit="1" customWidth="1"/>
    <col min="16" max="16384" width="9.140625" style="1"/>
  </cols>
  <sheetData>
    <row r="1" spans="1:15" ht="15" customHeight="1" x14ac:dyDescent="0.2">
      <c r="A1" s="181" t="s">
        <v>0</v>
      </c>
      <c r="B1" s="181" t="s">
        <v>19</v>
      </c>
      <c r="C1" s="181" t="s">
        <v>20</v>
      </c>
      <c r="D1" s="171" t="s">
        <v>257</v>
      </c>
      <c r="E1" s="171" t="s">
        <v>258</v>
      </c>
      <c r="F1" s="181" t="s">
        <v>21</v>
      </c>
      <c r="G1" s="181" t="s">
        <v>22</v>
      </c>
      <c r="H1" s="183" t="s">
        <v>11</v>
      </c>
      <c r="I1" s="179" t="s">
        <v>1</v>
      </c>
      <c r="J1" s="180"/>
      <c r="K1" s="180"/>
      <c r="L1" s="180"/>
      <c r="M1" s="180"/>
      <c r="N1" s="180"/>
      <c r="O1" s="180"/>
    </row>
    <row r="2" spans="1:15" ht="15" customHeight="1" x14ac:dyDescent="0.2">
      <c r="A2" s="182"/>
      <c r="B2" s="182"/>
      <c r="C2" s="182"/>
      <c r="D2" s="171"/>
      <c r="E2" s="171"/>
      <c r="F2" s="182"/>
      <c r="G2" s="182"/>
      <c r="H2" s="184"/>
      <c r="I2" s="8" t="s">
        <v>2</v>
      </c>
      <c r="J2" s="8" t="s">
        <v>4</v>
      </c>
      <c r="K2" s="8" t="s">
        <v>23</v>
      </c>
      <c r="L2" s="8" t="s">
        <v>7</v>
      </c>
      <c r="M2" s="8" t="s">
        <v>8</v>
      </c>
      <c r="N2" s="8" t="s">
        <v>6</v>
      </c>
      <c r="O2" s="8" t="s">
        <v>255</v>
      </c>
    </row>
    <row r="3" spans="1:15" ht="15" customHeight="1" x14ac:dyDescent="0.2">
      <c r="A3" s="3" t="s">
        <v>31</v>
      </c>
      <c r="B3" s="22">
        <v>137</v>
      </c>
      <c r="C3" s="3" t="s">
        <v>119</v>
      </c>
      <c r="D3" s="98">
        <v>-20.189941000000001</v>
      </c>
      <c r="E3" s="98">
        <v>-40.250172999999997</v>
      </c>
      <c r="F3" s="10">
        <v>1</v>
      </c>
      <c r="G3" s="14">
        <f>6480/365</f>
        <v>17.753424657534246</v>
      </c>
      <c r="H3" s="14" t="s">
        <v>9</v>
      </c>
      <c r="I3" s="23">
        <f>(INDEX(FE_Equip,MATCH($C3,Pot_Equip,0),2))*F3*G3/(24)</f>
        <v>2.579700639322165E-2</v>
      </c>
      <c r="J3" s="23">
        <f>I3</f>
        <v>2.579700639322165E-2</v>
      </c>
      <c r="K3" s="23">
        <f>I3</f>
        <v>2.579700639322165E-2</v>
      </c>
      <c r="L3" s="23">
        <f>(INDEX(FE_Equip,MATCH($C3,Pot_Equip,0),3))*F3*G3/(24)</f>
        <v>0.46468860089539127</v>
      </c>
      <c r="M3" s="146">
        <f>(INDEX(FE_Equip,MATCH($C3,Pot_Equip,0),4))*F3*G3/(24)</f>
        <v>4.0137511158304037E-4</v>
      </c>
      <c r="N3" s="23">
        <f>(INDEX(FE_Equip,MATCH($C3,Pot_Equip,0),5))*F3*G3/(24)</f>
        <v>0.21558341338265227</v>
      </c>
      <c r="O3" s="23">
        <f>(INDEX(FE_Equip,MATCH($C3,Pot_Equip,0),6))*F3*G3/(24)</f>
        <v>5.9035307627463673E-2</v>
      </c>
    </row>
    <row r="4" spans="1:15" ht="15" customHeight="1" x14ac:dyDescent="0.2">
      <c r="A4" s="3" t="s">
        <v>31</v>
      </c>
      <c r="B4" s="22">
        <v>170</v>
      </c>
      <c r="C4" s="3" t="s">
        <v>119</v>
      </c>
      <c r="D4" s="98">
        <v>-20.189941000000001</v>
      </c>
      <c r="E4" s="98">
        <v>-40.250172999999997</v>
      </c>
      <c r="F4" s="10">
        <v>1</v>
      </c>
      <c r="G4" s="14">
        <f>360/365</f>
        <v>0.98630136986301364</v>
      </c>
      <c r="H4" s="14" t="s">
        <v>9</v>
      </c>
      <c r="I4" s="23">
        <f>(INDEX(FE_Equip,MATCH($C4,Pot_Equip,0),2))*F4*G4/(24)</f>
        <v>1.4331670218456474E-3</v>
      </c>
      <c r="J4" s="23">
        <f>I4</f>
        <v>1.4331670218456474E-3</v>
      </c>
      <c r="K4" s="23">
        <f>I4</f>
        <v>1.4331670218456474E-3</v>
      </c>
      <c r="L4" s="23">
        <f>(INDEX(FE_Equip,MATCH($C4,Pot_Equip,0),3))*F4*G4/(24)</f>
        <v>2.5816033383077294E-2</v>
      </c>
      <c r="M4" s="146">
        <f>(INDEX(FE_Equip,MATCH($C4,Pot_Equip,0),4))*F4*G4/(24)</f>
        <v>2.2298617310168907E-5</v>
      </c>
      <c r="N4" s="23">
        <f>(INDEX(FE_Equip,MATCH($C4,Pot_Equip,0),5))*F4*G4/(24)</f>
        <v>1.1976856299036236E-2</v>
      </c>
      <c r="O4" s="23">
        <f>(INDEX(FE_Equip,MATCH($C4,Pot_Equip,0),6))*F4*G4/(24)</f>
        <v>3.2797393126368702E-3</v>
      </c>
    </row>
    <row r="5" spans="1:15" ht="15" customHeight="1" x14ac:dyDescent="0.2">
      <c r="A5" s="3" t="s">
        <v>248</v>
      </c>
      <c r="B5" s="120" t="s">
        <v>9</v>
      </c>
      <c r="C5" s="120" t="s">
        <v>9</v>
      </c>
      <c r="D5" s="98">
        <v>-20.189941000000001</v>
      </c>
      <c r="E5" s="98">
        <v>-40.250172999999997</v>
      </c>
      <c r="F5" s="120">
        <v>2</v>
      </c>
      <c r="G5" s="119" t="s">
        <v>9</v>
      </c>
      <c r="H5" s="123">
        <f>(65*20/$B$9)/8760</f>
        <v>5.9360730593607303E-2</v>
      </c>
      <c r="I5" s="147">
        <f>0.7*('FE-Combustão'!$B$8*'FE-Combustão'!$B$18*H5)+0.3*('FE-Combustão'!$C$8*'FE-Combustão'!$B$18*H5)</f>
        <v>5.4769783561643831E-3</v>
      </c>
      <c r="J5" s="147">
        <f>I5</f>
        <v>5.4769783561643831E-3</v>
      </c>
      <c r="K5" s="147">
        <f>I5</f>
        <v>5.4769783561643831E-3</v>
      </c>
      <c r="L5" s="147">
        <f>0.7*('FE-Combustão'!$B$10*'FE-Combustão'!$B$18*H5)+0.3*('FE-Combustão'!$C$10*'FE-Combustão'!$B$18*H5)</f>
        <v>0.10242660821917807</v>
      </c>
      <c r="M5" s="148">
        <f>0.7*(0.09*'FE-Combustão'!$B$18*'FE-Combustão'!$B$17*'FE-Combustão'!$B$19*H5)+0.3*(0.1*'FE-Combustão'!$B$18*'FE-Combustão'!$B$17*'FE-Combustão'!$B$19*H5)</f>
        <v>1.0406799461589039E-4</v>
      </c>
      <c r="N5" s="147">
        <f>0.7*('FE-Combustão'!$B$13*'FE-Combustão'!$B$18*H5)+0.3*('FE-Combustão'!$C$13*'FE-Combustão'!$B$18*H5)</f>
        <v>5.7828355890410951E-2</v>
      </c>
      <c r="O5" s="147">
        <f>0.7*('FE-Combustão'!$B$14*'FE-Combustão'!$B$18*H5)+0.3*('FE-Combustão'!$C$14*'FE-Combustão'!$B$18*H5)</f>
        <v>7.6108660273972589E-3</v>
      </c>
    </row>
    <row r="6" spans="1:15" ht="15" customHeight="1" x14ac:dyDescent="0.2">
      <c r="A6" s="3" t="s">
        <v>248</v>
      </c>
      <c r="B6" s="120" t="s">
        <v>9</v>
      </c>
      <c r="C6" s="120" t="s">
        <v>9</v>
      </c>
      <c r="D6" s="98">
        <v>-20.189941000000001</v>
      </c>
      <c r="E6" s="98">
        <v>-40.250172999999997</v>
      </c>
      <c r="F6" s="120">
        <v>1</v>
      </c>
      <c r="G6" s="119" t="s">
        <v>9</v>
      </c>
      <c r="H6" s="123">
        <f>(5*20/$B$9)/8760</f>
        <v>4.5662100456621002E-3</v>
      </c>
      <c r="I6" s="147">
        <f>0.7*('FE-Combustão'!$B$8*'FE-Combustão'!$B$18*H6)+0.3*('FE-Combustão'!$C$8*'FE-Combustão'!$B$18*H6)</f>
        <v>4.2130602739726022E-4</v>
      </c>
      <c r="J6" s="147">
        <f>I6</f>
        <v>4.2130602739726022E-4</v>
      </c>
      <c r="K6" s="147">
        <f>I6</f>
        <v>4.2130602739726022E-4</v>
      </c>
      <c r="L6" s="147">
        <f>0.7*('FE-Combustão'!$B$10*'FE-Combustão'!$B$18*H6)+0.3*('FE-Combustão'!$C$10*'FE-Combustão'!$B$18*H6)</f>
        <v>7.8789698630136965E-3</v>
      </c>
      <c r="M6" s="148">
        <f>0.7*(0.09*'FE-Combustão'!$B$18*'FE-Combustão'!$B$17*'FE-Combustão'!$B$19*H6)+0.3*(0.1*'FE-Combustão'!$B$18*'FE-Combustão'!$B$17*'FE-Combustão'!$B$19*H6)</f>
        <v>8.0052303550684912E-6</v>
      </c>
      <c r="N6" s="147">
        <f>0.7*('FE-Combustão'!$B$13*'FE-Combustão'!$B$18*H6)+0.3*('FE-Combustão'!$C$13*'FE-Combustão'!$B$18*H6)</f>
        <v>4.4483350684931498E-3</v>
      </c>
      <c r="O6" s="147">
        <f>0.7*('FE-Combustão'!$B$14*'FE-Combustão'!$B$18*H6)+0.3*('FE-Combustão'!$C$14*'FE-Combustão'!$B$18*H6)</f>
        <v>5.8545123287671213E-4</v>
      </c>
    </row>
    <row r="7" spans="1:15" ht="15" customHeight="1" x14ac:dyDescent="0.2">
      <c r="A7" s="149" t="s">
        <v>10</v>
      </c>
      <c r="B7" s="149"/>
      <c r="C7" s="149"/>
      <c r="D7" s="149"/>
      <c r="E7" s="149"/>
      <c r="F7" s="149"/>
      <c r="G7" s="149"/>
      <c r="H7" s="116"/>
      <c r="I7" s="79">
        <f>SUM(I3:I6)</f>
        <v>3.3128457798628941E-2</v>
      </c>
      <c r="J7" s="79">
        <f t="shared" ref="J7:N7" si="0">SUM(J3:J6)</f>
        <v>3.3128457798628941E-2</v>
      </c>
      <c r="K7" s="79">
        <f t="shared" si="0"/>
        <v>3.3128457798628941E-2</v>
      </c>
      <c r="L7" s="79">
        <f t="shared" si="0"/>
        <v>0.60081021236066035</v>
      </c>
      <c r="M7" s="79">
        <f t="shared" si="0"/>
        <v>5.3574695386416824E-4</v>
      </c>
      <c r="N7" s="79">
        <f t="shared" si="0"/>
        <v>0.28983696064059261</v>
      </c>
      <c r="O7" s="79">
        <f>SUM(O3:O6)</f>
        <v>7.0511364200374529E-2</v>
      </c>
    </row>
    <row r="8" spans="1:15" ht="15" customHeight="1" x14ac:dyDescent="0.2">
      <c r="I8" s="66"/>
      <c r="J8" s="66"/>
      <c r="K8" s="21"/>
      <c r="L8" s="21"/>
      <c r="M8" s="21"/>
      <c r="N8" s="21"/>
      <c r="O8" s="21"/>
    </row>
    <row r="9" spans="1:15" ht="15" customHeight="1" x14ac:dyDescent="0.2">
      <c r="A9" s="121" t="s">
        <v>249</v>
      </c>
      <c r="B9" s="130">
        <v>2.5</v>
      </c>
      <c r="I9" s="66"/>
      <c r="J9" s="66"/>
    </row>
    <row r="11" spans="1:15" ht="15" customHeight="1" x14ac:dyDescent="0.2">
      <c r="A11" s="153" t="s">
        <v>25</v>
      </c>
      <c r="B11" s="188"/>
      <c r="C11" s="189"/>
      <c r="D11" s="190"/>
    </row>
    <row r="12" spans="1:15" ht="15" customHeight="1" x14ac:dyDescent="0.2">
      <c r="A12" s="154"/>
      <c r="B12" s="191"/>
      <c r="C12" s="192"/>
      <c r="D12" s="193"/>
    </row>
    <row r="13" spans="1:15" ht="15" customHeight="1" x14ac:dyDescent="0.2">
      <c r="A13" s="154"/>
      <c r="B13" s="194"/>
      <c r="C13" s="195"/>
      <c r="D13" s="196"/>
    </row>
    <row r="14" spans="1:15" ht="15" customHeight="1" x14ac:dyDescent="0.2">
      <c r="A14" s="154"/>
      <c r="B14" s="156" t="s">
        <v>26</v>
      </c>
      <c r="C14" s="164"/>
      <c r="D14" s="185"/>
    </row>
    <row r="15" spans="1:15" ht="15" customHeight="1" x14ac:dyDescent="0.2">
      <c r="A15" s="154"/>
      <c r="B15" s="157"/>
      <c r="C15" s="165"/>
      <c r="D15" s="186"/>
    </row>
    <row r="16" spans="1:15" ht="15" customHeight="1" x14ac:dyDescent="0.2">
      <c r="A16" s="154"/>
      <c r="B16" s="157"/>
      <c r="C16" s="165"/>
      <c r="D16" s="186"/>
    </row>
    <row r="17" spans="1:4" ht="15" customHeight="1" x14ac:dyDescent="0.2">
      <c r="A17" s="155"/>
      <c r="B17" s="158"/>
      <c r="C17" s="166"/>
      <c r="D17" s="187"/>
    </row>
  </sheetData>
  <sheetProtection password="B056" sheet="1" objects="1" scenarios="1"/>
  <mergeCells count="13">
    <mergeCell ref="A11:A17"/>
    <mergeCell ref="B14:D17"/>
    <mergeCell ref="B11:D13"/>
    <mergeCell ref="A7:G7"/>
    <mergeCell ref="G1:G2"/>
    <mergeCell ref="I1:O1"/>
    <mergeCell ref="A1:A2"/>
    <mergeCell ref="B1:B2"/>
    <mergeCell ref="C1:C2"/>
    <mergeCell ref="F1:F2"/>
    <mergeCell ref="D1:D2"/>
    <mergeCell ref="E1:E2"/>
    <mergeCell ref="H1:H2"/>
  </mergeCells>
  <dataValidations count="1">
    <dataValidation type="list" allowBlank="1" showInputMessage="1" showErrorMessage="1" sqref="C3:C4">
      <formula1>Pot_Equip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selection activeCell="M30" sqref="M30"/>
    </sheetView>
  </sheetViews>
  <sheetFormatPr defaultRowHeight="15" x14ac:dyDescent="0.25"/>
  <cols>
    <col min="1" max="1" width="21" bestFit="1" customWidth="1"/>
    <col min="9" max="14" width="13.5703125" customWidth="1"/>
    <col min="15" max="15" width="8.42578125" bestFit="1" customWidth="1"/>
  </cols>
  <sheetData>
    <row r="1" spans="1:9" x14ac:dyDescent="0.25">
      <c r="A1" s="197" t="s">
        <v>129</v>
      </c>
      <c r="B1" s="179" t="s">
        <v>1</v>
      </c>
      <c r="C1" s="180"/>
      <c r="D1" s="180"/>
      <c r="E1" s="180"/>
      <c r="F1" s="180"/>
      <c r="G1" s="180"/>
      <c r="H1" s="180"/>
    </row>
    <row r="2" spans="1:9" x14ac:dyDescent="0.25">
      <c r="A2" s="197"/>
      <c r="B2" s="8" t="s">
        <v>2</v>
      </c>
      <c r="C2" s="8" t="s">
        <v>4</v>
      </c>
      <c r="D2" s="8" t="s">
        <v>23</v>
      </c>
      <c r="E2" s="8" t="s">
        <v>7</v>
      </c>
      <c r="F2" s="8" t="s">
        <v>8</v>
      </c>
      <c r="G2" s="8" t="s">
        <v>6</v>
      </c>
      <c r="H2" s="8" t="s">
        <v>255</v>
      </c>
    </row>
    <row r="3" spans="1:9" x14ac:dyDescent="0.25">
      <c r="A3" s="2" t="s">
        <v>130</v>
      </c>
      <c r="B3" s="82">
        <f>'Emissão Transferências'!K25</f>
        <v>8.9582583073400265E-2</v>
      </c>
      <c r="C3" s="82">
        <f>'Emissão Transferências'!L25</f>
        <v>4.237014064282444E-2</v>
      </c>
      <c r="D3" s="82">
        <f>'Emissão Transferências'!M25</f>
        <v>6.4160498687705582E-3</v>
      </c>
      <c r="E3" s="130" t="s">
        <v>9</v>
      </c>
      <c r="F3" s="130" t="s">
        <v>9</v>
      </c>
      <c r="G3" s="130" t="s">
        <v>9</v>
      </c>
      <c r="H3" s="130" t="s">
        <v>9</v>
      </c>
    </row>
    <row r="4" spans="1:9" x14ac:dyDescent="0.25">
      <c r="A4" s="2" t="s">
        <v>131</v>
      </c>
      <c r="B4" s="82">
        <f>'Emissão Maq e Equip'!I7</f>
        <v>3.3128457798628941E-2</v>
      </c>
      <c r="C4" s="82">
        <f>'Emissão Maq e Equip'!J7</f>
        <v>3.3128457798628941E-2</v>
      </c>
      <c r="D4" s="82">
        <f>'Emissão Maq e Equip'!K7</f>
        <v>3.3128457798628941E-2</v>
      </c>
      <c r="E4" s="82">
        <f>'Emissão Maq e Equip'!L7</f>
        <v>0.60081021236066035</v>
      </c>
      <c r="F4" s="82">
        <f>'Emissão Maq e Equip'!M7</f>
        <v>5.3574695386416824E-4</v>
      </c>
      <c r="G4" s="82">
        <f>'Emissão Maq e Equip'!N7</f>
        <v>0.28983696064059261</v>
      </c>
      <c r="H4" s="82">
        <f>'Emissão Maq e Equip'!O7</f>
        <v>7.0511364200374529E-2</v>
      </c>
    </row>
    <row r="5" spans="1:9" x14ac:dyDescent="0.25">
      <c r="A5" s="2" t="s">
        <v>256</v>
      </c>
      <c r="B5" s="82">
        <f>'Emissão Chaminés'!J17</f>
        <v>5.4656153145722222</v>
      </c>
      <c r="C5" s="82">
        <f>'Emissão Chaminés'!K17</f>
        <v>4.7036981628113894</v>
      </c>
      <c r="D5" s="82">
        <f>'Emissão Chaminés'!L17</f>
        <v>1.9100019396883334</v>
      </c>
      <c r="E5" s="82">
        <f>'Emissão Chaminés'!M17</f>
        <v>20.969549999999998</v>
      </c>
      <c r="F5" s="82">
        <f>'Emissão Chaminés'!N17</f>
        <v>2.2385593754999995E-2</v>
      </c>
      <c r="G5" s="82">
        <f>'Emissão Chaminés'!O17</f>
        <v>11.907708749999998</v>
      </c>
      <c r="H5" s="82">
        <f>'Emissão Chaminés'!P17</f>
        <v>1.57271625</v>
      </c>
    </row>
    <row r="6" spans="1:9" x14ac:dyDescent="0.25">
      <c r="A6" s="2" t="s">
        <v>232</v>
      </c>
      <c r="B6" s="82">
        <f>'Emissão Vias'!AC5</f>
        <v>0.40429739679709975</v>
      </c>
      <c r="C6" s="82">
        <f>'Emissão Vias'!AD5</f>
        <v>7.7983621355524849E-2</v>
      </c>
      <c r="D6" s="82">
        <f>'Emissão Vias'!AE5</f>
        <v>1.9165575488437406E-2</v>
      </c>
      <c r="E6" s="82">
        <f>'Emissão Vias'!AF5</f>
        <v>1.0325576707803482E-2</v>
      </c>
      <c r="F6" s="82">
        <f>'Emissão Vias'!AG5</f>
        <v>3.9961056997170173E-4</v>
      </c>
      <c r="G6" s="82">
        <f>'Emissão Vias'!AH5</f>
        <v>1.9729087142572382E-3</v>
      </c>
      <c r="H6" s="82">
        <f>'Emissão Vias'!AI5</f>
        <v>4.7056047223213287E-4</v>
      </c>
    </row>
    <row r="7" spans="1:9" x14ac:dyDescent="0.25">
      <c r="A7" s="2" t="s">
        <v>132</v>
      </c>
      <c r="B7" s="134">
        <f>'[1]TE - Total'!$L$4</f>
        <v>0.62977917735638433</v>
      </c>
      <c r="C7" s="134">
        <f>'[1]TE - Total'!$O$4</f>
        <v>0.31488958867819217</v>
      </c>
      <c r="D7" s="134">
        <f>'[1]TE - Total'!$R$4</f>
        <v>4.7233438301728825E-2</v>
      </c>
      <c r="E7" s="130" t="s">
        <v>9</v>
      </c>
      <c r="F7" s="130" t="s">
        <v>9</v>
      </c>
      <c r="G7" s="130" t="s">
        <v>9</v>
      </c>
      <c r="H7" s="130" t="s">
        <v>9</v>
      </c>
      <c r="I7" s="72"/>
    </row>
    <row r="8" spans="1:9" x14ac:dyDescent="0.25">
      <c r="A8" s="132" t="s">
        <v>10</v>
      </c>
      <c r="B8" s="133">
        <f>SUM(B3:B7)</f>
        <v>6.6224029295977349</v>
      </c>
      <c r="C8" s="133">
        <f t="shared" ref="C8:H8" si="0">SUM(C3:C7)</f>
        <v>5.1720699712865601</v>
      </c>
      <c r="D8" s="133">
        <f t="shared" si="0"/>
        <v>2.0159454611458991</v>
      </c>
      <c r="E8" s="133">
        <f t="shared" si="0"/>
        <v>21.580685789068461</v>
      </c>
      <c r="F8" s="133">
        <f t="shared" si="0"/>
        <v>2.3320951278835867E-2</v>
      </c>
      <c r="G8" s="133">
        <f t="shared" si="0"/>
        <v>12.199518619354848</v>
      </c>
      <c r="H8" s="133">
        <f t="shared" si="0"/>
        <v>1.6436981746726067</v>
      </c>
    </row>
  </sheetData>
  <sheetProtection password="B056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5"/>
  <sheetViews>
    <sheetView zoomScaleNormal="100" workbookViewId="0">
      <selection activeCell="F26" sqref="F26"/>
    </sheetView>
  </sheetViews>
  <sheetFormatPr defaultRowHeight="15" customHeight="1" x14ac:dyDescent="0.2"/>
  <cols>
    <col min="1" max="1" width="37.7109375" style="1" customWidth="1"/>
    <col min="2" max="2" width="15.42578125" style="1" bestFit="1" customWidth="1"/>
    <col min="3" max="3" width="12.85546875" style="1" customWidth="1"/>
    <col min="4" max="4" width="20.7109375" style="1" customWidth="1"/>
    <col min="5" max="5" width="18.85546875" style="1" customWidth="1"/>
    <col min="6" max="6" width="17" style="1" bestFit="1" customWidth="1"/>
    <col min="7" max="7" width="37.28515625" style="1" bestFit="1" customWidth="1"/>
    <col min="8" max="8" width="26" style="1" customWidth="1"/>
    <col min="9" max="9" width="12.85546875" style="1" customWidth="1"/>
    <col min="10" max="10" width="11.85546875" style="1" customWidth="1"/>
    <col min="11" max="12" width="9.7109375" style="1" customWidth="1"/>
    <col min="13" max="13" width="38.5703125" style="1" bestFit="1" customWidth="1"/>
    <col min="14" max="14" width="9.140625" style="1"/>
    <col min="15" max="15" width="20.7109375" style="1" customWidth="1"/>
    <col min="16" max="16" width="10.7109375" style="1" customWidth="1"/>
    <col min="17" max="18" width="9.7109375" style="1" customWidth="1"/>
    <col min="19" max="19" width="38.5703125" style="1" bestFit="1" customWidth="1"/>
    <col min="20" max="20" width="9.7109375" style="1" customWidth="1"/>
    <col min="21" max="16384" width="9.140625" style="1"/>
  </cols>
  <sheetData>
    <row r="1" spans="1:23" ht="15" customHeight="1" x14ac:dyDescent="0.2">
      <c r="A1" s="151" t="s">
        <v>71</v>
      </c>
      <c r="B1" s="151"/>
      <c r="C1" s="151"/>
      <c r="D1" s="151"/>
      <c r="E1" s="151"/>
      <c r="G1" s="151" t="s">
        <v>79</v>
      </c>
      <c r="H1" s="151"/>
      <c r="I1" s="151"/>
      <c r="J1" s="151"/>
      <c r="K1" s="151"/>
      <c r="M1" s="152" t="s">
        <v>67</v>
      </c>
      <c r="N1" s="152"/>
      <c r="O1" s="152"/>
      <c r="P1" s="152"/>
      <c r="Q1" s="152"/>
      <c r="S1" s="152" t="s">
        <v>68</v>
      </c>
      <c r="T1" s="152"/>
      <c r="U1" s="152"/>
      <c r="V1" s="152"/>
      <c r="W1" s="152"/>
    </row>
    <row r="2" spans="1:23" ht="15" customHeight="1" x14ac:dyDescent="0.2">
      <c r="A2" s="152" t="s">
        <v>72</v>
      </c>
      <c r="B2" s="152"/>
      <c r="C2" s="152"/>
      <c r="D2" s="152"/>
      <c r="E2" s="152"/>
      <c r="G2" s="152" t="s">
        <v>78</v>
      </c>
      <c r="H2" s="152"/>
      <c r="I2" s="152"/>
      <c r="J2" s="152"/>
      <c r="K2" s="152"/>
      <c r="M2" s="152" t="s">
        <v>46</v>
      </c>
      <c r="N2" s="152"/>
      <c r="O2" s="152"/>
      <c r="P2" s="152"/>
      <c r="Q2" s="152"/>
      <c r="S2" s="152" t="s">
        <v>43</v>
      </c>
      <c r="T2" s="152"/>
      <c r="U2" s="152"/>
      <c r="V2" s="152"/>
      <c r="W2" s="152"/>
    </row>
    <row r="3" spans="1:23" ht="15" customHeight="1" x14ac:dyDescent="0.2">
      <c r="B3" s="29" t="s">
        <v>36</v>
      </c>
      <c r="C3" s="29" t="s">
        <v>37</v>
      </c>
      <c r="D3" s="29" t="s">
        <v>38</v>
      </c>
      <c r="E3" s="29" t="s">
        <v>3</v>
      </c>
      <c r="H3" s="29" t="s">
        <v>36</v>
      </c>
      <c r="I3" s="29" t="s">
        <v>37</v>
      </c>
      <c r="J3" s="29" t="s">
        <v>38</v>
      </c>
      <c r="K3" s="29" t="s">
        <v>3</v>
      </c>
      <c r="N3" s="4" t="s">
        <v>36</v>
      </c>
      <c r="O3" s="4" t="s">
        <v>37</v>
      </c>
      <c r="P3" s="4" t="s">
        <v>38</v>
      </c>
      <c r="Q3" s="4" t="s">
        <v>3</v>
      </c>
      <c r="T3" s="4" t="s">
        <v>36</v>
      </c>
      <c r="U3" s="4" t="s">
        <v>37</v>
      </c>
      <c r="V3" s="4" t="s">
        <v>38</v>
      </c>
      <c r="W3" s="4" t="s">
        <v>3</v>
      </c>
    </row>
    <row r="4" spans="1:23" ht="15" customHeight="1" x14ac:dyDescent="0.2">
      <c r="A4" s="2" t="s">
        <v>63</v>
      </c>
      <c r="B4" s="29" t="s">
        <v>9</v>
      </c>
      <c r="C4" s="29" t="s">
        <v>9</v>
      </c>
      <c r="D4" s="29" t="s">
        <v>9</v>
      </c>
      <c r="E4" s="29" t="s">
        <v>9</v>
      </c>
      <c r="G4" s="2" t="s">
        <v>63</v>
      </c>
      <c r="H4" s="29" t="s">
        <v>9</v>
      </c>
      <c r="I4" s="29" t="s">
        <v>9</v>
      </c>
      <c r="J4" s="29" t="s">
        <v>9</v>
      </c>
      <c r="K4" s="29" t="s">
        <v>9</v>
      </c>
      <c r="M4" s="2" t="s">
        <v>63</v>
      </c>
      <c r="N4" s="2">
        <v>344</v>
      </c>
      <c r="O4" s="2">
        <v>344</v>
      </c>
      <c r="P4" s="2">
        <v>345</v>
      </c>
      <c r="Q4" s="33">
        <f t="shared" ref="Q4:Q9" si="0">AVERAGE(N4:P4)</f>
        <v>344.33333333333331</v>
      </c>
      <c r="S4" s="2" t="s">
        <v>63</v>
      </c>
      <c r="T4" s="2">
        <v>338</v>
      </c>
      <c r="U4" s="2">
        <v>340</v>
      </c>
      <c r="V4" s="2">
        <v>342</v>
      </c>
      <c r="W4" s="2">
        <f>AVERAGE(T4:V4)</f>
        <v>340</v>
      </c>
    </row>
    <row r="5" spans="1:23" ht="15" customHeight="1" x14ac:dyDescent="0.2">
      <c r="A5" s="2" t="s">
        <v>64</v>
      </c>
      <c r="B5" s="29" t="s">
        <v>9</v>
      </c>
      <c r="C5" s="29" t="s">
        <v>9</v>
      </c>
      <c r="D5" s="29" t="s">
        <v>9</v>
      </c>
      <c r="E5" s="29" t="s">
        <v>9</v>
      </c>
      <c r="G5" s="2" t="s">
        <v>64</v>
      </c>
      <c r="H5" s="29" t="s">
        <v>9</v>
      </c>
      <c r="I5" s="29" t="s">
        <v>9</v>
      </c>
      <c r="J5" s="29" t="s">
        <v>9</v>
      </c>
      <c r="K5" s="29" t="s">
        <v>9</v>
      </c>
      <c r="M5" s="2" t="s">
        <v>64</v>
      </c>
      <c r="N5" s="2">
        <v>342</v>
      </c>
      <c r="O5" s="2">
        <v>343</v>
      </c>
      <c r="P5" s="2">
        <v>344</v>
      </c>
      <c r="Q5" s="33">
        <f t="shared" si="0"/>
        <v>343</v>
      </c>
      <c r="S5" s="2" t="s">
        <v>64</v>
      </c>
      <c r="T5" s="2">
        <v>337</v>
      </c>
      <c r="U5" s="2">
        <v>339</v>
      </c>
      <c r="V5" s="2">
        <v>341</v>
      </c>
      <c r="W5" s="2">
        <f>AVERAGE(T5:V5)</f>
        <v>339</v>
      </c>
    </row>
    <row r="6" spans="1:23" ht="15" customHeight="1" x14ac:dyDescent="0.2">
      <c r="A6" s="2" t="s">
        <v>73</v>
      </c>
      <c r="B6" s="2">
        <v>65.67</v>
      </c>
      <c r="C6" s="2">
        <v>66.25</v>
      </c>
      <c r="D6" s="2">
        <v>66.17</v>
      </c>
      <c r="E6" s="33">
        <f>AVERAGE(B6:D6)</f>
        <v>66.030000000000015</v>
      </c>
      <c r="G6" s="2" t="s">
        <v>73</v>
      </c>
      <c r="H6" s="2">
        <v>67.58</v>
      </c>
      <c r="I6" s="2">
        <v>68.17</v>
      </c>
      <c r="J6" s="2">
        <v>68.08</v>
      </c>
      <c r="K6" s="33">
        <f>AVERAGE(H6:J6)</f>
        <v>67.943333333333328</v>
      </c>
      <c r="M6" s="2" t="s">
        <v>65</v>
      </c>
      <c r="N6" s="2">
        <f>AVERAGE(N4:N5)</f>
        <v>343</v>
      </c>
      <c r="O6" s="2">
        <f>AVERAGE(O4:O5)</f>
        <v>343.5</v>
      </c>
      <c r="P6" s="2">
        <f>AVERAGE(P4:P5)</f>
        <v>344.5</v>
      </c>
      <c r="Q6" s="33">
        <f t="shared" si="0"/>
        <v>343.66666666666669</v>
      </c>
      <c r="S6" s="2" t="s">
        <v>65</v>
      </c>
      <c r="T6" s="2">
        <f>AVERAGE(T4:T5)</f>
        <v>337.5</v>
      </c>
      <c r="U6" s="2">
        <f>AVERAGE(U4:U5)</f>
        <v>339.5</v>
      </c>
      <c r="V6" s="2">
        <f>AVERAGE(V4:V5)</f>
        <v>341.5</v>
      </c>
      <c r="W6" s="2">
        <f>AVERAGE(W4:W5)</f>
        <v>339.5</v>
      </c>
    </row>
    <row r="7" spans="1:23" ht="15" customHeight="1" x14ac:dyDescent="0.2">
      <c r="A7" s="2" t="s">
        <v>39</v>
      </c>
      <c r="B7" s="31">
        <v>38240</v>
      </c>
      <c r="C7" s="31">
        <v>39352</v>
      </c>
      <c r="D7" s="31">
        <v>38881</v>
      </c>
      <c r="E7" s="31">
        <f>AVERAGE(B7:D7)</f>
        <v>38824.333333333336</v>
      </c>
      <c r="G7" s="2" t="s">
        <v>39</v>
      </c>
      <c r="H7" s="31">
        <v>39676</v>
      </c>
      <c r="I7" s="31">
        <v>40751</v>
      </c>
      <c r="J7" s="31">
        <v>40310</v>
      </c>
      <c r="K7" s="31">
        <f>AVERAGE(H7:J7)</f>
        <v>40245.666666666664</v>
      </c>
      <c r="M7" s="2" t="s">
        <v>39</v>
      </c>
      <c r="N7" s="31">
        <v>44355.81</v>
      </c>
      <c r="O7" s="31">
        <v>44280.01</v>
      </c>
      <c r="P7" s="31">
        <v>44538.33</v>
      </c>
      <c r="Q7" s="31">
        <f t="shared" si="0"/>
        <v>44391.383333333339</v>
      </c>
      <c r="S7" s="2" t="s">
        <v>39</v>
      </c>
      <c r="T7" s="31">
        <v>33813.550000000003</v>
      </c>
      <c r="U7" s="31">
        <v>34194.85</v>
      </c>
      <c r="V7" s="31">
        <v>33775.160000000003</v>
      </c>
      <c r="W7" s="31">
        <f>AVERAGE(T7:V7)</f>
        <v>33927.853333333333</v>
      </c>
    </row>
    <row r="8" spans="1:23" ht="15" customHeight="1" x14ac:dyDescent="0.2">
      <c r="A8" s="2" t="s">
        <v>40</v>
      </c>
      <c r="B8" s="31">
        <v>31055</v>
      </c>
      <c r="C8" s="31">
        <v>31895</v>
      </c>
      <c r="D8" s="31">
        <v>31541</v>
      </c>
      <c r="E8" s="31">
        <f>AVERAGE(B8:D8)</f>
        <v>31497</v>
      </c>
      <c r="G8" s="2" t="s">
        <v>40</v>
      </c>
      <c r="H8" s="31">
        <v>31785</v>
      </c>
      <c r="I8" s="31">
        <v>32618</v>
      </c>
      <c r="J8" s="31">
        <v>32221</v>
      </c>
      <c r="K8" s="31">
        <f>AVERAGE(H8:J8)</f>
        <v>32208</v>
      </c>
      <c r="M8" s="2" t="s">
        <v>40</v>
      </c>
      <c r="N8" s="31">
        <v>32048.09</v>
      </c>
      <c r="O8" s="31">
        <v>31817.43</v>
      </c>
      <c r="P8" s="31">
        <v>32125.1</v>
      </c>
      <c r="Q8" s="30">
        <f t="shared" si="0"/>
        <v>31996.873333333333</v>
      </c>
      <c r="S8" s="2" t="s">
        <v>40</v>
      </c>
      <c r="T8" s="31">
        <v>24802.42</v>
      </c>
      <c r="U8" s="31">
        <v>24764.63</v>
      </c>
      <c r="V8" s="31">
        <v>24478.66</v>
      </c>
      <c r="W8" s="31">
        <f>AVERAGE(T8:V8)</f>
        <v>24681.903333333335</v>
      </c>
    </row>
    <row r="9" spans="1:23" ht="15" customHeight="1" x14ac:dyDescent="0.2">
      <c r="A9" s="2" t="s">
        <v>41</v>
      </c>
      <c r="B9" s="2">
        <v>1.22</v>
      </c>
      <c r="C9" s="2">
        <v>1.32</v>
      </c>
      <c r="D9" s="2">
        <v>1.63</v>
      </c>
      <c r="E9" s="33">
        <f>AVERAGE(B9:D9)</f>
        <v>1.39</v>
      </c>
      <c r="G9" s="2" t="s">
        <v>41</v>
      </c>
      <c r="H9" s="2">
        <v>1.43</v>
      </c>
      <c r="I9" s="2">
        <v>1.53</v>
      </c>
      <c r="J9" s="2">
        <v>1.64</v>
      </c>
      <c r="K9" s="32">
        <f>AVERAGE(H9:J9)</f>
        <v>1.5333333333333332</v>
      </c>
      <c r="M9" s="2" t="s">
        <v>41</v>
      </c>
      <c r="N9" s="2">
        <v>19.41</v>
      </c>
      <c r="O9" s="2">
        <v>15.27</v>
      </c>
      <c r="P9" s="2">
        <v>26.22</v>
      </c>
      <c r="Q9" s="2">
        <f t="shared" si="0"/>
        <v>20.3</v>
      </c>
      <c r="S9" s="2" t="s">
        <v>41</v>
      </c>
      <c r="T9" s="2">
        <v>35.53</v>
      </c>
      <c r="U9" s="2">
        <v>34.44</v>
      </c>
      <c r="V9" s="2">
        <v>32.700000000000003</v>
      </c>
      <c r="W9" s="31">
        <f>AVERAGE(T9:V9)</f>
        <v>34.223333333333336</v>
      </c>
    </row>
    <row r="10" spans="1:23" ht="15" customHeight="1" x14ac:dyDescent="0.2">
      <c r="A10" s="2" t="s">
        <v>42</v>
      </c>
      <c r="B10" s="33">
        <f>B8*B9/10^6</f>
        <v>3.78871E-2</v>
      </c>
      <c r="C10" s="33">
        <f>C8*C9/10^6</f>
        <v>4.2101400000000004E-2</v>
      </c>
      <c r="D10" s="33">
        <f>D8*D9/10^6</f>
        <v>5.1411829999999992E-2</v>
      </c>
      <c r="E10" s="33">
        <f>AVERAGE(B10:D10)</f>
        <v>4.3800110000000003E-2</v>
      </c>
      <c r="G10" s="2" t="s">
        <v>42</v>
      </c>
      <c r="H10" s="33">
        <f>H9*H8/10^6</f>
        <v>4.5452549999999994E-2</v>
      </c>
      <c r="I10" s="33">
        <f>I9*I8/10^6</f>
        <v>4.9905539999999998E-2</v>
      </c>
      <c r="J10" s="33">
        <f>J9*J8/10^6</f>
        <v>5.2842439999999997E-2</v>
      </c>
      <c r="K10" s="32">
        <f>AVERAGE(H10:J10)</f>
        <v>4.9400176666666663E-2</v>
      </c>
      <c r="M10" s="2" t="s">
        <v>42</v>
      </c>
      <c r="N10" s="33">
        <f>N8*N9/10^6</f>
        <v>0.62205342689999998</v>
      </c>
      <c r="O10" s="33">
        <f>O8*O9/10^6</f>
        <v>0.48585215609999999</v>
      </c>
      <c r="P10" s="33">
        <f>P8*P9/10^6</f>
        <v>0.84232012199999995</v>
      </c>
      <c r="Q10" s="33">
        <f>Q8*Q9/10^6</f>
        <v>0.64953652866666667</v>
      </c>
      <c r="S10" s="2" t="s">
        <v>42</v>
      </c>
      <c r="T10" s="33">
        <f>T9*T8/10^6</f>
        <v>0.88122998259999996</v>
      </c>
      <c r="U10" s="33">
        <f>U9*U8/10^6</f>
        <v>0.85289385719999999</v>
      </c>
      <c r="V10" s="33">
        <f>V8*V9/10^6</f>
        <v>0.80045218200000001</v>
      </c>
      <c r="W10" s="33">
        <f>W8*W9/10^6</f>
        <v>0.8446970050777779</v>
      </c>
    </row>
    <row r="11" spans="1:23" ht="15" customHeight="1" x14ac:dyDescent="0.2">
      <c r="A11" s="152" t="s">
        <v>74</v>
      </c>
      <c r="B11" s="152"/>
      <c r="C11" s="152"/>
      <c r="D11" s="152"/>
      <c r="E11" s="152"/>
      <c r="G11" s="152" t="s">
        <v>80</v>
      </c>
      <c r="H11" s="152"/>
      <c r="I11" s="152"/>
      <c r="J11" s="152"/>
      <c r="K11" s="152"/>
      <c r="M11" s="152" t="s">
        <v>66</v>
      </c>
      <c r="N11" s="152"/>
      <c r="O11" s="152"/>
      <c r="P11" s="152"/>
      <c r="Q11" s="152"/>
      <c r="S11" s="152" t="s">
        <v>62</v>
      </c>
      <c r="T11" s="152"/>
      <c r="U11" s="152"/>
      <c r="V11" s="152"/>
      <c r="W11" s="152"/>
    </row>
    <row r="12" spans="1:23" ht="15" customHeight="1" x14ac:dyDescent="0.2">
      <c r="A12" s="2" t="s">
        <v>63</v>
      </c>
      <c r="B12" s="29" t="s">
        <v>9</v>
      </c>
      <c r="C12" s="29" t="s">
        <v>9</v>
      </c>
      <c r="D12" s="29" t="s">
        <v>9</v>
      </c>
      <c r="E12" s="29" t="s">
        <v>9</v>
      </c>
      <c r="G12" s="2" t="s">
        <v>63</v>
      </c>
      <c r="H12" s="29" t="s">
        <v>9</v>
      </c>
      <c r="I12" s="29" t="s">
        <v>9</v>
      </c>
      <c r="J12" s="29" t="s">
        <v>9</v>
      </c>
      <c r="K12" s="29" t="s">
        <v>9</v>
      </c>
      <c r="M12" s="2" t="s">
        <v>63</v>
      </c>
      <c r="N12" s="1">
        <v>316</v>
      </c>
      <c r="O12" s="2">
        <v>316</v>
      </c>
      <c r="P12" s="2">
        <v>317</v>
      </c>
      <c r="Q12" s="30">
        <f t="shared" ref="Q12:Q18" si="1">AVERAGE(N12:P12)</f>
        <v>316.33333333333331</v>
      </c>
      <c r="S12" s="2" t="s">
        <v>63</v>
      </c>
      <c r="T12" s="2">
        <v>316</v>
      </c>
      <c r="U12" s="2">
        <v>318</v>
      </c>
      <c r="V12" s="2">
        <v>320</v>
      </c>
      <c r="W12" s="2">
        <f>AVERAGE(T12:V12)</f>
        <v>318</v>
      </c>
    </row>
    <row r="13" spans="1:23" ht="15" customHeight="1" x14ac:dyDescent="0.2">
      <c r="A13" s="2" t="s">
        <v>64</v>
      </c>
      <c r="B13" s="29" t="s">
        <v>9</v>
      </c>
      <c r="C13" s="29" t="s">
        <v>9</v>
      </c>
      <c r="D13" s="29" t="s">
        <v>9</v>
      </c>
      <c r="E13" s="29" t="s">
        <v>9</v>
      </c>
      <c r="G13" s="2" t="s">
        <v>64</v>
      </c>
      <c r="H13" s="29" t="s">
        <v>9</v>
      </c>
      <c r="I13" s="29" t="s">
        <v>9</v>
      </c>
      <c r="J13" s="29" t="s">
        <v>9</v>
      </c>
      <c r="K13" s="29" t="s">
        <v>9</v>
      </c>
      <c r="M13" s="2" t="s">
        <v>64</v>
      </c>
      <c r="N13" s="31">
        <v>316</v>
      </c>
      <c r="O13" s="31">
        <v>316</v>
      </c>
      <c r="P13" s="31">
        <v>317</v>
      </c>
      <c r="Q13" s="30">
        <f t="shared" si="1"/>
        <v>316.33333333333331</v>
      </c>
      <c r="S13" s="2" t="s">
        <v>64</v>
      </c>
      <c r="T13" s="2">
        <v>315</v>
      </c>
      <c r="U13" s="2">
        <v>317</v>
      </c>
      <c r="V13" s="2">
        <v>319</v>
      </c>
      <c r="W13" s="2">
        <f>AVERAGE(T13:V13)</f>
        <v>317</v>
      </c>
    </row>
    <row r="14" spans="1:23" ht="15" customHeight="1" x14ac:dyDescent="0.2">
      <c r="A14" s="2" t="s">
        <v>73</v>
      </c>
      <c r="B14" s="31">
        <v>29.08</v>
      </c>
      <c r="C14" s="31">
        <v>29.67</v>
      </c>
      <c r="D14" s="31">
        <v>29.58</v>
      </c>
      <c r="E14" s="32">
        <f>AVERAGE(B14:D14)</f>
        <v>29.443333333333332</v>
      </c>
      <c r="G14" s="2" t="s">
        <v>73</v>
      </c>
      <c r="H14" s="31">
        <v>28.33</v>
      </c>
      <c r="I14" s="31">
        <v>28.92</v>
      </c>
      <c r="J14" s="31">
        <v>28.83</v>
      </c>
      <c r="K14" s="32">
        <f>AVERAGE(H14:J14)</f>
        <v>28.693333333333332</v>
      </c>
      <c r="M14" s="2" t="s">
        <v>65</v>
      </c>
      <c r="N14" s="31">
        <f>AVERAGE(N12:N13)</f>
        <v>316</v>
      </c>
      <c r="O14" s="31">
        <f>AVERAGE(O12:O13)</f>
        <v>316</v>
      </c>
      <c r="P14" s="31">
        <f>AVERAGE(P12:P13)</f>
        <v>317</v>
      </c>
      <c r="Q14" s="31">
        <f t="shared" si="1"/>
        <v>316.33333333333331</v>
      </c>
      <c r="S14" s="2" t="s">
        <v>65</v>
      </c>
      <c r="T14" s="2">
        <f>AVERAGE(T12:T13)</f>
        <v>315.5</v>
      </c>
      <c r="U14" s="2">
        <f>AVERAGE(U12:U13)</f>
        <v>317.5</v>
      </c>
      <c r="V14" s="2">
        <f>AVERAGE(V12:V13)</f>
        <v>319.5</v>
      </c>
      <c r="W14" s="2">
        <f>AVERAGE(W12:W13)</f>
        <v>317.5</v>
      </c>
    </row>
    <row r="15" spans="1:23" ht="15" customHeight="1" x14ac:dyDescent="0.2">
      <c r="A15" s="2" t="s">
        <v>39</v>
      </c>
      <c r="B15" s="31">
        <v>11032</v>
      </c>
      <c r="C15" s="31">
        <v>11163</v>
      </c>
      <c r="D15" s="31">
        <v>11088</v>
      </c>
      <c r="E15" s="32">
        <f>AVERAGE(B15:D15)</f>
        <v>11094.333333333334</v>
      </c>
      <c r="G15" s="2" t="s">
        <v>39</v>
      </c>
      <c r="H15" s="31">
        <v>11667</v>
      </c>
      <c r="I15" s="31">
        <v>11800</v>
      </c>
      <c r="J15" s="31">
        <v>11733</v>
      </c>
      <c r="K15" s="32">
        <f>AVERAGE(H15:J15)</f>
        <v>11733.333333333334</v>
      </c>
      <c r="M15" s="2" t="s">
        <v>39</v>
      </c>
      <c r="N15" s="31">
        <v>5606.22</v>
      </c>
      <c r="O15" s="31">
        <v>5606.26</v>
      </c>
      <c r="P15" s="31">
        <v>5618.9</v>
      </c>
      <c r="Q15" s="31">
        <f t="shared" si="1"/>
        <v>5610.4599999999991</v>
      </c>
      <c r="S15" s="2" t="s">
        <v>39</v>
      </c>
      <c r="T15" s="31">
        <v>7429.46</v>
      </c>
      <c r="U15" s="31">
        <v>7071.02</v>
      </c>
      <c r="V15" s="31">
        <v>7321.94</v>
      </c>
      <c r="W15" s="31">
        <f>AVERAGE(T15:V15)</f>
        <v>7274.1399999999994</v>
      </c>
    </row>
    <row r="16" spans="1:23" ht="15" customHeight="1" x14ac:dyDescent="0.2">
      <c r="A16" s="2" t="s">
        <v>40</v>
      </c>
      <c r="B16" s="31">
        <v>9946</v>
      </c>
      <c r="C16" s="31">
        <v>10045</v>
      </c>
      <c r="D16" s="31">
        <v>9962</v>
      </c>
      <c r="E16" s="32">
        <f>AVERAGE(B16:D16)</f>
        <v>9984.3333333333339</v>
      </c>
      <c r="G16" s="2" t="s">
        <v>40</v>
      </c>
      <c r="H16" s="31">
        <v>10546</v>
      </c>
      <c r="I16" s="31">
        <v>10645</v>
      </c>
      <c r="J16" s="31">
        <v>10569</v>
      </c>
      <c r="K16" s="32">
        <f>AVERAGE(H16:J16)</f>
        <v>10586.666666666666</v>
      </c>
      <c r="M16" s="2" t="s">
        <v>40</v>
      </c>
      <c r="N16" s="33">
        <v>4621.26</v>
      </c>
      <c r="O16" s="33">
        <v>4621.1000000000004</v>
      </c>
      <c r="P16" s="33">
        <v>4599.93</v>
      </c>
      <c r="Q16" s="31">
        <f t="shared" si="1"/>
        <v>4614.0966666666673</v>
      </c>
      <c r="S16" s="2" t="s">
        <v>40</v>
      </c>
      <c r="T16" s="31">
        <v>5872.34</v>
      </c>
      <c r="U16" s="31">
        <v>5535.33</v>
      </c>
      <c r="V16" s="31">
        <v>5712.64</v>
      </c>
      <c r="W16" s="31">
        <f>AVERAGE(T16:V16)</f>
        <v>5706.77</v>
      </c>
    </row>
    <row r="17" spans="1:23" ht="15" customHeight="1" x14ac:dyDescent="0.2">
      <c r="A17" s="2" t="s">
        <v>41</v>
      </c>
      <c r="B17" s="2">
        <v>6.14</v>
      </c>
      <c r="C17" s="2">
        <v>8.25</v>
      </c>
      <c r="D17" s="2">
        <v>6.24</v>
      </c>
      <c r="E17" s="32">
        <f>AVERAGE(B17:D17)</f>
        <v>6.8766666666666678</v>
      </c>
      <c r="G17" s="2" t="s">
        <v>41</v>
      </c>
      <c r="H17" s="2">
        <v>2.92</v>
      </c>
      <c r="I17" s="2">
        <v>3.29</v>
      </c>
      <c r="J17" s="2">
        <v>3.2</v>
      </c>
      <c r="K17" s="32">
        <f>AVERAGE(H17:J17)</f>
        <v>3.1366666666666667</v>
      </c>
      <c r="M17" s="2" t="s">
        <v>41</v>
      </c>
      <c r="N17" s="2">
        <v>8.26</v>
      </c>
      <c r="O17" s="2">
        <v>6.55</v>
      </c>
      <c r="P17" s="2">
        <v>7.36</v>
      </c>
      <c r="Q17" s="2">
        <f t="shared" si="1"/>
        <v>7.39</v>
      </c>
      <c r="S17" s="2" t="s">
        <v>41</v>
      </c>
      <c r="T17" s="31">
        <v>18.55</v>
      </c>
      <c r="U17" s="31">
        <v>15.97</v>
      </c>
      <c r="V17" s="31">
        <v>17.64</v>
      </c>
      <c r="W17" s="31">
        <f>AVERAGE(T17:V17)</f>
        <v>17.386666666666667</v>
      </c>
    </row>
    <row r="18" spans="1:23" ht="15" customHeight="1" x14ac:dyDescent="0.2">
      <c r="A18" s="2" t="s">
        <v>42</v>
      </c>
      <c r="B18" s="33">
        <f>B17*B16/10^6</f>
        <v>6.1068439999999995E-2</v>
      </c>
      <c r="C18" s="33">
        <f>C17*C16/10^6</f>
        <v>8.2871249999999994E-2</v>
      </c>
      <c r="D18" s="33">
        <f>D17*D16/10^6</f>
        <v>6.2162880000000004E-2</v>
      </c>
      <c r="E18" s="32">
        <f>AVERAGE(B18:D18)</f>
        <v>6.8700856666666657E-2</v>
      </c>
      <c r="G18" s="2" t="s">
        <v>42</v>
      </c>
      <c r="H18" s="33">
        <f>H17*H16/10^6</f>
        <v>3.079432E-2</v>
      </c>
      <c r="I18" s="33">
        <f>I17*I16/10^6</f>
        <v>3.5022050000000006E-2</v>
      </c>
      <c r="J18" s="33">
        <f>J17*J16/10^6</f>
        <v>3.3820800000000005E-2</v>
      </c>
      <c r="K18" s="32">
        <f>AVERAGE(H18:J18)</f>
        <v>3.3212390000000008E-2</v>
      </c>
      <c r="M18" s="2" t="s">
        <v>42</v>
      </c>
      <c r="N18" s="33">
        <f>N17*N16/10^6</f>
        <v>3.8171607600000004E-2</v>
      </c>
      <c r="O18" s="33">
        <f>O17*O16/10^6</f>
        <v>3.0268205000000003E-2</v>
      </c>
      <c r="P18" s="33">
        <f>P17*P16/10^6</f>
        <v>3.3855484800000009E-2</v>
      </c>
      <c r="Q18" s="33">
        <f t="shared" si="1"/>
        <v>3.4098432466666669E-2</v>
      </c>
      <c r="S18" s="2" t="s">
        <v>42</v>
      </c>
      <c r="T18" s="33">
        <f>T16*T17/10^6</f>
        <v>0.10893190700000001</v>
      </c>
      <c r="U18" s="33">
        <f>U16*U17/10^6</f>
        <v>8.8399220100000009E-2</v>
      </c>
      <c r="V18" s="33">
        <f>V16*V17/10^6</f>
        <v>0.10077096960000001</v>
      </c>
      <c r="W18" s="33">
        <f>W16*W17/10^6</f>
        <v>9.9221707733333345E-2</v>
      </c>
    </row>
    <row r="19" spans="1:23" ht="15" customHeight="1" x14ac:dyDescent="0.2">
      <c r="A19" s="152" t="s">
        <v>75</v>
      </c>
      <c r="B19" s="152"/>
      <c r="C19" s="152"/>
      <c r="D19" s="152"/>
      <c r="E19" s="152"/>
      <c r="G19" s="152" t="s">
        <v>81</v>
      </c>
      <c r="H19" s="152"/>
      <c r="I19" s="152"/>
      <c r="J19" s="152"/>
      <c r="K19" s="152"/>
      <c r="M19" s="152" t="s">
        <v>45</v>
      </c>
      <c r="N19" s="152"/>
      <c r="O19" s="152"/>
      <c r="P19" s="152"/>
      <c r="Q19" s="152"/>
      <c r="S19" s="152" t="s">
        <v>44</v>
      </c>
      <c r="T19" s="152"/>
      <c r="U19" s="152"/>
      <c r="V19" s="152"/>
      <c r="W19" s="152"/>
    </row>
    <row r="20" spans="1:23" ht="15" customHeight="1" x14ac:dyDescent="0.2">
      <c r="A20" s="2" t="s">
        <v>63</v>
      </c>
      <c r="B20" s="29" t="s">
        <v>9</v>
      </c>
      <c r="C20" s="29" t="s">
        <v>9</v>
      </c>
      <c r="D20" s="29" t="s">
        <v>9</v>
      </c>
      <c r="E20" s="29" t="s">
        <v>9</v>
      </c>
      <c r="G20" s="2" t="s">
        <v>63</v>
      </c>
      <c r="H20" s="29" t="s">
        <v>9</v>
      </c>
      <c r="I20" s="29" t="s">
        <v>9</v>
      </c>
      <c r="J20" s="29" t="s">
        <v>9</v>
      </c>
      <c r="K20" s="29" t="s">
        <v>9</v>
      </c>
      <c r="M20" s="2" t="s">
        <v>63</v>
      </c>
      <c r="N20" s="2">
        <v>320</v>
      </c>
      <c r="O20" s="2">
        <v>322</v>
      </c>
      <c r="P20" s="2">
        <v>324</v>
      </c>
      <c r="Q20" s="30">
        <f>AVERAGE(N20:P20)</f>
        <v>322</v>
      </c>
      <c r="S20" s="2" t="s">
        <v>63</v>
      </c>
      <c r="T20" s="2">
        <v>325</v>
      </c>
      <c r="U20" s="2">
        <v>325</v>
      </c>
      <c r="V20" s="2">
        <v>325</v>
      </c>
      <c r="W20" s="30">
        <f>AVERAGE(T20:V20)</f>
        <v>325</v>
      </c>
    </row>
    <row r="21" spans="1:23" ht="15" customHeight="1" x14ac:dyDescent="0.2">
      <c r="A21" s="2" t="s">
        <v>64</v>
      </c>
      <c r="B21" s="29" t="s">
        <v>9</v>
      </c>
      <c r="C21" s="29" t="s">
        <v>9</v>
      </c>
      <c r="D21" s="29" t="s">
        <v>9</v>
      </c>
      <c r="E21" s="29" t="s">
        <v>9</v>
      </c>
      <c r="G21" s="2" t="s">
        <v>64</v>
      </c>
      <c r="H21" s="29" t="s">
        <v>9</v>
      </c>
      <c r="I21" s="29" t="s">
        <v>9</v>
      </c>
      <c r="J21" s="29" t="s">
        <v>9</v>
      </c>
      <c r="K21" s="29" t="s">
        <v>9</v>
      </c>
      <c r="M21" s="2" t="s">
        <v>64</v>
      </c>
      <c r="N21" s="2">
        <v>319</v>
      </c>
      <c r="O21" s="2">
        <v>321</v>
      </c>
      <c r="P21" s="2">
        <v>323</v>
      </c>
      <c r="Q21" s="30">
        <f>AVERAGE(N21:P21)</f>
        <v>321</v>
      </c>
      <c r="S21" s="2" t="s">
        <v>64</v>
      </c>
      <c r="T21" s="2">
        <v>323</v>
      </c>
      <c r="U21" s="2">
        <v>323</v>
      </c>
      <c r="V21" s="2">
        <v>324</v>
      </c>
      <c r="W21" s="30">
        <f>AVERAGE(T21:V21)</f>
        <v>323.33333333333331</v>
      </c>
    </row>
    <row r="22" spans="1:23" ht="15" customHeight="1" x14ac:dyDescent="0.2">
      <c r="A22" s="2" t="s">
        <v>76</v>
      </c>
      <c r="B22" s="2">
        <v>52.92</v>
      </c>
      <c r="C22" s="2">
        <v>52.92</v>
      </c>
      <c r="D22" s="2">
        <v>59.83</v>
      </c>
      <c r="E22" s="33">
        <f t="shared" ref="E22:E28" si="2">AVERAGE(B22:D22)</f>
        <v>55.223333333333336</v>
      </c>
      <c r="G22" s="2" t="s">
        <v>76</v>
      </c>
      <c r="H22" s="2">
        <v>50.92</v>
      </c>
      <c r="I22" s="2">
        <v>50.92</v>
      </c>
      <c r="J22" s="2">
        <v>59.83</v>
      </c>
      <c r="K22" s="33">
        <f>AVERAGE(H22:J22)</f>
        <v>53.890000000000008</v>
      </c>
      <c r="M22" s="2" t="s">
        <v>65</v>
      </c>
      <c r="N22" s="2">
        <f>AVERAGE(N20:N21)</f>
        <v>319.5</v>
      </c>
      <c r="O22" s="2">
        <f>AVERAGE(O20:O21)</f>
        <v>321.5</v>
      </c>
      <c r="P22" s="2">
        <f>AVERAGE(P20:P21)</f>
        <v>323.5</v>
      </c>
      <c r="Q22" s="2">
        <f>AVERAGE(Q20:Q21)</f>
        <v>321.5</v>
      </c>
      <c r="S22" s="2" t="s">
        <v>65</v>
      </c>
      <c r="T22" s="2">
        <f>AVERAGE(T20:T21)</f>
        <v>324</v>
      </c>
      <c r="U22" s="2">
        <f>AVERAGE(U20:U21)</f>
        <v>324</v>
      </c>
      <c r="V22" s="2">
        <f>AVERAGE(V20:V21)</f>
        <v>324.5</v>
      </c>
      <c r="W22" s="30">
        <f>AVERAGE(W20:W21)</f>
        <v>324.16666666666663</v>
      </c>
    </row>
    <row r="23" spans="1:23" ht="15" customHeight="1" x14ac:dyDescent="0.2">
      <c r="A23" s="2" t="s">
        <v>39</v>
      </c>
      <c r="B23" s="32">
        <v>30733</v>
      </c>
      <c r="C23" s="32">
        <v>30383</v>
      </c>
      <c r="D23" s="32">
        <v>31143</v>
      </c>
      <c r="E23" s="32">
        <f t="shared" si="2"/>
        <v>30753</v>
      </c>
      <c r="G23" s="2" t="s">
        <v>39</v>
      </c>
      <c r="H23" s="32">
        <v>26337</v>
      </c>
      <c r="I23" s="32">
        <v>25945</v>
      </c>
      <c r="J23" s="32">
        <v>26818</v>
      </c>
      <c r="K23" s="32">
        <f t="shared" ref="K23:K28" si="3">AVERAGE(H23:J23)</f>
        <v>26366.666666666668</v>
      </c>
      <c r="M23" s="2" t="s">
        <v>39</v>
      </c>
      <c r="N23" s="32">
        <v>23695.68</v>
      </c>
      <c r="O23" s="32">
        <v>24505.47</v>
      </c>
      <c r="P23" s="32">
        <v>24094.45</v>
      </c>
      <c r="Q23" s="30">
        <f>AVERAGE(N23:P23)</f>
        <v>24098.533333333336</v>
      </c>
      <c r="S23" s="2" t="s">
        <v>39</v>
      </c>
      <c r="T23" s="32">
        <v>30864.92</v>
      </c>
      <c r="U23" s="32">
        <v>31151.5</v>
      </c>
      <c r="V23" s="32">
        <v>31102.720000000001</v>
      </c>
      <c r="W23" s="32">
        <f>AVERAGE(T23:V23)</f>
        <v>31039.713333333333</v>
      </c>
    </row>
    <row r="24" spans="1:23" ht="15" customHeight="1" x14ac:dyDescent="0.2">
      <c r="A24" s="2" t="s">
        <v>40</v>
      </c>
      <c r="B24" s="32">
        <v>25021</v>
      </c>
      <c r="C24" s="32">
        <v>24791</v>
      </c>
      <c r="D24" s="32">
        <v>24932</v>
      </c>
      <c r="E24" s="32">
        <f t="shared" si="2"/>
        <v>24914.666666666668</v>
      </c>
      <c r="G24" s="2" t="s">
        <v>40</v>
      </c>
      <c r="H24" s="32">
        <v>21742</v>
      </c>
      <c r="I24" s="32">
        <v>21438</v>
      </c>
      <c r="J24" s="32">
        <v>21566</v>
      </c>
      <c r="K24" s="32">
        <f t="shared" si="3"/>
        <v>21582</v>
      </c>
      <c r="M24" s="2" t="s">
        <v>40</v>
      </c>
      <c r="N24" s="32">
        <v>18821.75</v>
      </c>
      <c r="O24" s="32">
        <v>19453.82</v>
      </c>
      <c r="P24" s="32">
        <v>18908.189999999999</v>
      </c>
      <c r="Q24" s="30">
        <f>AVERAGE(N24:P24)</f>
        <v>19061.25333333333</v>
      </c>
      <c r="S24" s="2" t="s">
        <v>40</v>
      </c>
      <c r="T24" s="32">
        <v>23932.98</v>
      </c>
      <c r="U24" s="32">
        <v>23840.880000000001</v>
      </c>
      <c r="V24" s="32">
        <v>23988.240000000002</v>
      </c>
      <c r="W24" s="32">
        <f>AVERAGE(T24:V24)</f>
        <v>23920.7</v>
      </c>
    </row>
    <row r="25" spans="1:23" ht="15" customHeight="1" x14ac:dyDescent="0.2">
      <c r="A25" s="2" t="s">
        <v>41</v>
      </c>
      <c r="B25" s="2">
        <v>7.16</v>
      </c>
      <c r="C25" s="2">
        <v>8.94</v>
      </c>
      <c r="D25" s="2">
        <v>7.39</v>
      </c>
      <c r="E25" s="32">
        <f t="shared" si="2"/>
        <v>7.830000000000001</v>
      </c>
      <c r="G25" s="2" t="s">
        <v>41</v>
      </c>
      <c r="H25" s="2">
        <v>29.16</v>
      </c>
      <c r="I25" s="2">
        <v>31.9</v>
      </c>
      <c r="J25" s="2">
        <v>27.89</v>
      </c>
      <c r="K25" s="33">
        <f t="shared" si="3"/>
        <v>29.650000000000002</v>
      </c>
      <c r="M25" s="2" t="s">
        <v>41</v>
      </c>
      <c r="N25" s="2">
        <v>24.94</v>
      </c>
      <c r="O25" s="2">
        <v>38.659999999999997</v>
      </c>
      <c r="P25" s="2">
        <v>30.3</v>
      </c>
      <c r="Q25" s="30">
        <f>AVERAGE(N25:P25)</f>
        <v>31.299999999999997</v>
      </c>
      <c r="S25" s="2" t="s">
        <v>41</v>
      </c>
      <c r="T25" s="2">
        <v>5.34</v>
      </c>
      <c r="U25" s="2">
        <v>4.1100000000000003</v>
      </c>
      <c r="V25" s="2">
        <v>4.7300000000000004</v>
      </c>
      <c r="W25" s="33">
        <f>AVERAGE(T25:V25)</f>
        <v>4.7266666666666666</v>
      </c>
    </row>
    <row r="26" spans="1:23" ht="15" customHeight="1" x14ac:dyDescent="0.2">
      <c r="A26" s="2" t="s">
        <v>41</v>
      </c>
      <c r="B26" s="2">
        <v>2.39</v>
      </c>
      <c r="C26" s="33">
        <v>2.38</v>
      </c>
      <c r="D26" s="33">
        <v>2.2200000000000002</v>
      </c>
      <c r="E26" s="32">
        <f t="shared" si="2"/>
        <v>2.33</v>
      </c>
      <c r="G26" s="2" t="s">
        <v>41</v>
      </c>
      <c r="H26" s="2">
        <v>8.75</v>
      </c>
      <c r="I26" s="33">
        <v>8.51</v>
      </c>
      <c r="J26" s="33">
        <v>6.51</v>
      </c>
      <c r="K26" s="33">
        <f t="shared" si="3"/>
        <v>7.923333333333332</v>
      </c>
      <c r="M26" s="2" t="s">
        <v>41</v>
      </c>
      <c r="N26" s="2">
        <v>23.27</v>
      </c>
      <c r="O26" s="33">
        <v>30.93</v>
      </c>
      <c r="P26" s="33">
        <v>28.28</v>
      </c>
      <c r="Q26" s="30">
        <f>AVERAGE(N26:P26)</f>
        <v>27.493333333333336</v>
      </c>
      <c r="S26" s="2" t="s">
        <v>41</v>
      </c>
      <c r="T26" s="2">
        <v>17.43</v>
      </c>
      <c r="U26" s="2">
        <v>13.16</v>
      </c>
      <c r="V26" s="2">
        <v>15.76</v>
      </c>
      <c r="W26" s="2">
        <f>AVERAGE(T26:V26)</f>
        <v>15.450000000000001</v>
      </c>
    </row>
    <row r="27" spans="1:23" ht="15" customHeight="1" x14ac:dyDescent="0.2">
      <c r="A27" s="2" t="s">
        <v>42</v>
      </c>
      <c r="B27" s="33">
        <f>B25*B24/10^6</f>
        <v>0.17915036000000001</v>
      </c>
      <c r="C27" s="33">
        <f>C25*C24/10^6</f>
        <v>0.22163153999999999</v>
      </c>
      <c r="D27" s="33">
        <f>D25*D24/10^6</f>
        <v>0.18424747999999999</v>
      </c>
      <c r="E27" s="32">
        <f t="shared" si="2"/>
        <v>0.19500979333333335</v>
      </c>
      <c r="G27" s="2" t="s">
        <v>42</v>
      </c>
      <c r="H27" s="32">
        <f>H25*H24/10^6</f>
        <v>0.63399671999999996</v>
      </c>
      <c r="I27" s="32">
        <f>I25*I24/10^6</f>
        <v>0.68387219999999993</v>
      </c>
      <c r="J27" s="32">
        <f>J25*J24/10^6</f>
        <v>0.60147574000000004</v>
      </c>
      <c r="K27" s="33">
        <f t="shared" si="3"/>
        <v>0.63978155333333342</v>
      </c>
      <c r="M27" s="2" t="s">
        <v>42</v>
      </c>
      <c r="N27" s="33">
        <f>N24*N25/10^6</f>
        <v>0.46941444500000001</v>
      </c>
      <c r="O27" s="33">
        <f>O24*O25/10^6</f>
        <v>0.75208468119999983</v>
      </c>
      <c r="P27" s="33">
        <f>P24*P25/10^6</f>
        <v>0.57291815700000004</v>
      </c>
      <c r="Q27" s="33">
        <f>Q24*Q25/10^6</f>
        <v>0.59661722933333317</v>
      </c>
      <c r="S27" s="2" t="s">
        <v>42</v>
      </c>
      <c r="T27" s="33">
        <f>T24*T25/10^6</f>
        <v>0.12780211319999998</v>
      </c>
      <c r="U27" s="33">
        <f>U24*U25/10^6</f>
        <v>9.7986016800000006E-2</v>
      </c>
      <c r="V27" s="33">
        <f>V24*V25/10^6</f>
        <v>0.11346437520000002</v>
      </c>
      <c r="W27" s="33">
        <f>W24*W25/10^6</f>
        <v>0.11306517533333334</v>
      </c>
    </row>
    <row r="28" spans="1:23" ht="15" customHeight="1" x14ac:dyDescent="0.2">
      <c r="A28" s="2" t="s">
        <v>42</v>
      </c>
      <c r="B28" s="33">
        <f>B26*B24/10^6</f>
        <v>5.9800190000000003E-2</v>
      </c>
      <c r="C28" s="33">
        <f>C26*C24/10^6</f>
        <v>5.9002579999999992E-2</v>
      </c>
      <c r="D28" s="33">
        <f>D26*D24/10^6</f>
        <v>5.5349040000000009E-2</v>
      </c>
      <c r="E28" s="32">
        <f t="shared" si="2"/>
        <v>5.8050603333333339E-2</v>
      </c>
      <c r="G28" s="2" t="s">
        <v>42</v>
      </c>
      <c r="H28" s="33">
        <f>H26*H24/10^6</f>
        <v>0.19024250000000001</v>
      </c>
      <c r="I28" s="33">
        <f>I26*I24/10^6</f>
        <v>0.18243738000000001</v>
      </c>
      <c r="J28" s="33">
        <f>J26*J24/10^6</f>
        <v>0.14039466</v>
      </c>
      <c r="K28" s="33">
        <f t="shared" si="3"/>
        <v>0.1710248466666667</v>
      </c>
      <c r="M28" s="2" t="s">
        <v>42</v>
      </c>
      <c r="N28" s="33">
        <f>N26*N24/10^6</f>
        <v>0.43798212250000002</v>
      </c>
      <c r="O28" s="33">
        <f>O26*O24/10^6</f>
        <v>0.6017066526</v>
      </c>
      <c r="P28" s="33">
        <f>P26*P24/10^6</f>
        <v>0.53472361320000006</v>
      </c>
      <c r="Q28" s="33">
        <f>Q26*Q24/10^6</f>
        <v>0.52405739164444443</v>
      </c>
      <c r="S28" s="2" t="s">
        <v>42</v>
      </c>
      <c r="T28" s="33">
        <f>T24*T26/10^6</f>
        <v>0.4171518414</v>
      </c>
      <c r="U28" s="33">
        <f>U24*U26/10^6</f>
        <v>0.31374598080000005</v>
      </c>
      <c r="V28" s="33">
        <f>V24*V26/10^6</f>
        <v>0.37805466240000002</v>
      </c>
      <c r="W28" s="33">
        <f>W24*W26/10^6</f>
        <v>0.36957481500000006</v>
      </c>
    </row>
    <row r="29" spans="1:23" ht="15" customHeight="1" x14ac:dyDescent="0.2">
      <c r="A29" s="152" t="s">
        <v>77</v>
      </c>
      <c r="B29" s="152"/>
      <c r="C29" s="152"/>
      <c r="D29" s="152"/>
      <c r="E29" s="152"/>
      <c r="G29" s="152" t="s">
        <v>82</v>
      </c>
      <c r="H29" s="152"/>
      <c r="I29" s="152"/>
      <c r="J29" s="152"/>
      <c r="K29" s="152"/>
    </row>
    <row r="30" spans="1:23" ht="15" customHeight="1" x14ac:dyDescent="0.2">
      <c r="A30" s="2" t="s">
        <v>63</v>
      </c>
      <c r="B30" s="29" t="s">
        <v>9</v>
      </c>
      <c r="C30" s="29" t="s">
        <v>9</v>
      </c>
      <c r="D30" s="29" t="s">
        <v>9</v>
      </c>
      <c r="E30" s="29" t="s">
        <v>9</v>
      </c>
      <c r="G30" s="2" t="s">
        <v>63</v>
      </c>
      <c r="H30" s="29" t="s">
        <v>9</v>
      </c>
      <c r="I30" s="29" t="s">
        <v>9</v>
      </c>
      <c r="J30" s="29" t="s">
        <v>9</v>
      </c>
      <c r="K30" s="29" t="s">
        <v>9</v>
      </c>
    </row>
    <row r="31" spans="1:23" ht="15" customHeight="1" x14ac:dyDescent="0.2">
      <c r="A31" s="2" t="s">
        <v>64</v>
      </c>
      <c r="B31" s="29" t="s">
        <v>9</v>
      </c>
      <c r="C31" s="29" t="s">
        <v>9</v>
      </c>
      <c r="D31" s="29" t="s">
        <v>9</v>
      </c>
      <c r="E31" s="29" t="s">
        <v>9</v>
      </c>
      <c r="G31" s="2" t="s">
        <v>64</v>
      </c>
      <c r="H31" s="29" t="s">
        <v>9</v>
      </c>
      <c r="I31" s="29" t="s">
        <v>9</v>
      </c>
      <c r="J31" s="29" t="s">
        <v>9</v>
      </c>
      <c r="K31" s="29" t="s">
        <v>9</v>
      </c>
    </row>
    <row r="32" spans="1:23" ht="15" customHeight="1" x14ac:dyDescent="0.2">
      <c r="A32" s="2" t="s">
        <v>76</v>
      </c>
      <c r="B32" s="2">
        <v>30.08</v>
      </c>
      <c r="C32" s="2">
        <v>30.58</v>
      </c>
      <c r="D32" s="2">
        <v>31.1</v>
      </c>
      <c r="E32" s="33">
        <f>AVERAGE(B32:D32)</f>
        <v>30.586666666666662</v>
      </c>
      <c r="G32" s="2" t="s">
        <v>76</v>
      </c>
      <c r="H32" s="2">
        <v>28.25</v>
      </c>
      <c r="I32" s="2">
        <v>28.75</v>
      </c>
      <c r="J32" s="2">
        <v>29.33</v>
      </c>
      <c r="K32" s="33">
        <f>AVERAGE(H32:J32)</f>
        <v>28.776666666666667</v>
      </c>
    </row>
    <row r="33" spans="1:11" ht="15" customHeight="1" x14ac:dyDescent="0.2">
      <c r="A33" s="2" t="s">
        <v>39</v>
      </c>
      <c r="B33" s="31">
        <v>10769</v>
      </c>
      <c r="C33" s="31">
        <v>10093</v>
      </c>
      <c r="D33" s="31">
        <v>9828</v>
      </c>
      <c r="E33" s="31">
        <f>AVERAGE(B33:D33)</f>
        <v>10230</v>
      </c>
      <c r="G33" s="2" t="s">
        <v>39</v>
      </c>
      <c r="H33" s="31">
        <v>9862</v>
      </c>
      <c r="I33" s="31">
        <v>9881</v>
      </c>
      <c r="J33" s="31">
        <v>9705</v>
      </c>
      <c r="K33" s="31">
        <f>AVERAGE(H33:J33)</f>
        <v>9816</v>
      </c>
    </row>
    <row r="34" spans="1:11" ht="15" customHeight="1" x14ac:dyDescent="0.2">
      <c r="A34" s="2" t="s">
        <v>40</v>
      </c>
      <c r="B34" s="31">
        <v>9667</v>
      </c>
      <c r="C34" s="31">
        <v>9025</v>
      </c>
      <c r="D34" s="31">
        <v>8770</v>
      </c>
      <c r="E34" s="31">
        <f>AVERAGE(B34:D34)</f>
        <v>9154</v>
      </c>
      <c r="G34" s="2" t="s">
        <v>40</v>
      </c>
      <c r="H34" s="31">
        <v>8906</v>
      </c>
      <c r="I34" s="31">
        <v>8889</v>
      </c>
      <c r="J34" s="31">
        <v>8714</v>
      </c>
      <c r="K34" s="31">
        <f>AVERAGE(H34:J34)</f>
        <v>8836.3333333333339</v>
      </c>
    </row>
    <row r="35" spans="1:11" ht="15" customHeight="1" x14ac:dyDescent="0.2">
      <c r="A35" s="2" t="s">
        <v>41</v>
      </c>
      <c r="B35" s="2">
        <v>1.02</v>
      </c>
      <c r="C35" s="2">
        <v>1.39</v>
      </c>
      <c r="D35" s="2">
        <v>1.3</v>
      </c>
      <c r="E35" s="33">
        <f>AVERAGE(B35:D35)</f>
        <v>1.2366666666666666</v>
      </c>
      <c r="G35" s="2" t="s">
        <v>41</v>
      </c>
      <c r="H35" s="2">
        <v>1.54</v>
      </c>
      <c r="I35" s="2">
        <v>2.74</v>
      </c>
      <c r="J35" s="2">
        <v>3.93</v>
      </c>
      <c r="K35" s="33">
        <f>AVERAGE(H35:J35)</f>
        <v>2.7366666666666668</v>
      </c>
    </row>
    <row r="36" spans="1:11" ht="15" customHeight="1" x14ac:dyDescent="0.2">
      <c r="A36" s="2" t="s">
        <v>42</v>
      </c>
      <c r="B36" s="33">
        <f>B34*B35/10^6</f>
        <v>9.8603400000000004E-3</v>
      </c>
      <c r="C36" s="33">
        <f>C34*C35/10^6</f>
        <v>1.254475E-2</v>
      </c>
      <c r="D36" s="33">
        <f>D34*D35/10^6</f>
        <v>1.1401E-2</v>
      </c>
      <c r="E36" s="33">
        <f>AVERAGE(B36:D36)</f>
        <v>1.1268696666666668E-2</v>
      </c>
      <c r="G36" s="2" t="s">
        <v>42</v>
      </c>
      <c r="H36" s="33">
        <f>H35*H34/10^6</f>
        <v>1.371524E-2</v>
      </c>
      <c r="I36" s="33">
        <f>I35*I34/10^6</f>
        <v>2.435586E-2</v>
      </c>
      <c r="J36" s="33">
        <f>J35*J34/10^6</f>
        <v>3.4246020000000002E-2</v>
      </c>
      <c r="K36" s="33">
        <f>AVERAGE(H36:J36)</f>
        <v>2.4105706666666667E-2</v>
      </c>
    </row>
    <row r="37" spans="1:11" ht="15" customHeight="1" x14ac:dyDescent="0.2">
      <c r="A37" s="2"/>
      <c r="B37" s="2"/>
      <c r="C37" s="2"/>
      <c r="D37" s="2"/>
      <c r="E37" s="33"/>
    </row>
    <row r="39" spans="1:11" ht="15" customHeight="1" x14ac:dyDescent="0.25">
      <c r="A39" s="115"/>
      <c r="B39" s="113"/>
      <c r="C39" s="115"/>
      <c r="D39" s="115"/>
      <c r="E39" s="112"/>
      <c r="F39" s="109"/>
      <c r="G39" s="109"/>
      <c r="H39" s="109"/>
      <c r="I39" s="110"/>
    </row>
    <row r="40" spans="1:11" ht="15" customHeight="1" x14ac:dyDescent="0.25">
      <c r="A40" s="113"/>
      <c r="B40" s="113"/>
      <c r="C40" s="113"/>
      <c r="D40" s="113"/>
      <c r="E40" s="113"/>
      <c r="F40" s="110"/>
      <c r="G40" s="110"/>
      <c r="H40" s="110"/>
      <c r="I40" s="110"/>
    </row>
    <row r="41" spans="1:11" ht="15" customHeight="1" x14ac:dyDescent="0.25">
      <c r="A41" s="114"/>
      <c r="B41" s="114"/>
      <c r="C41" s="114"/>
      <c r="D41" s="114"/>
      <c r="E41" s="114"/>
      <c r="F41" s="111"/>
      <c r="G41" s="111"/>
      <c r="H41" s="111"/>
      <c r="I41" s="111"/>
    </row>
    <row r="42" spans="1:11" ht="15" customHeight="1" x14ac:dyDescent="0.25">
      <c r="A42" s="114"/>
      <c r="B42" s="114"/>
      <c r="C42" s="114"/>
      <c r="D42" s="114"/>
      <c r="E42" s="114"/>
      <c r="F42" s="111"/>
      <c r="G42" s="111"/>
      <c r="H42" s="111"/>
      <c r="I42" s="111"/>
    </row>
    <row r="43" spans="1:11" ht="15" customHeight="1" x14ac:dyDescent="0.25">
      <c r="A43" s="114"/>
      <c r="B43" s="114"/>
      <c r="C43" s="114"/>
      <c r="D43" s="114"/>
      <c r="E43" s="114"/>
      <c r="F43" s="111"/>
      <c r="G43" s="111"/>
      <c r="H43" s="111"/>
      <c r="I43" s="111"/>
    </row>
    <row r="44" spans="1:11" ht="15" customHeight="1" x14ac:dyDescent="0.25">
      <c r="A44" s="114"/>
      <c r="B44" s="114"/>
      <c r="C44" s="114"/>
      <c r="D44" s="114"/>
      <c r="E44" s="114"/>
      <c r="F44" s="111"/>
      <c r="G44" s="111"/>
      <c r="H44" s="111"/>
      <c r="I44" s="111"/>
    </row>
    <row r="45" spans="1:11" ht="15" customHeight="1" x14ac:dyDescent="0.25">
      <c r="A45" s="114"/>
      <c r="B45" s="114"/>
      <c r="C45" s="114"/>
      <c r="D45" s="114"/>
      <c r="E45" s="114"/>
      <c r="F45" s="111"/>
      <c r="G45" s="111"/>
      <c r="H45" s="111"/>
      <c r="I45" s="111"/>
    </row>
    <row r="46" spans="1:11" ht="15" customHeight="1" x14ac:dyDescent="0.25">
      <c r="A46" s="114"/>
      <c r="B46" s="114"/>
      <c r="C46" s="114"/>
      <c r="D46" s="114"/>
      <c r="E46" s="114"/>
      <c r="F46" s="111"/>
      <c r="G46" s="111"/>
      <c r="H46" s="111"/>
      <c r="I46" s="111"/>
    </row>
    <row r="47" spans="1:11" ht="15" customHeight="1" x14ac:dyDescent="0.25">
      <c r="A47" s="114"/>
      <c r="B47" s="114"/>
      <c r="C47" s="114"/>
      <c r="D47" s="114"/>
      <c r="E47" s="114"/>
      <c r="F47" s="111"/>
      <c r="G47" s="111"/>
      <c r="H47" s="111"/>
      <c r="I47" s="111"/>
    </row>
    <row r="48" spans="1:11" ht="15" customHeight="1" x14ac:dyDescent="0.25">
      <c r="A48" s="114"/>
      <c r="B48" s="114"/>
      <c r="C48" s="114"/>
      <c r="D48" s="114"/>
      <c r="E48" s="114"/>
      <c r="F48" s="111"/>
      <c r="G48" s="111"/>
      <c r="H48" s="111"/>
      <c r="I48" s="111"/>
    </row>
    <row r="49" spans="1:9" ht="15" customHeight="1" x14ac:dyDescent="0.25">
      <c r="A49" s="114"/>
      <c r="B49" s="114"/>
      <c r="C49" s="114"/>
      <c r="D49" s="114"/>
      <c r="E49" s="114"/>
      <c r="F49" s="111"/>
      <c r="G49" s="111"/>
      <c r="H49" s="111"/>
      <c r="I49" s="111"/>
    </row>
    <row r="50" spans="1:9" ht="15" customHeight="1" x14ac:dyDescent="0.25">
      <c r="A50" s="114"/>
      <c r="B50" s="114"/>
      <c r="C50" s="114"/>
      <c r="D50" s="114"/>
      <c r="E50" s="114"/>
      <c r="F50" s="111"/>
      <c r="G50" s="111"/>
      <c r="H50" s="111"/>
      <c r="I50" s="111"/>
    </row>
    <row r="51" spans="1:9" ht="15" customHeight="1" x14ac:dyDescent="0.25">
      <c r="A51" s="114"/>
      <c r="B51" s="114"/>
      <c r="C51" s="114"/>
      <c r="D51" s="114"/>
      <c r="E51" s="114"/>
      <c r="F51" s="111"/>
      <c r="G51" s="111"/>
      <c r="H51" s="111"/>
      <c r="I51" s="111"/>
    </row>
    <row r="52" spans="1:9" ht="15" customHeight="1" x14ac:dyDescent="0.25">
      <c r="A52" s="114"/>
      <c r="B52" s="114"/>
      <c r="C52" s="114"/>
      <c r="D52" s="114"/>
      <c r="E52" s="114"/>
      <c r="F52" s="111"/>
      <c r="G52" s="111"/>
      <c r="H52" s="111"/>
      <c r="I52" s="111"/>
    </row>
    <row r="53" spans="1:9" ht="15" customHeight="1" x14ac:dyDescent="0.25">
      <c r="A53" s="114"/>
      <c r="B53" s="114"/>
      <c r="C53" s="114"/>
      <c r="D53" s="114"/>
      <c r="E53" s="114"/>
      <c r="F53" s="111"/>
      <c r="G53" s="111"/>
      <c r="H53" s="111"/>
      <c r="I53" s="111"/>
    </row>
    <row r="54" spans="1:9" ht="15" customHeight="1" x14ac:dyDescent="0.25">
      <c r="A54" s="114"/>
      <c r="B54" s="114"/>
      <c r="C54" s="114"/>
      <c r="D54" s="114"/>
      <c r="E54" s="114"/>
      <c r="F54" s="111"/>
      <c r="G54" s="111"/>
      <c r="H54" s="111"/>
      <c r="I54" s="111"/>
    </row>
    <row r="55" spans="1:9" ht="15" customHeight="1" x14ac:dyDescent="0.25">
      <c r="A55" s="114"/>
      <c r="B55" s="114"/>
      <c r="C55" s="114"/>
      <c r="D55" s="114"/>
      <c r="E55" s="114"/>
      <c r="F55" s="111"/>
      <c r="G55" s="111"/>
      <c r="H55" s="111"/>
      <c r="I55" s="111"/>
    </row>
  </sheetData>
  <sheetProtection password="B056" sheet="1" objects="1" scenarios="1"/>
  <mergeCells count="18">
    <mergeCell ref="M19:Q19"/>
    <mergeCell ref="S19:W19"/>
    <mergeCell ref="M1:Q1"/>
    <mergeCell ref="S1:W1"/>
    <mergeCell ref="M2:Q2"/>
    <mergeCell ref="S2:W2"/>
    <mergeCell ref="M11:Q11"/>
    <mergeCell ref="S11:W11"/>
    <mergeCell ref="A1:E1"/>
    <mergeCell ref="A2:E2"/>
    <mergeCell ref="A11:E11"/>
    <mergeCell ref="A19:E19"/>
    <mergeCell ref="A29:E29"/>
    <mergeCell ref="G1:K1"/>
    <mergeCell ref="G2:K2"/>
    <mergeCell ref="G11:K11"/>
    <mergeCell ref="G19:K19"/>
    <mergeCell ref="G29:K29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C10" sqref="C10"/>
    </sheetView>
  </sheetViews>
  <sheetFormatPr defaultRowHeight="15" customHeight="1" x14ac:dyDescent="0.2"/>
  <cols>
    <col min="1" max="1" width="37.140625" style="1" customWidth="1"/>
    <col min="2" max="2" width="28" style="1" customWidth="1"/>
    <col min="3" max="3" width="26.42578125" style="1" bestFit="1" customWidth="1"/>
    <col min="4" max="4" width="15.140625" style="1" customWidth="1"/>
    <col min="5" max="5" width="11.85546875" style="1" bestFit="1" customWidth="1"/>
    <col min="6" max="6" width="11.85546875" style="1" customWidth="1"/>
    <col min="7" max="7" width="13.140625" style="1" customWidth="1"/>
    <col min="8" max="8" width="9.140625" style="1"/>
    <col min="9" max="9" width="29.28515625" style="1" customWidth="1"/>
    <col min="10" max="12" width="13.140625" style="1" customWidth="1"/>
    <col min="13" max="16384" width="9.140625" style="1"/>
  </cols>
  <sheetData>
    <row r="1" spans="1:10" ht="15" customHeight="1" x14ac:dyDescent="0.2">
      <c r="A1" s="1" t="s">
        <v>146</v>
      </c>
      <c r="D1" s="18"/>
      <c r="E1" s="18"/>
      <c r="F1" s="18"/>
      <c r="G1" s="18"/>
    </row>
    <row r="2" spans="1:10" ht="15" customHeight="1" x14ac:dyDescent="0.2">
      <c r="A2" s="159" t="s">
        <v>147</v>
      </c>
      <c r="B2" s="159"/>
      <c r="C2" s="159"/>
      <c r="D2" s="18"/>
      <c r="E2" s="18"/>
      <c r="F2" s="18"/>
      <c r="G2" s="18"/>
    </row>
    <row r="3" spans="1:10" ht="15" customHeight="1" x14ac:dyDescent="0.2">
      <c r="A3" s="160" t="s">
        <v>148</v>
      </c>
      <c r="B3" s="160"/>
      <c r="C3" s="160"/>
      <c r="D3" s="18"/>
      <c r="E3" s="18"/>
      <c r="F3" s="18"/>
      <c r="G3" s="18"/>
    </row>
    <row r="4" spans="1:10" ht="15" customHeight="1" x14ac:dyDescent="0.2">
      <c r="A4" s="161" t="s">
        <v>149</v>
      </c>
      <c r="B4" s="34" t="s">
        <v>150</v>
      </c>
      <c r="C4" s="34" t="s">
        <v>151</v>
      </c>
    </row>
    <row r="5" spans="1:10" ht="15" customHeight="1" x14ac:dyDescent="0.2">
      <c r="A5" s="161"/>
      <c r="B5" s="34" t="s">
        <v>152</v>
      </c>
      <c r="C5" s="34" t="s">
        <v>152</v>
      </c>
    </row>
    <row r="6" spans="1:10" ht="15" customHeight="1" x14ac:dyDescent="0.2">
      <c r="A6" s="59" t="s">
        <v>153</v>
      </c>
      <c r="B6" s="74">
        <v>0.2</v>
      </c>
      <c r="C6" s="74">
        <v>0.2</v>
      </c>
    </row>
    <row r="7" spans="1:10" ht="15" customHeight="1" x14ac:dyDescent="0.2">
      <c r="A7" s="59" t="s">
        <v>154</v>
      </c>
      <c r="B7" s="74">
        <v>0.6</v>
      </c>
      <c r="C7" s="74">
        <v>0.5</v>
      </c>
    </row>
    <row r="8" spans="1:10" ht="15" customHeight="1" x14ac:dyDescent="0.2">
      <c r="A8" s="59" t="s">
        <v>155</v>
      </c>
      <c r="B8" s="74">
        <v>0.8</v>
      </c>
      <c r="C8" s="74">
        <v>0.7</v>
      </c>
    </row>
    <row r="9" spans="1:10" ht="15" customHeight="1" x14ac:dyDescent="0.2">
      <c r="A9" s="60" t="s">
        <v>156</v>
      </c>
      <c r="B9" s="75" t="s">
        <v>157</v>
      </c>
      <c r="C9" s="75" t="s">
        <v>158</v>
      </c>
    </row>
    <row r="10" spans="1:10" ht="15" customHeight="1" x14ac:dyDescent="0.2">
      <c r="A10" s="60" t="s">
        <v>159</v>
      </c>
      <c r="B10" s="75">
        <v>15</v>
      </c>
      <c r="C10" s="75">
        <v>13</v>
      </c>
    </row>
    <row r="11" spans="1:10" ht="15" customHeight="1" x14ac:dyDescent="0.2">
      <c r="A11" s="59" t="s">
        <v>160</v>
      </c>
      <c r="B11" s="74">
        <v>0.9</v>
      </c>
      <c r="C11" s="74">
        <v>0.9</v>
      </c>
    </row>
    <row r="12" spans="1:10" ht="15" customHeight="1" x14ac:dyDescent="0.2">
      <c r="A12" s="59" t="s">
        <v>161</v>
      </c>
      <c r="B12" s="74">
        <v>14300</v>
      </c>
      <c r="C12" s="74">
        <v>12500</v>
      </c>
      <c r="H12" s="65"/>
      <c r="I12" s="61"/>
      <c r="J12" s="61"/>
    </row>
    <row r="13" spans="1:10" ht="15" customHeight="1" x14ac:dyDescent="0.2">
      <c r="A13" s="60" t="s">
        <v>6</v>
      </c>
      <c r="B13" s="75">
        <v>8.4</v>
      </c>
      <c r="C13" s="75">
        <v>7.5</v>
      </c>
      <c r="H13" s="65"/>
      <c r="I13" s="61"/>
      <c r="J13" s="61"/>
    </row>
    <row r="14" spans="1:10" ht="15" customHeight="1" x14ac:dyDescent="0.2">
      <c r="A14" s="60" t="s">
        <v>162</v>
      </c>
      <c r="B14" s="75">
        <v>1.1000000000000001</v>
      </c>
      <c r="C14" s="75">
        <v>1</v>
      </c>
      <c r="H14" s="65"/>
      <c r="I14" s="61"/>
      <c r="J14" s="61"/>
    </row>
    <row r="15" spans="1:10" ht="15" customHeight="1" x14ac:dyDescent="0.2">
      <c r="A15" s="59" t="s">
        <v>163</v>
      </c>
      <c r="B15" s="74">
        <v>0.2</v>
      </c>
      <c r="C15" s="74">
        <v>0.2</v>
      </c>
      <c r="H15" s="65"/>
      <c r="I15" s="63"/>
      <c r="J15" s="63"/>
    </row>
    <row r="16" spans="1:10" ht="15" customHeight="1" x14ac:dyDescent="0.2">
      <c r="B16" s="137"/>
      <c r="C16" s="137"/>
      <c r="H16" s="65"/>
      <c r="I16" s="63"/>
      <c r="J16" s="63"/>
    </row>
    <row r="17" spans="1:10" ht="15" customHeight="1" x14ac:dyDescent="0.2">
      <c r="A17" s="48" t="s">
        <v>164</v>
      </c>
      <c r="B17" s="137">
        <v>0.36</v>
      </c>
      <c r="C17" s="137"/>
      <c r="H17" s="64"/>
      <c r="I17" s="63"/>
      <c r="J17" s="62"/>
    </row>
    <row r="18" spans="1:10" ht="15" customHeight="1" x14ac:dyDescent="0.2">
      <c r="A18" s="48" t="s">
        <v>165</v>
      </c>
      <c r="B18" s="138">
        <f>119.826/1000</f>
        <v>0.11982599999999999</v>
      </c>
      <c r="C18" s="137"/>
    </row>
    <row r="19" spans="1:10" ht="15" customHeight="1" x14ac:dyDescent="0.2">
      <c r="A19" s="48" t="s">
        <v>166</v>
      </c>
      <c r="B19" s="137">
        <v>0.437</v>
      </c>
      <c r="C19" s="137"/>
    </row>
    <row r="21" spans="1:10" ht="15" customHeight="1" x14ac:dyDescent="0.2">
      <c r="A21" s="153" t="s">
        <v>25</v>
      </c>
      <c r="B21" s="25"/>
      <c r="C21" s="61"/>
    </row>
    <row r="22" spans="1:10" ht="15" customHeight="1" x14ac:dyDescent="0.2">
      <c r="A22" s="154"/>
      <c r="B22" s="26"/>
      <c r="C22" s="61"/>
    </row>
    <row r="23" spans="1:10" ht="15" customHeight="1" x14ac:dyDescent="0.2">
      <c r="A23" s="154"/>
      <c r="B23" s="26"/>
      <c r="C23" s="61"/>
    </row>
    <row r="24" spans="1:10" ht="15" customHeight="1" x14ac:dyDescent="0.2">
      <c r="A24" s="154"/>
      <c r="B24" s="156" t="s">
        <v>28</v>
      </c>
      <c r="C24" s="63"/>
    </row>
    <row r="25" spans="1:10" ht="15" customHeight="1" x14ac:dyDescent="0.2">
      <c r="A25" s="154"/>
      <c r="B25" s="157"/>
      <c r="C25" s="63"/>
    </row>
    <row r="26" spans="1:10" ht="15" customHeight="1" x14ac:dyDescent="0.2">
      <c r="A26" s="155"/>
      <c r="B26" s="158"/>
      <c r="C26" s="63"/>
    </row>
  </sheetData>
  <sheetProtection password="B056" sheet="1" objects="1" scenarios="1"/>
  <mergeCells count="5">
    <mergeCell ref="A21:A26"/>
    <mergeCell ref="B24:B26"/>
    <mergeCell ref="A2:C2"/>
    <mergeCell ref="A3:C3"/>
    <mergeCell ref="A4:A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B17" sqref="B17"/>
    </sheetView>
  </sheetViews>
  <sheetFormatPr defaultRowHeight="15" x14ac:dyDescent="0.25"/>
  <cols>
    <col min="1" max="1" width="19.42578125" bestFit="1" customWidth="1"/>
    <col min="2" max="2" width="23.42578125" customWidth="1"/>
  </cols>
  <sheetData>
    <row r="1" spans="1:12" x14ac:dyDescent="0.25">
      <c r="A1" s="2" t="s">
        <v>27</v>
      </c>
    </row>
    <row r="2" spans="1:12" x14ac:dyDescent="0.25">
      <c r="A2" s="13" t="s">
        <v>12</v>
      </c>
      <c r="B2" s="13" t="s">
        <v>13</v>
      </c>
      <c r="C2" s="34" t="s">
        <v>14</v>
      </c>
      <c r="D2" s="34" t="s">
        <v>15</v>
      </c>
      <c r="E2" s="34" t="s">
        <v>16</v>
      </c>
      <c r="F2" s="34" t="s">
        <v>17</v>
      </c>
      <c r="G2" s="34" t="s">
        <v>18</v>
      </c>
      <c r="H2" s="34" t="s">
        <v>124</v>
      </c>
      <c r="I2" s="34" t="s">
        <v>125</v>
      </c>
    </row>
    <row r="3" spans="1:12" x14ac:dyDescent="0.25">
      <c r="A3" s="162" t="s">
        <v>115</v>
      </c>
      <c r="B3" s="54" t="s">
        <v>116</v>
      </c>
      <c r="C3" s="55">
        <v>4.1647481574952775E-3</v>
      </c>
      <c r="D3" s="55">
        <v>6.5318933034944765E-2</v>
      </c>
      <c r="E3" s="55">
        <v>9.7431139391112798E-5</v>
      </c>
      <c r="F3" s="55">
        <v>3.2117661168667613E-2</v>
      </c>
      <c r="G3" s="55">
        <v>1.0013560541894806E-2</v>
      </c>
      <c r="H3" s="55">
        <v>7.6789363702976381</v>
      </c>
      <c r="I3" s="55">
        <v>9.0350737078986789E-4</v>
      </c>
      <c r="L3" s="20"/>
    </row>
    <row r="4" spans="1:12" x14ac:dyDescent="0.25">
      <c r="A4" s="163"/>
      <c r="B4" s="54" t="s">
        <v>117</v>
      </c>
      <c r="C4" s="55">
        <v>1.9389461005136124E-2</v>
      </c>
      <c r="D4" s="55">
        <v>0.15850781980120351</v>
      </c>
      <c r="E4" s="55">
        <v>1.8265581631205882E-4</v>
      </c>
      <c r="F4" s="55">
        <v>0.19953638186759515</v>
      </c>
      <c r="G4" s="55">
        <v>8.7889870552575564E-2</v>
      </c>
      <c r="H4" s="55">
        <v>14.129238189499569</v>
      </c>
      <c r="I4" s="55">
        <v>7.9301638618412291E-3</v>
      </c>
      <c r="L4" s="20"/>
    </row>
    <row r="5" spans="1:12" x14ac:dyDescent="0.25">
      <c r="A5" s="163"/>
      <c r="B5" s="54" t="s">
        <v>118</v>
      </c>
      <c r="C5" s="55">
        <v>3.5159649405128737E-2</v>
      </c>
      <c r="D5" s="55">
        <v>0.39013010201093185</v>
      </c>
      <c r="E5" s="55">
        <v>3.1347091665644508E-4</v>
      </c>
      <c r="F5" s="55">
        <v>0.2004419223709539</v>
      </c>
      <c r="G5" s="55">
        <v>6.7138814469940591E-2</v>
      </c>
      <c r="H5" s="55">
        <v>26.722695910514073</v>
      </c>
      <c r="I5" s="55">
        <v>6.0578280967871325E-3</v>
      </c>
      <c r="L5" s="20"/>
    </row>
    <row r="6" spans="1:12" x14ac:dyDescent="0.25">
      <c r="A6" s="163"/>
      <c r="B6" s="54" t="s">
        <v>119</v>
      </c>
      <c r="C6" s="55">
        <v>3.4873730864910753E-2</v>
      </c>
      <c r="D6" s="55">
        <v>0.62819014565488085</v>
      </c>
      <c r="E6" s="55">
        <v>5.4259968788077681E-4</v>
      </c>
      <c r="F6" s="55">
        <v>0.29143683660988179</v>
      </c>
      <c r="G6" s="55">
        <v>7.9806989940830519E-2</v>
      </c>
      <c r="H6" s="55">
        <v>48.223729179933819</v>
      </c>
      <c r="I6" s="55">
        <v>7.2008552575325378E-3</v>
      </c>
      <c r="L6" s="20"/>
    </row>
    <row r="7" spans="1:12" x14ac:dyDescent="0.25">
      <c r="A7" s="163"/>
      <c r="B7" s="54" t="s">
        <v>120</v>
      </c>
      <c r="C7" s="55">
        <v>3.101083119228833E-2</v>
      </c>
      <c r="D7" s="55">
        <v>0.83698143551687265</v>
      </c>
      <c r="E7" s="55">
        <v>7.6033040375300068E-4</v>
      </c>
      <c r="F7" s="55">
        <v>0.22495851814724077</v>
      </c>
      <c r="G7" s="55">
        <v>8.0781384871570633E-2</v>
      </c>
      <c r="H7" s="55">
        <v>67.57462749683539</v>
      </c>
      <c r="I7" s="55">
        <v>7.2887737155482657E-3</v>
      </c>
      <c r="L7" s="20"/>
    </row>
    <row r="8" spans="1:12" x14ac:dyDescent="0.25">
      <c r="A8" s="163"/>
      <c r="B8" s="54" t="s">
        <v>121</v>
      </c>
      <c r="C8" s="55">
        <v>4.4312637095619792E-2</v>
      </c>
      <c r="D8" s="55">
        <v>1.1811178567160983</v>
      </c>
      <c r="E8" s="55">
        <v>1.0551972934755545E-3</v>
      </c>
      <c r="F8" s="55">
        <v>0.44023160723795168</v>
      </c>
      <c r="G8" s="55">
        <v>0.11468313954524458</v>
      </c>
      <c r="H8" s="55">
        <v>107.50511325477065</v>
      </c>
      <c r="I8" s="55">
        <v>1.0347677695252593E-2</v>
      </c>
    </row>
    <row r="9" spans="1:12" x14ac:dyDescent="0.25">
      <c r="A9" s="163"/>
      <c r="B9" s="54" t="s">
        <v>122</v>
      </c>
      <c r="C9" s="55">
        <v>9.1699292295937748E-2</v>
      </c>
      <c r="D9" s="55">
        <v>2.4816495823931239</v>
      </c>
      <c r="E9" s="55">
        <v>2.2143711863278365E-3</v>
      </c>
      <c r="F9" s="55">
        <v>0.8977989810489746</v>
      </c>
      <c r="G9" s="55">
        <v>0.2376690359121682</v>
      </c>
      <c r="H9" s="55">
        <v>220.23193257962103</v>
      </c>
      <c r="I9" s="55">
        <v>2.1444490325478866E-2</v>
      </c>
    </row>
    <row r="10" spans="1:12" x14ac:dyDescent="0.25">
      <c r="A10" s="163"/>
      <c r="B10" s="54" t="s">
        <v>123</v>
      </c>
      <c r="C10" s="55">
        <v>0.11281698418835924</v>
      </c>
      <c r="D10" s="55">
        <v>3.6320533542247149</v>
      </c>
      <c r="E10" s="55">
        <v>2.708513011176045E-3</v>
      </c>
      <c r="F10" s="55">
        <v>1.2834306373108464</v>
      </c>
      <c r="G10" s="55">
        <v>0.33188731556128104</v>
      </c>
      <c r="H10" s="55">
        <v>269.37717766866973</v>
      </c>
      <c r="I10" s="55">
        <v>2.9945664738985911E-2</v>
      </c>
    </row>
    <row r="12" spans="1:12" x14ac:dyDescent="0.25">
      <c r="A12" s="2" t="s">
        <v>263</v>
      </c>
    </row>
    <row r="13" spans="1:12" x14ac:dyDescent="0.25">
      <c r="A13" s="2" t="s">
        <v>264</v>
      </c>
    </row>
  </sheetData>
  <sheetProtection password="B056" sheet="1" objects="1" scenarios="1"/>
  <mergeCells count="1">
    <mergeCell ref="A3:A1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3" sqref="B3:D3"/>
    </sheetView>
  </sheetViews>
  <sheetFormatPr defaultRowHeight="15" x14ac:dyDescent="0.25"/>
  <cols>
    <col min="1" max="1" width="27.140625" customWidth="1"/>
    <col min="2" max="3" width="11.7109375" customWidth="1"/>
    <col min="4" max="4" width="13.5703125" customWidth="1"/>
  </cols>
  <sheetData>
    <row r="1" spans="1:4" x14ac:dyDescent="0.25">
      <c r="A1" s="38" t="s">
        <v>84</v>
      </c>
      <c r="B1" s="45"/>
      <c r="C1" s="45"/>
      <c r="D1" s="45"/>
    </row>
    <row r="2" spans="1:4" x14ac:dyDescent="0.25">
      <c r="A2" s="27"/>
      <c r="B2" s="27" t="s">
        <v>2</v>
      </c>
      <c r="C2" s="27" t="s">
        <v>85</v>
      </c>
      <c r="D2" s="27" t="s">
        <v>86</v>
      </c>
    </row>
    <row r="3" spans="1:4" x14ac:dyDescent="0.25">
      <c r="A3" s="28" t="s">
        <v>87</v>
      </c>
      <c r="B3" s="74">
        <v>0.74</v>
      </c>
      <c r="C3" s="74">
        <v>0.35</v>
      </c>
      <c r="D3" s="74">
        <v>5.2999999999999999E-2</v>
      </c>
    </row>
    <row r="5" spans="1:4" x14ac:dyDescent="0.25">
      <c r="A5" s="153" t="s">
        <v>25</v>
      </c>
      <c r="B5" s="39"/>
      <c r="C5" s="40"/>
      <c r="D5" s="40"/>
    </row>
    <row r="6" spans="1:4" x14ac:dyDescent="0.25">
      <c r="A6" s="154"/>
      <c r="B6" s="41"/>
      <c r="C6" s="42"/>
      <c r="D6" s="42"/>
    </row>
    <row r="7" spans="1:4" x14ac:dyDescent="0.25">
      <c r="A7" s="154"/>
      <c r="B7" s="43"/>
      <c r="C7" s="44"/>
      <c r="D7" s="44"/>
    </row>
    <row r="8" spans="1:4" x14ac:dyDescent="0.25">
      <c r="A8" s="154"/>
      <c r="B8" s="156" t="s">
        <v>88</v>
      </c>
      <c r="C8" s="164"/>
      <c r="D8" s="164"/>
    </row>
    <row r="9" spans="1:4" x14ac:dyDescent="0.25">
      <c r="A9" s="154"/>
      <c r="B9" s="157"/>
      <c r="C9" s="165"/>
      <c r="D9" s="165"/>
    </row>
    <row r="10" spans="1:4" ht="16.5" customHeight="1" x14ac:dyDescent="0.25">
      <c r="A10" s="154"/>
      <c r="B10" s="157"/>
      <c r="C10" s="165"/>
      <c r="D10" s="165"/>
    </row>
    <row r="11" spans="1:4" ht="23.25" customHeight="1" x14ac:dyDescent="0.25">
      <c r="A11" s="155"/>
      <c r="B11" s="158"/>
      <c r="C11" s="166"/>
      <c r="D11" s="166"/>
    </row>
  </sheetData>
  <sheetProtection password="B056" sheet="1" objects="1" scenarios="1"/>
  <mergeCells count="2">
    <mergeCell ref="A5:A11"/>
    <mergeCell ref="B8:D1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workbookViewId="0">
      <selection activeCell="D8" sqref="D8"/>
    </sheetView>
  </sheetViews>
  <sheetFormatPr defaultRowHeight="15" x14ac:dyDescent="0.25"/>
  <cols>
    <col min="1" max="4" width="14.85546875" customWidth="1"/>
    <col min="6" max="7" width="12.140625" customWidth="1"/>
    <col min="8" max="8" width="17.5703125" customWidth="1"/>
    <col min="9" max="10" width="12.140625" customWidth="1"/>
  </cols>
  <sheetData>
    <row r="1" spans="1:10" x14ac:dyDescent="0.25">
      <c r="A1" s="2" t="s">
        <v>215</v>
      </c>
      <c r="C1" s="89"/>
      <c r="D1" s="89"/>
      <c r="F1" s="161" t="s">
        <v>193</v>
      </c>
      <c r="G1" s="161"/>
      <c r="H1" s="161"/>
      <c r="I1" s="161"/>
      <c r="J1" s="161"/>
    </row>
    <row r="2" spans="1:10" ht="33.75" x14ac:dyDescent="0.25">
      <c r="A2" s="167" t="s">
        <v>216</v>
      </c>
      <c r="B2" s="167"/>
      <c r="C2" s="167"/>
      <c r="D2" s="167"/>
      <c r="F2" s="68" t="s">
        <v>194</v>
      </c>
      <c r="G2" s="83" t="s">
        <v>195</v>
      </c>
      <c r="H2" s="83" t="s">
        <v>217</v>
      </c>
      <c r="I2" s="68" t="s">
        <v>196</v>
      </c>
      <c r="J2" s="68" t="s">
        <v>197</v>
      </c>
    </row>
    <row r="3" spans="1:10" x14ac:dyDescent="0.25">
      <c r="A3" s="161" t="s">
        <v>218</v>
      </c>
      <c r="B3" s="161" t="s">
        <v>219</v>
      </c>
      <c r="C3" s="161"/>
      <c r="D3" s="161"/>
      <c r="F3" s="74" t="s">
        <v>198</v>
      </c>
      <c r="G3" s="74">
        <v>0</v>
      </c>
      <c r="H3" s="74">
        <v>0</v>
      </c>
      <c r="I3" s="74">
        <v>31</v>
      </c>
      <c r="J3" s="85">
        <f>1-((1.2*H3)/(I3*24))</f>
        <v>1</v>
      </c>
    </row>
    <row r="4" spans="1:10" x14ac:dyDescent="0.25">
      <c r="A4" s="161"/>
      <c r="B4" s="68" t="s">
        <v>200</v>
      </c>
      <c r="C4" s="68" t="s">
        <v>201</v>
      </c>
      <c r="D4" s="68" t="s">
        <v>202</v>
      </c>
      <c r="F4" s="74" t="s">
        <v>199</v>
      </c>
      <c r="G4" s="74">
        <v>52</v>
      </c>
      <c r="H4" s="74">
        <v>17</v>
      </c>
      <c r="I4" s="74">
        <v>28</v>
      </c>
      <c r="J4" s="85">
        <f t="shared" ref="J4:J13" si="0">1-((1.2*H4)/(I4*24))</f>
        <v>0.96964285714285714</v>
      </c>
    </row>
    <row r="5" spans="1:10" x14ac:dyDescent="0.25">
      <c r="A5" s="90" t="s">
        <v>207</v>
      </c>
      <c r="B5" s="91">
        <v>0.15</v>
      </c>
      <c r="C5" s="15">
        <v>0.62</v>
      </c>
      <c r="D5" s="15">
        <v>3.23</v>
      </c>
      <c r="F5" s="74" t="s">
        <v>203</v>
      </c>
      <c r="G5" s="74">
        <v>69</v>
      </c>
      <c r="H5" s="74">
        <v>21</v>
      </c>
      <c r="I5" s="74">
        <v>31</v>
      </c>
      <c r="J5" s="85">
        <f t="shared" si="0"/>
        <v>0.96612903225806457</v>
      </c>
    </row>
    <row r="6" spans="1:10" x14ac:dyDescent="0.25">
      <c r="C6" s="89"/>
      <c r="D6" s="89"/>
      <c r="F6" s="74" t="s">
        <v>204</v>
      </c>
      <c r="G6" s="74">
        <v>44</v>
      </c>
      <c r="H6" s="74">
        <v>17</v>
      </c>
      <c r="I6" s="74">
        <v>30</v>
      </c>
      <c r="J6" s="85">
        <f t="shared" si="0"/>
        <v>0.97166666666666668</v>
      </c>
    </row>
    <row r="7" spans="1:10" x14ac:dyDescent="0.25">
      <c r="A7" s="153" t="s">
        <v>25</v>
      </c>
      <c r="B7" s="39"/>
      <c r="C7" s="40"/>
      <c r="D7" s="40"/>
      <c r="E7" s="84"/>
      <c r="F7" s="74" t="s">
        <v>205</v>
      </c>
      <c r="G7" s="74">
        <v>185.8</v>
      </c>
      <c r="H7" s="74">
        <v>87</v>
      </c>
      <c r="I7" s="74">
        <v>31</v>
      </c>
      <c r="J7" s="85">
        <f t="shared" si="0"/>
        <v>0.85967741935483866</v>
      </c>
    </row>
    <row r="8" spans="1:10" x14ac:dyDescent="0.25">
      <c r="A8" s="154"/>
      <c r="B8" s="41"/>
      <c r="C8" s="42"/>
      <c r="D8" s="42"/>
      <c r="E8" s="84"/>
      <c r="F8" s="74" t="s">
        <v>206</v>
      </c>
      <c r="G8" s="74">
        <v>119.2</v>
      </c>
      <c r="H8" s="74">
        <v>37</v>
      </c>
      <c r="I8" s="74">
        <v>30</v>
      </c>
      <c r="J8" s="85">
        <f t="shared" si="0"/>
        <v>0.93833333333333335</v>
      </c>
    </row>
    <row r="9" spans="1:10" x14ac:dyDescent="0.25">
      <c r="A9" s="154"/>
      <c r="B9" s="43"/>
      <c r="C9" s="44"/>
      <c r="D9" s="44"/>
      <c r="E9" s="84"/>
      <c r="F9" s="74" t="s">
        <v>208</v>
      </c>
      <c r="G9" s="74">
        <v>17.8</v>
      </c>
      <c r="H9" s="74">
        <v>16</v>
      </c>
      <c r="I9" s="74">
        <v>31</v>
      </c>
      <c r="J9" s="85">
        <f t="shared" si="0"/>
        <v>0.97419354838709682</v>
      </c>
    </row>
    <row r="10" spans="1:10" x14ac:dyDescent="0.25">
      <c r="A10" s="154"/>
      <c r="B10" s="156" t="s">
        <v>220</v>
      </c>
      <c r="C10" s="164"/>
      <c r="D10" s="164"/>
      <c r="E10" s="63"/>
      <c r="F10" s="74" t="s">
        <v>209</v>
      </c>
      <c r="G10" s="74">
        <v>70.2</v>
      </c>
      <c r="H10" s="74">
        <v>41</v>
      </c>
      <c r="I10" s="74">
        <v>31</v>
      </c>
      <c r="J10" s="85">
        <f t="shared" si="0"/>
        <v>0.93387096774193545</v>
      </c>
    </row>
    <row r="11" spans="1:10" x14ac:dyDescent="0.25">
      <c r="A11" s="154"/>
      <c r="B11" s="157"/>
      <c r="C11" s="165"/>
      <c r="D11" s="165"/>
      <c r="E11" s="63"/>
      <c r="F11" s="74" t="s">
        <v>210</v>
      </c>
      <c r="G11" s="74">
        <v>25.2</v>
      </c>
      <c r="H11" s="74">
        <v>20</v>
      </c>
      <c r="I11" s="74">
        <v>30</v>
      </c>
      <c r="J11" s="85">
        <f t="shared" si="0"/>
        <v>0.96666666666666667</v>
      </c>
    </row>
    <row r="12" spans="1:10" x14ac:dyDescent="0.25">
      <c r="A12" s="154"/>
      <c r="B12" s="157"/>
      <c r="C12" s="165"/>
      <c r="D12" s="165"/>
      <c r="E12" s="63"/>
      <c r="F12" s="74" t="s">
        <v>211</v>
      </c>
      <c r="G12" s="74">
        <v>54.4</v>
      </c>
      <c r="H12" s="74">
        <v>29</v>
      </c>
      <c r="I12" s="74">
        <v>31</v>
      </c>
      <c r="J12" s="85">
        <f t="shared" si="0"/>
        <v>0.95322580645161292</v>
      </c>
    </row>
    <row r="13" spans="1:10" x14ac:dyDescent="0.25">
      <c r="A13" s="154"/>
      <c r="B13" s="157"/>
      <c r="C13" s="165"/>
      <c r="D13" s="165"/>
      <c r="E13" s="63"/>
      <c r="F13" s="74" t="s">
        <v>212</v>
      </c>
      <c r="G13" s="87">
        <v>48.6</v>
      </c>
      <c r="H13" s="74">
        <v>30</v>
      </c>
      <c r="I13" s="74">
        <v>30</v>
      </c>
      <c r="J13" s="85">
        <f t="shared" si="0"/>
        <v>0.95</v>
      </c>
    </row>
    <row r="14" spans="1:10" x14ac:dyDescent="0.25">
      <c r="A14" s="154"/>
      <c r="B14" s="157"/>
      <c r="C14" s="165"/>
      <c r="D14" s="165"/>
      <c r="E14" s="63"/>
      <c r="F14" s="74" t="s">
        <v>213</v>
      </c>
      <c r="G14" s="74">
        <v>91.4</v>
      </c>
      <c r="H14" s="74">
        <v>22</v>
      </c>
      <c r="I14" s="74">
        <v>31</v>
      </c>
      <c r="J14" s="85">
        <f>1-((1.2*H14)/(I14*24))</f>
        <v>0.96451612903225803</v>
      </c>
    </row>
    <row r="15" spans="1:10" x14ac:dyDescent="0.25">
      <c r="A15" s="154"/>
      <c r="B15" s="157"/>
      <c r="C15" s="165"/>
      <c r="D15" s="165"/>
      <c r="E15" s="63"/>
      <c r="F15" s="88" t="s">
        <v>214</v>
      </c>
      <c r="G15" s="17">
        <f>(1-(1.2*SUM(H3:H14))/8760)</f>
        <v>0.95383561643835613</v>
      </c>
      <c r="H15" s="2"/>
      <c r="I15" s="67"/>
      <c r="J15" s="2"/>
    </row>
    <row r="16" spans="1:10" x14ac:dyDescent="0.25">
      <c r="A16" s="155"/>
      <c r="B16" s="158"/>
      <c r="C16" s="166"/>
      <c r="D16" s="166"/>
      <c r="E16" s="63"/>
    </row>
    <row r="17" spans="1:14" x14ac:dyDescent="0.25">
      <c r="A17" s="86"/>
      <c r="B17" s="89"/>
      <c r="C17" s="89"/>
      <c r="D17" s="89"/>
    </row>
    <row r="19" spans="1:14" x14ac:dyDescent="0.25">
      <c r="A19" s="161" t="s">
        <v>221</v>
      </c>
      <c r="B19" s="168" t="s">
        <v>222</v>
      </c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</row>
    <row r="20" spans="1:14" x14ac:dyDescent="0.25">
      <c r="A20" s="161"/>
      <c r="B20" s="161" t="s">
        <v>223</v>
      </c>
      <c r="C20" s="161"/>
      <c r="D20" s="161"/>
      <c r="E20" s="161"/>
      <c r="F20" s="161"/>
      <c r="G20" s="161"/>
      <c r="H20" s="161"/>
      <c r="I20" s="161" t="s">
        <v>224</v>
      </c>
      <c r="J20" s="161"/>
      <c r="K20" s="161"/>
      <c r="L20" s="161" t="s">
        <v>225</v>
      </c>
      <c r="M20" s="161"/>
      <c r="N20" s="161"/>
    </row>
    <row r="21" spans="1:14" x14ac:dyDescent="0.25">
      <c r="A21" s="161"/>
      <c r="B21" s="68" t="s">
        <v>2</v>
      </c>
      <c r="C21" s="68" t="s">
        <v>85</v>
      </c>
      <c r="D21" s="68" t="s">
        <v>226</v>
      </c>
      <c r="E21" s="68" t="s">
        <v>227</v>
      </c>
      <c r="F21" s="68" t="s">
        <v>228</v>
      </c>
      <c r="G21" s="68" t="s">
        <v>6</v>
      </c>
      <c r="H21" s="68" t="s">
        <v>229</v>
      </c>
      <c r="I21" s="68" t="s">
        <v>2</v>
      </c>
      <c r="J21" s="68" t="s">
        <v>85</v>
      </c>
      <c r="K21" s="68" t="s">
        <v>226</v>
      </c>
      <c r="L21" s="68" t="s">
        <v>2</v>
      </c>
      <c r="M21" s="68" t="s">
        <v>85</v>
      </c>
      <c r="N21" s="68" t="s">
        <v>226</v>
      </c>
    </row>
    <row r="22" spans="1:14" x14ac:dyDescent="0.25">
      <c r="A22" s="92" t="s">
        <v>230</v>
      </c>
      <c r="B22" s="139">
        <v>0.17489827604766656</v>
      </c>
      <c r="C22" s="139">
        <v>0.17489827604766656</v>
      </c>
      <c r="D22" s="139">
        <v>0.17489827604766656</v>
      </c>
      <c r="E22" s="139">
        <v>5.4345140567386743</v>
      </c>
      <c r="F22" s="139">
        <v>0.21032135261668511</v>
      </c>
      <c r="G22" s="139">
        <v>1.0383730075038093</v>
      </c>
      <c r="H22" s="139">
        <v>0.24766340643796464</v>
      </c>
      <c r="I22" s="140">
        <v>6.7633804693835883E-2</v>
      </c>
      <c r="J22" s="140">
        <v>5.1332470377789451E-2</v>
      </c>
      <c r="K22" s="140">
        <v>2.7520218195668727E-2</v>
      </c>
      <c r="L22" s="140">
        <v>6.3494136177677976E-2</v>
      </c>
      <c r="M22" s="140">
        <v>3.1747068088838988E-2</v>
      </c>
      <c r="N22" s="140">
        <v>1.7137767759244575E-2</v>
      </c>
    </row>
  </sheetData>
  <sheetProtection password="B056" sheet="1" objects="1" scenarios="1"/>
  <mergeCells count="11">
    <mergeCell ref="A19:A21"/>
    <mergeCell ref="B19:N19"/>
    <mergeCell ref="B20:H20"/>
    <mergeCell ref="I20:K20"/>
    <mergeCell ref="L20:N20"/>
    <mergeCell ref="F1:J1"/>
    <mergeCell ref="A2:D2"/>
    <mergeCell ref="A3:A4"/>
    <mergeCell ref="B3:D3"/>
    <mergeCell ref="A7:A16"/>
    <mergeCell ref="B10:D16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zoomScaleNormal="100" workbookViewId="0">
      <selection activeCell="J22" sqref="J22"/>
    </sheetView>
  </sheetViews>
  <sheetFormatPr defaultRowHeight="15" customHeight="1" x14ac:dyDescent="0.2"/>
  <cols>
    <col min="1" max="1" width="37.140625" style="1" customWidth="1"/>
    <col min="2" max="2" width="21" style="1" customWidth="1"/>
    <col min="3" max="3" width="11.28515625" style="1" customWidth="1"/>
    <col min="4" max="4" width="13.28515625" style="1" customWidth="1"/>
    <col min="5" max="5" width="12.28515625" style="1" customWidth="1"/>
    <col min="6" max="6" width="11.5703125" style="1" customWidth="1"/>
    <col min="7" max="7" width="13.5703125" style="1" customWidth="1"/>
    <col min="8" max="8" width="14.5703125" style="1" customWidth="1"/>
    <col min="9" max="9" width="12" style="1" customWidth="1"/>
    <col min="10" max="10" width="9.140625" style="1"/>
    <col min="11" max="11" width="9.140625" style="1" customWidth="1"/>
    <col min="12" max="16384" width="9.140625" style="1"/>
  </cols>
  <sheetData>
    <row r="1" spans="1:17" ht="15" customHeight="1" x14ac:dyDescent="0.2">
      <c r="A1" s="171" t="s">
        <v>0</v>
      </c>
      <c r="B1" s="172" t="s">
        <v>24</v>
      </c>
      <c r="C1" s="171" t="s">
        <v>11</v>
      </c>
      <c r="D1" s="171" t="s">
        <v>257</v>
      </c>
      <c r="E1" s="171" t="s">
        <v>258</v>
      </c>
      <c r="F1" s="171" t="s">
        <v>259</v>
      </c>
      <c r="G1" s="171" t="s">
        <v>260</v>
      </c>
      <c r="H1" s="171" t="s">
        <v>261</v>
      </c>
      <c r="I1" s="171" t="s">
        <v>262</v>
      </c>
      <c r="J1" s="169" t="s">
        <v>1</v>
      </c>
      <c r="K1" s="170"/>
      <c r="L1" s="170"/>
      <c r="M1" s="170"/>
      <c r="N1" s="170"/>
      <c r="O1" s="170"/>
      <c r="P1" s="170"/>
    </row>
    <row r="2" spans="1:17" ht="22.5" customHeight="1" x14ac:dyDescent="0.2">
      <c r="A2" s="172"/>
      <c r="B2" s="173"/>
      <c r="C2" s="171"/>
      <c r="D2" s="171"/>
      <c r="E2" s="171"/>
      <c r="F2" s="171"/>
      <c r="G2" s="171"/>
      <c r="H2" s="171"/>
      <c r="I2" s="171"/>
      <c r="J2" s="7" t="s">
        <v>2</v>
      </c>
      <c r="K2" s="7" t="s">
        <v>4</v>
      </c>
      <c r="L2" s="7" t="s">
        <v>5</v>
      </c>
      <c r="M2" s="8" t="s">
        <v>7</v>
      </c>
      <c r="N2" s="8" t="s">
        <v>8</v>
      </c>
      <c r="O2" s="8" t="s">
        <v>6</v>
      </c>
      <c r="P2" s="8" t="s">
        <v>255</v>
      </c>
    </row>
    <row r="3" spans="1:17" ht="15" customHeight="1" x14ac:dyDescent="0.2">
      <c r="A3" s="11" t="s">
        <v>34</v>
      </c>
      <c r="B3" s="24" t="s">
        <v>128</v>
      </c>
      <c r="C3" s="36" t="s">
        <v>9</v>
      </c>
      <c r="D3" s="53">
        <v>-20.188818000000001</v>
      </c>
      <c r="E3" s="53">
        <v>-40.249644000000004</v>
      </c>
      <c r="F3" s="51">
        <v>1.1200000000000001</v>
      </c>
      <c r="G3" s="9">
        <f>AVERAGE(Monitoramento!E7,Monitoramento!K7,Monitoramento!Q7,Monitoramento!W7)</f>
        <v>39347.309166666666</v>
      </c>
      <c r="H3" s="6">
        <f>AVERAGE(Monitoramento!E6,Monitoramento!K6,(Monitoramento!Q6-273.15),(Monitoramento!W6-273.15))</f>
        <v>67.710000000000022</v>
      </c>
      <c r="I3" s="29">
        <v>10</v>
      </c>
      <c r="J3" s="15">
        <f>(AVERAGE((Monitoramento!E8*Monitoramento!E9),(Monitoramento!K8*Monitoramento!K9),(Monitoramento!Q8*Monitoramento!Q9),(Monitoramento!W8*Monitoramento!W9)))/10^6</f>
        <v>0.39684999093611112</v>
      </c>
      <c r="K3" s="85">
        <f>J3*0.85</f>
        <v>0.33732249229569444</v>
      </c>
      <c r="L3" s="85">
        <f>J3*0.3</f>
        <v>0.11905499728083332</v>
      </c>
      <c r="M3" s="23" t="s">
        <v>9</v>
      </c>
      <c r="N3" s="23" t="s">
        <v>9</v>
      </c>
      <c r="O3" s="23" t="s">
        <v>9</v>
      </c>
      <c r="P3" s="23" t="s">
        <v>9</v>
      </c>
    </row>
    <row r="4" spans="1:17" ht="15" customHeight="1" x14ac:dyDescent="0.2">
      <c r="A4" s="11" t="s">
        <v>102</v>
      </c>
      <c r="B4" s="24" t="s">
        <v>128</v>
      </c>
      <c r="C4" s="36" t="s">
        <v>9</v>
      </c>
      <c r="D4" s="53">
        <v>-20.188818000000001</v>
      </c>
      <c r="E4" s="53">
        <v>-40.249644000000004</v>
      </c>
      <c r="F4" s="10">
        <v>0.5</v>
      </c>
      <c r="G4" s="9">
        <f>AVERAGE(Monitoramento!E15,Monitoramento!K15,Monitoramento!Q15,Monitoramento!W15)</f>
        <v>8928.0666666666657</v>
      </c>
      <c r="H4" s="9">
        <f>AVERAGE(Monitoramento!E14,Monitoramento!K14,(Monitoramento!Q14-273.15),(Monitoramento!W14-273.15))</f>
        <v>36.417500000000004</v>
      </c>
      <c r="I4" s="29">
        <v>10</v>
      </c>
      <c r="J4" s="15">
        <f>(AVERAGE((Monitoramento!E16*Monitoramento!E17),(Monitoramento!K16*Monitoramento!K17),(Monitoramento!Q16*Monitoramento!Q17),(Monitoramento!W16*Monitoramento!W17)))/10^6</f>
        <v>5.8796414691666674E-2</v>
      </c>
      <c r="K4" s="85">
        <f>J4*0.85</f>
        <v>4.997695248791667E-2</v>
      </c>
      <c r="L4" s="85">
        <f>J4*0.3</f>
        <v>1.7638924407500003E-2</v>
      </c>
      <c r="M4" s="23" t="s">
        <v>9</v>
      </c>
      <c r="N4" s="23" t="s">
        <v>9</v>
      </c>
      <c r="O4" s="23" t="s">
        <v>9</v>
      </c>
      <c r="P4" s="23" t="s">
        <v>9</v>
      </c>
    </row>
    <row r="5" spans="1:17" ht="15" customHeight="1" x14ac:dyDescent="0.2">
      <c r="A5" s="11" t="s">
        <v>35</v>
      </c>
      <c r="B5" s="24" t="s">
        <v>33</v>
      </c>
      <c r="C5" s="36">
        <f>300/24</f>
        <v>12.5</v>
      </c>
      <c r="D5" s="53">
        <v>-20.188818000000001</v>
      </c>
      <c r="E5" s="53">
        <v>-40.249644000000004</v>
      </c>
      <c r="F5" s="10">
        <v>1.1200000000000001</v>
      </c>
      <c r="G5" s="9">
        <f>AVERAGE(Monitoramento!E23,Monitoramento!K23,Monitoramento!Q23,Monitoramento!W23)</f>
        <v>28064.478333333336</v>
      </c>
      <c r="H5" s="16">
        <f>AVERAGE(Monitoramento!E22,Monitoramento!K22,(Monitoramento!Q22-273.15),(Monitoramento!W22-273.15))</f>
        <v>52.120000000000005</v>
      </c>
      <c r="I5" s="29">
        <v>10.18</v>
      </c>
      <c r="J5" s="85">
        <f>(AVERAGE((Monitoramento!E24*Monitoramento!E25),(Monitoramento!K24*Monitoramento!K25),(Monitoramento!Q24*Monitoramento!Q25),(Monitoramento!W24*Monitoramento!W25)))/10^6</f>
        <v>0.38616763616666672</v>
      </c>
      <c r="K5" s="85">
        <f>J5</f>
        <v>0.38616763616666672</v>
      </c>
      <c r="L5" s="85">
        <f>J5</f>
        <v>0.38616763616666672</v>
      </c>
      <c r="M5" s="14">
        <f>0.5*(C5*'FE-Combustão'!$B$10*'FE-Combustão'!$B$18)+0.5*(C5*'FE-Combustão'!$C$10*'FE-Combustão'!$B$18)</f>
        <v>20.969549999999998</v>
      </c>
      <c r="N5" s="14">
        <f>0.5*(0.09*'FE-Combustão'!$B$17*'FE-Combustão'!$B$19*'FE-Combustão'!$B$18*C5)+0.5*(0.1*'FE-Combustão'!$B$17*'FE-Combustão'!$B$19*'FE-Combustão'!$B$18*C5)</f>
        <v>2.2385593754999995E-2</v>
      </c>
      <c r="O5" s="14">
        <f>0.5*(C5*'FE-Combustão'!$B$13*'FE-Combustão'!$B$18)+0.5*(C5*'FE-Combustão'!$C$13*'FE-Combustão'!$B$18)</f>
        <v>11.907708749999998</v>
      </c>
      <c r="P5" s="14">
        <f>0.5*(C5*'FE-Combustão'!$B$14*'FE-Combustão'!$B$18)+0.5*(C5*'FE-Combustão'!$C$14*'FE-Combustão'!$B$18)</f>
        <v>1.57271625</v>
      </c>
      <c r="Q5" s="35"/>
    </row>
    <row r="6" spans="1:17" ht="15" customHeight="1" x14ac:dyDescent="0.2">
      <c r="A6" s="11" t="s">
        <v>113</v>
      </c>
      <c r="B6" s="24" t="s">
        <v>128</v>
      </c>
      <c r="C6" s="36" t="s">
        <v>9</v>
      </c>
      <c r="D6" s="53">
        <v>-20.188818000000001</v>
      </c>
      <c r="E6" s="53">
        <v>-40.249644000000004</v>
      </c>
      <c r="F6" s="10">
        <v>0.82</v>
      </c>
      <c r="G6" s="9">
        <f>AVERAGE(Monitoramento!E33,Monitoramento!K33)</f>
        <v>10023</v>
      </c>
      <c r="H6" s="16">
        <f>AVERAGE(Monitoramento!E32,Monitoramento!K32)</f>
        <v>29.681666666666665</v>
      </c>
      <c r="I6" s="29">
        <v>10.35</v>
      </c>
      <c r="J6" s="15">
        <f>AVERAGE((Monitoramento!E35*Monitoramento!E34),(Monitoramento!K35*Monitoramento!K34))/10^6</f>
        <v>1.7751272777777782E-2</v>
      </c>
      <c r="K6" s="85">
        <f>J6*0.85</f>
        <v>1.5088581861111113E-2</v>
      </c>
      <c r="L6" s="85">
        <f>J6*0.3</f>
        <v>5.3253818333333343E-3</v>
      </c>
      <c r="M6" s="23" t="s">
        <v>9</v>
      </c>
      <c r="N6" s="23" t="s">
        <v>9</v>
      </c>
      <c r="O6" s="23" t="s">
        <v>9</v>
      </c>
      <c r="P6" s="23" t="s">
        <v>9</v>
      </c>
      <c r="Q6" s="2"/>
    </row>
    <row r="7" spans="1:17" ht="15" customHeight="1" x14ac:dyDescent="0.2">
      <c r="A7" s="11" t="s">
        <v>103</v>
      </c>
      <c r="B7" s="24" t="s">
        <v>128</v>
      </c>
      <c r="C7" s="36" t="s">
        <v>9</v>
      </c>
      <c r="D7" s="53">
        <v>-20.188818000000001</v>
      </c>
      <c r="E7" s="53">
        <v>-40.249644000000004</v>
      </c>
      <c r="F7" s="10">
        <v>0.5</v>
      </c>
      <c r="G7" s="9">
        <f>Dados!C25</f>
        <v>16500</v>
      </c>
      <c r="H7" s="16">
        <v>100</v>
      </c>
      <c r="I7" s="16">
        <v>13</v>
      </c>
      <c r="J7" s="15">
        <f t="shared" ref="J7:J16" si="0">G7*$B$19/10^6</f>
        <v>0.82499999999999996</v>
      </c>
      <c r="K7" s="85">
        <f t="shared" ref="K7:K16" si="1">J7*0.85</f>
        <v>0.70124999999999993</v>
      </c>
      <c r="L7" s="85">
        <f t="shared" ref="L7:L16" si="2">J7*0.3</f>
        <v>0.24749999999999997</v>
      </c>
      <c r="M7" s="23" t="s">
        <v>9</v>
      </c>
      <c r="N7" s="23" t="s">
        <v>9</v>
      </c>
      <c r="O7" s="23" t="s">
        <v>9</v>
      </c>
      <c r="P7" s="23" t="s">
        <v>9</v>
      </c>
    </row>
    <row r="8" spans="1:17" ht="15" customHeight="1" x14ac:dyDescent="0.2">
      <c r="A8" s="11" t="s">
        <v>104</v>
      </c>
      <c r="B8" s="24" t="s">
        <v>128</v>
      </c>
      <c r="C8" s="36" t="s">
        <v>9</v>
      </c>
      <c r="D8" s="53">
        <v>-20.188818000000001</v>
      </c>
      <c r="E8" s="53">
        <v>-40.249644000000004</v>
      </c>
      <c r="F8" s="10">
        <v>0.7</v>
      </c>
      <c r="G8" s="9">
        <f>Dados!C27</f>
        <v>16000</v>
      </c>
      <c r="H8" s="16">
        <v>45</v>
      </c>
      <c r="I8" s="16">
        <v>7</v>
      </c>
      <c r="J8" s="15">
        <f t="shared" si="0"/>
        <v>0.8</v>
      </c>
      <c r="K8" s="85">
        <f t="shared" si="1"/>
        <v>0.68</v>
      </c>
      <c r="L8" s="85">
        <f t="shared" si="2"/>
        <v>0.24</v>
      </c>
      <c r="M8" s="23" t="s">
        <v>9</v>
      </c>
      <c r="N8" s="23" t="s">
        <v>9</v>
      </c>
      <c r="O8" s="23" t="s">
        <v>9</v>
      </c>
      <c r="P8" s="23" t="s">
        <v>9</v>
      </c>
    </row>
    <row r="9" spans="1:17" ht="15" customHeight="1" x14ac:dyDescent="0.2">
      <c r="A9" s="2" t="s">
        <v>106</v>
      </c>
      <c r="B9" s="24" t="s">
        <v>128</v>
      </c>
      <c r="C9" s="36" t="s">
        <v>9</v>
      </c>
      <c r="D9" s="53">
        <v>-20.188818000000001</v>
      </c>
      <c r="E9" s="53">
        <v>-40.249644000000004</v>
      </c>
      <c r="F9" s="10">
        <v>0.36</v>
      </c>
      <c r="G9" s="9">
        <f>Dados!C33</f>
        <v>5500</v>
      </c>
      <c r="H9" s="16">
        <v>55</v>
      </c>
      <c r="I9" s="16">
        <v>15</v>
      </c>
      <c r="J9" s="15">
        <f t="shared" si="0"/>
        <v>0.27500000000000002</v>
      </c>
      <c r="K9" s="85">
        <f t="shared" si="1"/>
        <v>0.23375000000000001</v>
      </c>
      <c r="L9" s="85">
        <f t="shared" si="2"/>
        <v>8.2500000000000004E-2</v>
      </c>
      <c r="M9" s="23" t="s">
        <v>9</v>
      </c>
      <c r="N9" s="23" t="s">
        <v>9</v>
      </c>
      <c r="O9" s="23" t="s">
        <v>9</v>
      </c>
      <c r="P9" s="23" t="s">
        <v>9</v>
      </c>
    </row>
    <row r="10" spans="1:17" ht="15" customHeight="1" x14ac:dyDescent="0.2">
      <c r="A10" s="11" t="s">
        <v>105</v>
      </c>
      <c r="B10" s="24" t="s">
        <v>128</v>
      </c>
      <c r="C10" s="36" t="s">
        <v>9</v>
      </c>
      <c r="D10" s="53">
        <v>-20.188818000000001</v>
      </c>
      <c r="E10" s="53">
        <v>-40.249644000000004</v>
      </c>
      <c r="F10" s="10" t="s">
        <v>133</v>
      </c>
      <c r="G10" s="9">
        <v>4621</v>
      </c>
      <c r="H10" s="16" t="s">
        <v>9</v>
      </c>
      <c r="I10" s="16">
        <v>3</v>
      </c>
      <c r="J10" s="15">
        <f t="shared" si="0"/>
        <v>0.23105000000000001</v>
      </c>
      <c r="K10" s="85">
        <f t="shared" si="1"/>
        <v>0.1963925</v>
      </c>
      <c r="L10" s="85">
        <f t="shared" si="2"/>
        <v>6.9315000000000002E-2</v>
      </c>
      <c r="M10" s="23" t="s">
        <v>9</v>
      </c>
      <c r="N10" s="23" t="s">
        <v>9</v>
      </c>
      <c r="O10" s="23" t="s">
        <v>9</v>
      </c>
      <c r="P10" s="23" t="s">
        <v>9</v>
      </c>
    </row>
    <row r="11" spans="1:17" ht="15" customHeight="1" x14ac:dyDescent="0.2">
      <c r="A11" s="11" t="s">
        <v>107</v>
      </c>
      <c r="B11" s="24" t="s">
        <v>128</v>
      </c>
      <c r="C11" s="36" t="s">
        <v>9</v>
      </c>
      <c r="D11" s="53">
        <v>-20.188818000000001</v>
      </c>
      <c r="E11" s="53">
        <v>-40.249644000000004</v>
      </c>
      <c r="F11" s="10">
        <v>0.3</v>
      </c>
      <c r="G11" s="9">
        <f>Dados!C30</f>
        <v>6500</v>
      </c>
      <c r="H11" s="16">
        <v>55</v>
      </c>
      <c r="I11" s="16">
        <v>6</v>
      </c>
      <c r="J11" s="15">
        <f t="shared" si="0"/>
        <v>0.32500000000000001</v>
      </c>
      <c r="K11" s="85">
        <f t="shared" si="1"/>
        <v>0.27625</v>
      </c>
      <c r="L11" s="85">
        <f t="shared" si="2"/>
        <v>9.7500000000000003E-2</v>
      </c>
      <c r="M11" s="23" t="s">
        <v>9</v>
      </c>
      <c r="N11" s="23" t="s">
        <v>9</v>
      </c>
      <c r="O11" s="23" t="s">
        <v>9</v>
      </c>
      <c r="P11" s="23" t="s">
        <v>9</v>
      </c>
    </row>
    <row r="12" spans="1:17" ht="15" customHeight="1" x14ac:dyDescent="0.2">
      <c r="A12" s="11" t="s">
        <v>108</v>
      </c>
      <c r="B12" s="24" t="s">
        <v>128</v>
      </c>
      <c r="C12" s="36" t="s">
        <v>9</v>
      </c>
      <c r="D12" s="53">
        <v>-20.188818000000001</v>
      </c>
      <c r="E12" s="53">
        <v>-40.249644000000004</v>
      </c>
      <c r="F12" s="10">
        <v>0.3</v>
      </c>
      <c r="G12" s="9">
        <f>Dados!C28</f>
        <v>7500</v>
      </c>
      <c r="H12" s="16">
        <v>45</v>
      </c>
      <c r="I12" s="16">
        <v>6</v>
      </c>
      <c r="J12" s="15">
        <f t="shared" si="0"/>
        <v>0.375</v>
      </c>
      <c r="K12" s="85">
        <f t="shared" si="1"/>
        <v>0.31874999999999998</v>
      </c>
      <c r="L12" s="85">
        <f t="shared" si="2"/>
        <v>0.11249999999999999</v>
      </c>
      <c r="M12" s="23" t="s">
        <v>9</v>
      </c>
      <c r="N12" s="23" t="s">
        <v>9</v>
      </c>
      <c r="O12" s="23" t="s">
        <v>9</v>
      </c>
      <c r="P12" s="23" t="s">
        <v>9</v>
      </c>
    </row>
    <row r="13" spans="1:17" ht="15" customHeight="1" x14ac:dyDescent="0.2">
      <c r="A13" s="11" t="s">
        <v>109</v>
      </c>
      <c r="B13" s="24" t="s">
        <v>128</v>
      </c>
      <c r="C13" s="36" t="s">
        <v>9</v>
      </c>
      <c r="D13" s="53">
        <v>-20.188818000000001</v>
      </c>
      <c r="E13" s="53">
        <v>-40.249644000000004</v>
      </c>
      <c r="F13" s="10">
        <v>0.7</v>
      </c>
      <c r="G13" s="9">
        <f>Dados!C26</f>
        <v>16000</v>
      </c>
      <c r="H13" s="16">
        <v>45</v>
      </c>
      <c r="I13" s="16">
        <v>6</v>
      </c>
      <c r="J13" s="15">
        <f t="shared" si="0"/>
        <v>0.8</v>
      </c>
      <c r="K13" s="85">
        <f t="shared" si="1"/>
        <v>0.68</v>
      </c>
      <c r="L13" s="85">
        <f t="shared" si="2"/>
        <v>0.24</v>
      </c>
      <c r="M13" s="23" t="s">
        <v>9</v>
      </c>
      <c r="N13" s="23" t="s">
        <v>9</v>
      </c>
      <c r="O13" s="23" t="s">
        <v>9</v>
      </c>
      <c r="P13" s="23" t="s">
        <v>9</v>
      </c>
    </row>
    <row r="14" spans="1:17" ht="15" customHeight="1" x14ac:dyDescent="0.2">
      <c r="A14" s="11" t="s">
        <v>110</v>
      </c>
      <c r="B14" s="24" t="s">
        <v>128</v>
      </c>
      <c r="C14" s="36" t="s">
        <v>9</v>
      </c>
      <c r="D14" s="53">
        <v>-20.188818000000001</v>
      </c>
      <c r="E14" s="53">
        <v>-40.249644000000004</v>
      </c>
      <c r="F14" s="10">
        <v>0.6</v>
      </c>
      <c r="G14" s="9">
        <f>Dados!C29</f>
        <v>7500</v>
      </c>
      <c r="H14" s="16">
        <v>55</v>
      </c>
      <c r="I14" s="16">
        <v>10</v>
      </c>
      <c r="J14" s="15">
        <f t="shared" si="0"/>
        <v>0.375</v>
      </c>
      <c r="K14" s="85">
        <f t="shared" si="1"/>
        <v>0.31874999999999998</v>
      </c>
      <c r="L14" s="85">
        <f t="shared" si="2"/>
        <v>0.11249999999999999</v>
      </c>
      <c r="M14" s="23" t="s">
        <v>9</v>
      </c>
      <c r="N14" s="23" t="s">
        <v>9</v>
      </c>
      <c r="O14" s="23" t="s">
        <v>9</v>
      </c>
      <c r="P14" s="23" t="s">
        <v>9</v>
      </c>
    </row>
    <row r="15" spans="1:17" ht="15" customHeight="1" x14ac:dyDescent="0.2">
      <c r="A15" s="11" t="s">
        <v>111</v>
      </c>
      <c r="B15" s="24" t="s">
        <v>128</v>
      </c>
      <c r="C15" s="36" t="s">
        <v>9</v>
      </c>
      <c r="D15" s="53">
        <v>-20.188818000000001</v>
      </c>
      <c r="E15" s="53">
        <v>-40.249644000000004</v>
      </c>
      <c r="F15" s="10">
        <v>0.35</v>
      </c>
      <c r="G15" s="9">
        <f>Dados!C31</f>
        <v>6000</v>
      </c>
      <c r="H15" s="16">
        <v>55</v>
      </c>
      <c r="I15" s="16">
        <v>12</v>
      </c>
      <c r="J15" s="15">
        <f t="shared" si="0"/>
        <v>0.3</v>
      </c>
      <c r="K15" s="85">
        <f t="shared" si="1"/>
        <v>0.255</v>
      </c>
      <c r="L15" s="85">
        <f t="shared" si="2"/>
        <v>0.09</v>
      </c>
      <c r="M15" s="23" t="s">
        <v>9</v>
      </c>
      <c r="N15" s="23" t="s">
        <v>9</v>
      </c>
      <c r="O15" s="23" t="s">
        <v>9</v>
      </c>
      <c r="P15" s="23" t="s">
        <v>9</v>
      </c>
    </row>
    <row r="16" spans="1:17" ht="15" customHeight="1" x14ac:dyDescent="0.2">
      <c r="A16" s="11" t="s">
        <v>112</v>
      </c>
      <c r="B16" s="24" t="s">
        <v>128</v>
      </c>
      <c r="C16" s="36" t="s">
        <v>9</v>
      </c>
      <c r="D16" s="53">
        <v>-20.188818000000001</v>
      </c>
      <c r="E16" s="53">
        <v>-40.249644000000004</v>
      </c>
      <c r="F16" s="10">
        <v>0.35</v>
      </c>
      <c r="G16" s="9">
        <f>Dados!C32</f>
        <v>6000</v>
      </c>
      <c r="H16" s="16">
        <v>55</v>
      </c>
      <c r="I16" s="16">
        <v>12</v>
      </c>
      <c r="J16" s="15">
        <f t="shared" si="0"/>
        <v>0.3</v>
      </c>
      <c r="K16" s="85">
        <f t="shared" si="1"/>
        <v>0.255</v>
      </c>
      <c r="L16" s="85">
        <f t="shared" si="2"/>
        <v>0.09</v>
      </c>
      <c r="M16" s="23" t="s">
        <v>9</v>
      </c>
      <c r="N16" s="23" t="s">
        <v>9</v>
      </c>
      <c r="O16" s="23" t="s">
        <v>9</v>
      </c>
      <c r="P16" s="23" t="s">
        <v>9</v>
      </c>
    </row>
    <row r="17" spans="1:16" ht="15" customHeight="1" x14ac:dyDescent="0.2">
      <c r="A17" s="149" t="s">
        <v>10</v>
      </c>
      <c r="B17" s="149"/>
      <c r="C17" s="149"/>
      <c r="D17" s="149"/>
      <c r="E17" s="149"/>
      <c r="F17" s="149"/>
      <c r="G17" s="149"/>
      <c r="H17" s="149"/>
      <c r="I17" s="149"/>
      <c r="J17" s="12">
        <f>SUM(J3:J16)</f>
        <v>5.4656153145722222</v>
      </c>
      <c r="K17" s="12">
        <f t="shared" ref="K17:P17" si="3">SUM(K3:K16)</f>
        <v>4.7036981628113894</v>
      </c>
      <c r="L17" s="12">
        <f t="shared" si="3"/>
        <v>1.9100019396883334</v>
      </c>
      <c r="M17" s="12">
        <f t="shared" si="3"/>
        <v>20.969549999999998</v>
      </c>
      <c r="N17" s="12">
        <f t="shared" si="3"/>
        <v>2.2385593754999995E-2</v>
      </c>
      <c r="O17" s="12">
        <f t="shared" si="3"/>
        <v>11.907708749999998</v>
      </c>
      <c r="P17" s="12">
        <f t="shared" si="3"/>
        <v>1.57271625</v>
      </c>
    </row>
    <row r="18" spans="1:16" ht="15" customHeight="1" x14ac:dyDescent="0.2">
      <c r="J18" s="99"/>
      <c r="K18" s="100"/>
    </row>
    <row r="19" spans="1:16" ht="15" customHeight="1" x14ac:dyDescent="0.2">
      <c r="A19" s="56" t="s">
        <v>127</v>
      </c>
      <c r="B19" s="130">
        <v>50</v>
      </c>
      <c r="J19" s="99"/>
      <c r="K19" s="52"/>
    </row>
    <row r="20" spans="1:16" ht="15" customHeight="1" x14ac:dyDescent="0.2">
      <c r="A20" s="19"/>
      <c r="B20" s="19"/>
      <c r="G20" s="5"/>
      <c r="J20" s="99"/>
      <c r="K20" s="32"/>
    </row>
    <row r="21" spans="1:16" ht="15" customHeight="1" x14ac:dyDescent="0.2">
      <c r="J21" s="117"/>
      <c r="K21" s="117"/>
    </row>
  </sheetData>
  <sheetProtection password="B056" sheet="1" objects="1" scenarios="1"/>
  <mergeCells count="11">
    <mergeCell ref="J1:P1"/>
    <mergeCell ref="C1:C2"/>
    <mergeCell ref="A17:I17"/>
    <mergeCell ref="H1:H2"/>
    <mergeCell ref="I1:I2"/>
    <mergeCell ref="A1:A2"/>
    <mergeCell ref="D1:D2"/>
    <mergeCell ref="E1:E2"/>
    <mergeCell ref="F1:F2"/>
    <mergeCell ref="G1:G2"/>
    <mergeCell ref="B1:B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1"/>
  <sheetViews>
    <sheetView workbookViewId="0">
      <selection activeCell="J28" sqref="J28"/>
    </sheetView>
  </sheetViews>
  <sheetFormatPr defaultRowHeight="15" x14ac:dyDescent="0.25"/>
  <cols>
    <col min="1" max="1" width="25.85546875" customWidth="1"/>
    <col min="2" max="3" width="11.140625" customWidth="1"/>
    <col min="4" max="4" width="13.85546875" customWidth="1"/>
    <col min="5" max="5" width="11.28515625" customWidth="1"/>
    <col min="6" max="6" width="12.7109375" customWidth="1"/>
    <col min="7" max="7" width="11.28515625" customWidth="1"/>
    <col min="8" max="8" width="12.5703125" customWidth="1"/>
    <col min="9" max="10" width="10.28515625" customWidth="1"/>
  </cols>
  <sheetData>
    <row r="1" spans="1:14" x14ac:dyDescent="0.25">
      <c r="A1" s="174" t="s">
        <v>0</v>
      </c>
      <c r="B1" s="171" t="s">
        <v>257</v>
      </c>
      <c r="C1" s="171" t="s">
        <v>258</v>
      </c>
      <c r="D1" s="175" t="s">
        <v>89</v>
      </c>
      <c r="E1" s="175" t="s">
        <v>90</v>
      </c>
      <c r="F1" s="175" t="s">
        <v>91</v>
      </c>
      <c r="G1" s="175"/>
      <c r="H1" s="174" t="s">
        <v>92</v>
      </c>
      <c r="I1" s="174"/>
      <c r="J1" s="174"/>
      <c r="K1" s="174" t="s">
        <v>1</v>
      </c>
      <c r="L1" s="174"/>
      <c r="M1" s="174"/>
    </row>
    <row r="2" spans="1:14" x14ac:dyDescent="0.25">
      <c r="A2" s="174"/>
      <c r="B2" s="171"/>
      <c r="C2" s="171"/>
      <c r="D2" s="175"/>
      <c r="E2" s="175"/>
      <c r="F2" s="71" t="s">
        <v>93</v>
      </c>
      <c r="G2" s="71" t="s">
        <v>94</v>
      </c>
      <c r="H2" s="70" t="s">
        <v>95</v>
      </c>
      <c r="I2" s="70" t="s">
        <v>96</v>
      </c>
      <c r="J2" s="70" t="s">
        <v>97</v>
      </c>
      <c r="K2" s="70" t="s">
        <v>95</v>
      </c>
      <c r="L2" s="70" t="s">
        <v>96</v>
      </c>
      <c r="M2" s="70" t="s">
        <v>97</v>
      </c>
    </row>
    <row r="3" spans="1:14" x14ac:dyDescent="0.25">
      <c r="A3" s="37" t="s">
        <v>168</v>
      </c>
      <c r="B3" s="74">
        <v>-20.188790000000001</v>
      </c>
      <c r="C3" s="74">
        <v>-40.250186999999997</v>
      </c>
      <c r="D3" s="46">
        <f>Dados!B9/8760</f>
        <v>23.273945205479453</v>
      </c>
      <c r="E3" s="47">
        <f>B30</f>
        <v>10</v>
      </c>
      <c r="F3" s="47" t="s">
        <v>9</v>
      </c>
      <c r="G3" s="47">
        <v>0</v>
      </c>
      <c r="H3" s="141">
        <f>'FE-Transferências'!$B$3*0.0016*(($B$27/2.2)^1.3)/(($E3/2)^1.4)</f>
        <v>2.8776132594540281E-4</v>
      </c>
      <c r="I3" s="141">
        <f>'FE-Transferências'!$C$3*0.0016*(($B$27/2.2)^1.3)/(($E3/2)^1.4)</f>
        <v>1.3610332983904184E-4</v>
      </c>
      <c r="J3" s="141">
        <f>'FE-Transferências'!$D$3*0.0016*(($B$27/2.2)^1.3)/(($E3/2)^1.4)</f>
        <v>2.0609932804197768E-5</v>
      </c>
      <c r="K3" s="142">
        <f t="shared" ref="K3:K23" si="0">H3*$D3*(1-G3/100)</f>
        <v>6.6973413323094177E-3</v>
      </c>
      <c r="L3" s="142">
        <f t="shared" ref="L3:L23" si="1">I3*$D3*(1-G3/100)</f>
        <v>3.1676614409571566E-3</v>
      </c>
      <c r="M3" s="142">
        <f t="shared" ref="M3:M23" si="2">J3*$D3*(1-G3/100)</f>
        <v>4.7967444677351231E-4</v>
      </c>
    </row>
    <row r="4" spans="1:14" x14ac:dyDescent="0.25">
      <c r="A4" s="37" t="s">
        <v>167</v>
      </c>
      <c r="B4" s="74">
        <v>-20.188790000000001</v>
      </c>
      <c r="C4" s="74">
        <v>-40.250186999999997</v>
      </c>
      <c r="D4" s="46">
        <f>Dados!B10/8760</f>
        <v>3.2704881278538811</v>
      </c>
      <c r="E4" s="47">
        <f>B31</f>
        <v>3</v>
      </c>
      <c r="F4" s="47" t="s">
        <v>9</v>
      </c>
      <c r="G4" s="47">
        <v>0</v>
      </c>
      <c r="H4" s="141">
        <f>'FE-Transferências'!$B$3*0.0016*(($B$27/2.2)^1.3)/(($E4/2)^1.4)</f>
        <v>1.5526110379049159E-3</v>
      </c>
      <c r="I4" s="141">
        <f>'FE-Transferências'!$C$3*0.0016*(($B$27/2.2)^1.3)/(($E4/2)^1.4)</f>
        <v>7.3434305846854125E-4</v>
      </c>
      <c r="J4" s="141">
        <f>'FE-Transferências'!$D$3*0.0016*(($B$27/2.2)^1.3)/(($E4/2)^1.4)</f>
        <v>1.1120052028237912E-4</v>
      </c>
      <c r="K4" s="142">
        <f t="shared" si="0"/>
        <v>5.0777959666429198E-3</v>
      </c>
      <c r="L4" s="142">
        <f t="shared" si="1"/>
        <v>2.4016602544932727E-3</v>
      </c>
      <c r="M4" s="142">
        <f t="shared" si="2"/>
        <v>3.636799813946956E-4</v>
      </c>
    </row>
    <row r="5" spans="1:14" x14ac:dyDescent="0.25">
      <c r="A5" s="37" t="s">
        <v>99</v>
      </c>
      <c r="B5" s="74">
        <v>-20.188790000000001</v>
      </c>
      <c r="C5" s="74">
        <v>-40.250186999999997</v>
      </c>
      <c r="D5" s="46">
        <f>Dados!B11/8760</f>
        <v>0.68334748858447492</v>
      </c>
      <c r="E5" s="47">
        <f>B33</f>
        <v>1</v>
      </c>
      <c r="F5" s="47" t="s">
        <v>126</v>
      </c>
      <c r="G5" s="47">
        <v>75</v>
      </c>
      <c r="H5" s="141">
        <f>'FE-Transferências'!$B$3*0.0016*(($B$27/2.2)^1.3)/(($E5/2)^1.4)</f>
        <v>7.2282377015546288E-3</v>
      </c>
      <c r="I5" s="141">
        <f>'FE-Transferências'!$C$3*0.0016*(($B$27/2.2)^1.3)/(($E5/2)^1.4)</f>
        <v>3.418761075059621E-3</v>
      </c>
      <c r="J5" s="141">
        <f>'FE-Transferências'!$D$3*0.0016*(($B$27/2.2)^1.3)/(($E5/2)^1.4)</f>
        <v>5.176981056518856E-4</v>
      </c>
      <c r="K5" s="142">
        <f t="shared" si="0"/>
        <v>1.2348495200622432E-3</v>
      </c>
      <c r="L5" s="142">
        <f t="shared" si="1"/>
        <v>5.8405044867808787E-4</v>
      </c>
      <c r="M5" s="142">
        <f t="shared" si="2"/>
        <v>8.8441925085539045E-5</v>
      </c>
    </row>
    <row r="6" spans="1:14" x14ac:dyDescent="0.25">
      <c r="A6" s="37" t="s">
        <v>100</v>
      </c>
      <c r="B6" s="74">
        <v>-20.188790000000001</v>
      </c>
      <c r="C6" s="74">
        <v>-40.250186999999997</v>
      </c>
      <c r="D6" s="46">
        <f>Dados!B7/8760</f>
        <v>0.7956894977168949</v>
      </c>
      <c r="E6" s="78">
        <f>B32</f>
        <v>2.1</v>
      </c>
      <c r="F6" s="47" t="s">
        <v>126</v>
      </c>
      <c r="G6" s="47">
        <v>75</v>
      </c>
      <c r="H6" s="141">
        <f>'FE-Transferências'!$B$3*0.0016*(($B$27/2.2)^1.3)/(($E6/2)^1.4)</f>
        <v>2.5581465075712735E-3</v>
      </c>
      <c r="I6" s="141">
        <f>'FE-Transferências'!$C$3*0.0016*(($B$27/2.2)^1.3)/(($E6/2)^1.4)</f>
        <v>1.209934158986413E-3</v>
      </c>
      <c r="J6" s="141">
        <f>'FE-Transferências'!$D$3*0.0016*(($B$27/2.2)^1.3)/(($E6/2)^1.4)</f>
        <v>1.8321860121794256E-4</v>
      </c>
      <c r="K6" s="142">
        <f t="shared" si="0"/>
        <v>5.0887257742390389E-4</v>
      </c>
      <c r="L6" s="142">
        <f t="shared" si="1"/>
        <v>2.4068297580860315E-4</v>
      </c>
      <c r="M6" s="142">
        <f t="shared" si="2"/>
        <v>3.6446279193874193E-5</v>
      </c>
    </row>
    <row r="7" spans="1:14" x14ac:dyDescent="0.25">
      <c r="A7" s="37" t="s">
        <v>114</v>
      </c>
      <c r="B7" s="74">
        <v>-20.188790000000001</v>
      </c>
      <c r="C7" s="74">
        <v>-40.250186999999997</v>
      </c>
      <c r="D7" s="46">
        <f>Dados!B8/8760</f>
        <v>8.9292739726027399</v>
      </c>
      <c r="E7" s="78">
        <f>B34</f>
        <v>1</v>
      </c>
      <c r="F7" s="47" t="s">
        <v>126</v>
      </c>
      <c r="G7" s="47">
        <v>75</v>
      </c>
      <c r="H7" s="141">
        <f>'FE-Transferências'!$B$3*0.0016*(($B$27/2.2)^1.3)/(($E7/2)^1.4)</f>
        <v>7.2282377015546288E-3</v>
      </c>
      <c r="I7" s="141">
        <f>'FE-Transferências'!$C$3*0.0016*(($B$27/2.2)^1.3)/(($E7/2)^1.4)</f>
        <v>3.418761075059621E-3</v>
      </c>
      <c r="J7" s="141">
        <f>'FE-Transferências'!$D$3*0.0016*(($B$27/2.2)^1.3)/(($E7/2)^1.4)</f>
        <v>5.176981056518856E-4</v>
      </c>
      <c r="K7" s="142">
        <f t="shared" si="0"/>
        <v>1.6135728694069401E-2</v>
      </c>
      <c r="L7" s="142">
        <f t="shared" si="1"/>
        <v>7.6317635715193091E-3</v>
      </c>
      <c r="M7" s="142">
        <f t="shared" si="2"/>
        <v>1.1556670551157813E-3</v>
      </c>
    </row>
    <row r="8" spans="1:14" x14ac:dyDescent="0.25">
      <c r="A8" s="37" t="s">
        <v>101</v>
      </c>
      <c r="B8" s="124">
        <v>-20.188790000000001</v>
      </c>
      <c r="C8" s="124">
        <v>-40.250186999999997</v>
      </c>
      <c r="D8" s="46">
        <f>Dados!C9/8760</f>
        <v>20.911119178082192</v>
      </c>
      <c r="E8" s="47">
        <f>B30</f>
        <v>10</v>
      </c>
      <c r="F8" s="47" t="s">
        <v>9</v>
      </c>
      <c r="G8" s="47">
        <v>0</v>
      </c>
      <c r="H8" s="141">
        <f>'FE-Transferências'!$B$3*0.0016*(($B$27/2.2)^1.3)/(($E8/2)^1.4)</f>
        <v>2.8776132594540281E-4</v>
      </c>
      <c r="I8" s="141">
        <f>'FE-Transferências'!$C$3*0.0016*(($B$27/2.2)^1.3)/(($E8/2)^1.4)</f>
        <v>1.3610332983904184E-4</v>
      </c>
      <c r="J8" s="141">
        <f>'FE-Transferências'!$D$3*0.0016*(($B$27/2.2)^1.3)/(($E8/2)^1.4)</f>
        <v>2.0609932804197768E-5</v>
      </c>
      <c r="K8" s="142">
        <f t="shared" si="0"/>
        <v>6.0174113816872732E-3</v>
      </c>
      <c r="L8" s="142">
        <f t="shared" si="1"/>
        <v>2.8460729507980343E-3</v>
      </c>
      <c r="M8" s="142">
        <f t="shared" si="2"/>
        <v>4.3097676112084524E-4</v>
      </c>
      <c r="N8" s="35"/>
    </row>
    <row r="9" spans="1:14" x14ac:dyDescent="0.25">
      <c r="A9" s="37" t="s">
        <v>169</v>
      </c>
      <c r="B9" s="124">
        <v>-20.188790000000001</v>
      </c>
      <c r="C9" s="124">
        <v>-40.250186999999997</v>
      </c>
      <c r="D9" s="46">
        <f>D8</f>
        <v>20.911119178082192</v>
      </c>
      <c r="E9" s="47">
        <f>B30</f>
        <v>10</v>
      </c>
      <c r="F9" s="47" t="s">
        <v>32</v>
      </c>
      <c r="G9" s="47">
        <v>95</v>
      </c>
      <c r="H9" s="141">
        <f>'FE-Transferências'!$B$3*0.0016*(($B$27/2.2)^1.3)/(($E9/2)^1.4)</f>
        <v>2.8776132594540281E-4</v>
      </c>
      <c r="I9" s="141">
        <f>'FE-Transferências'!$C$3*0.0016*(($B$27/2.2)^1.3)/(($E9/2)^1.4)</f>
        <v>1.3610332983904184E-4</v>
      </c>
      <c r="J9" s="141">
        <f>'FE-Transferências'!$D$3*0.0016*(($B$27/2.2)^1.3)/(($E9/2)^1.4)</f>
        <v>2.0609932804197768E-5</v>
      </c>
      <c r="K9" s="142">
        <f t="shared" si="0"/>
        <v>3.0087056908436395E-4</v>
      </c>
      <c r="L9" s="142">
        <f t="shared" si="1"/>
        <v>1.4230364753990184E-4</v>
      </c>
      <c r="M9" s="142">
        <f t="shared" si="2"/>
        <v>2.1548838056042282E-5</v>
      </c>
      <c r="N9" s="35"/>
    </row>
    <row r="10" spans="1:14" x14ac:dyDescent="0.25">
      <c r="A10" s="37" t="s">
        <v>175</v>
      </c>
      <c r="B10" s="74">
        <v>-20.188790000000001</v>
      </c>
      <c r="C10" s="74">
        <v>-40.250186999999997</v>
      </c>
      <c r="D10" s="46">
        <f>Dados!C11/8760</f>
        <v>0.66677853881278537</v>
      </c>
      <c r="E10" s="47">
        <f>B33</f>
        <v>1</v>
      </c>
      <c r="F10" s="47" t="s">
        <v>9</v>
      </c>
      <c r="G10" s="47">
        <v>0</v>
      </c>
      <c r="H10" s="141">
        <f>'FE-Transferências'!$B$3*0.0016*(($B$27/2.2)^1.3)/(($E10/2)^1.4)</f>
        <v>7.2282377015546288E-3</v>
      </c>
      <c r="I10" s="141">
        <f>'FE-Transferências'!$C$3*0.0016*(($B$27/2.2)^1.3)/(($E10/2)^1.4)</f>
        <v>3.418761075059621E-3</v>
      </c>
      <c r="J10" s="141">
        <f>'FE-Transferências'!$D$3*0.0016*(($B$27/2.2)^1.3)/(($E10/2)^1.4)</f>
        <v>5.176981056518856E-4</v>
      </c>
      <c r="K10" s="142">
        <f t="shared" si="0"/>
        <v>4.8196337728340817E-3</v>
      </c>
      <c r="L10" s="142">
        <f t="shared" si="1"/>
        <v>2.2795565141782814E-3</v>
      </c>
      <c r="M10" s="142">
        <f t="shared" si="2"/>
        <v>3.4518998643271126E-4</v>
      </c>
    </row>
    <row r="11" spans="1:14" x14ac:dyDescent="0.25">
      <c r="A11" s="37" t="s">
        <v>176</v>
      </c>
      <c r="B11" s="74">
        <v>-20.188790000000001</v>
      </c>
      <c r="C11" s="74">
        <v>-40.250186999999997</v>
      </c>
      <c r="D11" s="46">
        <f>Dados!C7/8760</f>
        <v>0.76391552511415517</v>
      </c>
      <c r="E11" s="78">
        <f>B32</f>
        <v>2.1</v>
      </c>
      <c r="F11" s="47" t="s">
        <v>9</v>
      </c>
      <c r="G11" s="47">
        <v>0</v>
      </c>
      <c r="H11" s="141">
        <f>'FE-Transferências'!$B$3*0.0016*(($B$27/2.2)^1.3)/(($E11/2)^1.4)</f>
        <v>2.5581465075712735E-3</v>
      </c>
      <c r="I11" s="141">
        <f>'FE-Transferências'!$C$3*0.0016*(($B$27/2.2)^1.3)/(($E11/2)^1.4)</f>
        <v>1.209934158986413E-3</v>
      </c>
      <c r="J11" s="141">
        <f>'FE-Transferências'!$D$3*0.0016*(($B$27/2.2)^1.3)/(($E11/2)^1.4)</f>
        <v>1.8321860121794256E-4</v>
      </c>
      <c r="K11" s="142">
        <f t="shared" si="0"/>
        <v>1.9542078326502516E-3</v>
      </c>
      <c r="L11" s="142">
        <f t="shared" si="1"/>
        <v>9.2428748841565935E-4</v>
      </c>
      <c r="M11" s="142">
        <f t="shared" si="2"/>
        <v>1.3996353396008557E-4</v>
      </c>
    </row>
    <row r="12" spans="1:14" x14ac:dyDescent="0.25">
      <c r="A12" s="37" t="s">
        <v>177</v>
      </c>
      <c r="B12" s="74">
        <v>-20.188790000000001</v>
      </c>
      <c r="C12" s="74">
        <v>-40.250186999999997</v>
      </c>
      <c r="D12" s="46">
        <f>Dados!C8/8760</f>
        <v>8.5786336757990878</v>
      </c>
      <c r="E12" s="47">
        <f>B34</f>
        <v>1</v>
      </c>
      <c r="F12" s="47" t="s">
        <v>32</v>
      </c>
      <c r="G12" s="47">
        <v>95</v>
      </c>
      <c r="H12" s="141">
        <f>'FE-Transferências'!$B$3*0.0016*(($B$27/2.2)^1.3)/(($E12/2)^1.4)</f>
        <v>7.2282377015546288E-3</v>
      </c>
      <c r="I12" s="141">
        <f>'FE-Transferências'!$C$3*0.0016*(($B$27/2.2)^1.3)/(($E12/2)^1.4)</f>
        <v>3.418761075059621E-3</v>
      </c>
      <c r="J12" s="141">
        <f>'FE-Transferências'!$D$3*0.0016*(($B$27/2.2)^1.3)/(($E12/2)^1.4)</f>
        <v>5.176981056518856E-4</v>
      </c>
      <c r="K12" s="142">
        <f t="shared" si="0"/>
        <v>3.1004201681618599E-3</v>
      </c>
      <c r="L12" s="142">
        <f t="shared" si="1"/>
        <v>1.4664149444008792E-3</v>
      </c>
      <c r="M12" s="142">
        <f t="shared" si="2"/>
        <v>2.2205712015213318E-4</v>
      </c>
    </row>
    <row r="13" spans="1:14" x14ac:dyDescent="0.25">
      <c r="A13" s="37" t="s">
        <v>178</v>
      </c>
      <c r="B13" s="124">
        <v>-20.188790000000001</v>
      </c>
      <c r="C13" s="124">
        <v>-40.250186999999997</v>
      </c>
      <c r="D13" s="46">
        <f>SUM(Dados!C9:C10)/8760</f>
        <v>24.261507762557081</v>
      </c>
      <c r="E13" s="47">
        <f>B31</f>
        <v>3</v>
      </c>
      <c r="F13" s="47" t="s">
        <v>32</v>
      </c>
      <c r="G13" s="47">
        <v>95</v>
      </c>
      <c r="H13" s="141">
        <f>'FE-Transferências'!$B$3*0.0016*(($B$27/2.2)^1.3)/(($E13/2)^1.4)</f>
        <v>1.5526110379049159E-3</v>
      </c>
      <c r="I13" s="141">
        <f>'FE-Transferências'!$C$3*0.0016*(($B$27/2.2)^1.3)/(($E13/2)^1.4)</f>
        <v>7.3434305846854125E-4</v>
      </c>
      <c r="J13" s="141">
        <f>'FE-Transferências'!$D$3*0.0016*(($B$27/2.2)^1.3)/(($E13/2)^1.4)</f>
        <v>1.1120052028237912E-4</v>
      </c>
      <c r="K13" s="142">
        <f t="shared" si="0"/>
        <v>1.8834342374180978E-3</v>
      </c>
      <c r="L13" s="142">
        <f t="shared" si="1"/>
        <v>8.9081349067072189E-4</v>
      </c>
      <c r="M13" s="142">
        <f t="shared" si="2"/>
        <v>1.3489461430156647E-4</v>
      </c>
    </row>
    <row r="14" spans="1:14" x14ac:dyDescent="0.25">
      <c r="A14" s="37" t="s">
        <v>179</v>
      </c>
      <c r="B14" s="74">
        <v>-20.188790000000001</v>
      </c>
      <c r="C14" s="74">
        <v>-40.250186999999997</v>
      </c>
      <c r="D14" s="46">
        <f>Dados!C11/8760</f>
        <v>0.66677853881278537</v>
      </c>
      <c r="E14" s="47">
        <f>B33</f>
        <v>1</v>
      </c>
      <c r="F14" s="47" t="s">
        <v>9</v>
      </c>
      <c r="G14" s="47">
        <v>0</v>
      </c>
      <c r="H14" s="141">
        <f>'FE-Transferências'!$B$3*0.0016*(($B$27/2.2)^1.3)/(($E14/2)^1.4)</f>
        <v>7.2282377015546288E-3</v>
      </c>
      <c r="I14" s="141">
        <f>'FE-Transferências'!$C$3*0.0016*(($B$27/2.2)^1.3)/(($E14/2)^1.4)</f>
        <v>3.418761075059621E-3</v>
      </c>
      <c r="J14" s="141">
        <f>'FE-Transferências'!$D$3*0.0016*(($B$27/2.2)^1.3)/(($E14/2)^1.4)</f>
        <v>5.176981056518856E-4</v>
      </c>
      <c r="K14" s="142">
        <f t="shared" si="0"/>
        <v>4.8196337728340817E-3</v>
      </c>
      <c r="L14" s="142">
        <f t="shared" si="1"/>
        <v>2.2795565141782814E-3</v>
      </c>
      <c r="M14" s="142">
        <f t="shared" si="2"/>
        <v>3.4518998643271126E-4</v>
      </c>
    </row>
    <row r="15" spans="1:14" x14ac:dyDescent="0.25">
      <c r="A15" s="37" t="s">
        <v>181</v>
      </c>
      <c r="B15" s="74">
        <v>-20.188790000000001</v>
      </c>
      <c r="C15" s="74">
        <v>-40.250186999999997</v>
      </c>
      <c r="D15" s="46">
        <f>Dados!C7/8760</f>
        <v>0.76391552511415517</v>
      </c>
      <c r="E15" s="78">
        <f>B32</f>
        <v>2.1</v>
      </c>
      <c r="F15" s="47" t="s">
        <v>9</v>
      </c>
      <c r="G15" s="47">
        <v>0</v>
      </c>
      <c r="H15" s="141">
        <f>'FE-Transferências'!$B$3*0.0016*(($B$27/2.2)^1.3)/(($E15/2)^1.4)</f>
        <v>2.5581465075712735E-3</v>
      </c>
      <c r="I15" s="141">
        <f>'FE-Transferências'!$C$3*0.0016*(($B$27/2.2)^1.3)/(($E15/2)^1.4)</f>
        <v>1.209934158986413E-3</v>
      </c>
      <c r="J15" s="141">
        <f>'FE-Transferências'!$D$3*0.0016*(($B$27/2.2)^1.3)/(($E15/2)^1.4)</f>
        <v>1.8321860121794256E-4</v>
      </c>
      <c r="K15" s="142">
        <f t="shared" si="0"/>
        <v>1.9542078326502516E-3</v>
      </c>
      <c r="L15" s="142">
        <f t="shared" si="1"/>
        <v>9.2428748841565935E-4</v>
      </c>
      <c r="M15" s="142">
        <f t="shared" si="2"/>
        <v>1.3996353396008557E-4</v>
      </c>
    </row>
    <row r="16" spans="1:14" x14ac:dyDescent="0.25">
      <c r="A16" s="37" t="s">
        <v>182</v>
      </c>
      <c r="B16" s="74">
        <v>-20.188790000000001</v>
      </c>
      <c r="C16" s="74">
        <v>-40.250186999999997</v>
      </c>
      <c r="D16" s="46">
        <f>Dados!C8/8760</f>
        <v>8.5786336757990878</v>
      </c>
      <c r="E16" s="47">
        <f>B34</f>
        <v>1</v>
      </c>
      <c r="F16" s="47" t="s">
        <v>32</v>
      </c>
      <c r="G16" s="47">
        <v>95</v>
      </c>
      <c r="H16" s="141">
        <f>'FE-Transferências'!$B$3*0.0016*(($B$27/2.2)^1.3)/(($E16/2)^1.4)</f>
        <v>7.2282377015546288E-3</v>
      </c>
      <c r="I16" s="141">
        <f>'FE-Transferências'!$C$3*0.0016*(($B$27/2.2)^1.3)/(($E16/2)^1.4)</f>
        <v>3.418761075059621E-3</v>
      </c>
      <c r="J16" s="141">
        <f>'FE-Transferências'!$D$3*0.0016*(($B$27/2.2)^1.3)/(($E16/2)^1.4)</f>
        <v>5.176981056518856E-4</v>
      </c>
      <c r="K16" s="142">
        <f t="shared" si="0"/>
        <v>3.1004201681618599E-3</v>
      </c>
      <c r="L16" s="142">
        <f t="shared" si="1"/>
        <v>1.4664149444008792E-3</v>
      </c>
      <c r="M16" s="142">
        <f t="shared" si="2"/>
        <v>2.2205712015213318E-4</v>
      </c>
    </row>
    <row r="17" spans="1:14" x14ac:dyDescent="0.25">
      <c r="A17" s="37" t="s">
        <v>180</v>
      </c>
      <c r="B17" s="124">
        <v>-20.188790000000001</v>
      </c>
      <c r="C17" s="124">
        <v>-40.250186999999997</v>
      </c>
      <c r="D17" s="46">
        <f>SUM(Dados!C9:C10)/8760</f>
        <v>24.261507762557081</v>
      </c>
      <c r="E17" s="47">
        <f>B31</f>
        <v>3</v>
      </c>
      <c r="F17" s="47" t="s">
        <v>32</v>
      </c>
      <c r="G17" s="47">
        <v>95</v>
      </c>
      <c r="H17" s="141">
        <f>'FE-Transferências'!$B$3*0.0016*(($B$27/2.2)^1.3)/(($E17/2)^1.4)</f>
        <v>1.5526110379049159E-3</v>
      </c>
      <c r="I17" s="141">
        <f>'FE-Transferências'!$C$3*0.0016*(($B$27/2.2)^1.3)/(($E17/2)^1.4)</f>
        <v>7.3434305846854125E-4</v>
      </c>
      <c r="J17" s="141">
        <f>'FE-Transferências'!$D$3*0.0016*(($B$27/2.2)^1.3)/(($E17/2)^1.4)</f>
        <v>1.1120052028237912E-4</v>
      </c>
      <c r="K17" s="142">
        <f t="shared" si="0"/>
        <v>1.8834342374180978E-3</v>
      </c>
      <c r="L17" s="142">
        <f t="shared" si="1"/>
        <v>8.9081349067072189E-4</v>
      </c>
      <c r="M17" s="142">
        <f t="shared" si="2"/>
        <v>1.3489461430156647E-4</v>
      </c>
      <c r="N17" s="35"/>
    </row>
    <row r="18" spans="1:14" x14ac:dyDescent="0.25">
      <c r="A18" s="37" t="s">
        <v>183</v>
      </c>
      <c r="B18" s="74">
        <v>-20.188790000000001</v>
      </c>
      <c r="C18" s="74">
        <v>-40.250186999999997</v>
      </c>
      <c r="D18" s="46">
        <f>Dados!C11/8760</f>
        <v>0.66677853881278537</v>
      </c>
      <c r="E18" s="47">
        <f>B33</f>
        <v>1</v>
      </c>
      <c r="F18" s="47" t="s">
        <v>32</v>
      </c>
      <c r="G18" s="47">
        <v>95</v>
      </c>
      <c r="H18" s="141">
        <f>'FE-Transferências'!$B$3*0.0016*(($B$27/2.2)^1.3)/(($E18/2)^1.4)</f>
        <v>7.2282377015546288E-3</v>
      </c>
      <c r="I18" s="141">
        <f>'FE-Transferências'!$C$3*0.0016*(($B$27/2.2)^1.3)/(($E18/2)^1.4)</f>
        <v>3.418761075059621E-3</v>
      </c>
      <c r="J18" s="141">
        <f>'FE-Transferências'!$D$3*0.0016*(($B$27/2.2)^1.3)/(($E18/2)^1.4)</f>
        <v>5.176981056518856E-4</v>
      </c>
      <c r="K18" s="142">
        <f t="shared" si="0"/>
        <v>2.4098168864170429E-4</v>
      </c>
      <c r="L18" s="142">
        <f t="shared" si="1"/>
        <v>1.1397782570891418E-4</v>
      </c>
      <c r="M18" s="142">
        <f t="shared" si="2"/>
        <v>1.7259499321635578E-5</v>
      </c>
      <c r="N18" s="35"/>
    </row>
    <row r="19" spans="1:14" x14ac:dyDescent="0.25">
      <c r="A19" s="37" t="s">
        <v>184</v>
      </c>
      <c r="B19" s="74">
        <v>-20.188790000000001</v>
      </c>
      <c r="C19" s="74">
        <v>-40.250186999999997</v>
      </c>
      <c r="D19" s="46">
        <f>Dados!C7/8760</f>
        <v>0.76391552511415517</v>
      </c>
      <c r="E19" s="78">
        <f>B32</f>
        <v>2.1</v>
      </c>
      <c r="F19" s="47" t="s">
        <v>32</v>
      </c>
      <c r="G19" s="47">
        <v>95</v>
      </c>
      <c r="H19" s="141">
        <f>'FE-Transferências'!$B$3*0.0016*(($B$27/2.2)^1.3)/(($E19/2)^1.4)</f>
        <v>2.5581465075712735E-3</v>
      </c>
      <c r="I19" s="141">
        <f>'FE-Transferências'!$C$3*0.0016*(($B$27/2.2)^1.3)/(($E19/2)^1.4)</f>
        <v>1.209934158986413E-3</v>
      </c>
      <c r="J19" s="141">
        <f>'FE-Transferências'!$D$3*0.0016*(($B$27/2.2)^1.3)/(($E19/2)^1.4)</f>
        <v>1.8321860121794256E-4</v>
      </c>
      <c r="K19" s="142">
        <f t="shared" si="0"/>
        <v>9.7710391632512672E-5</v>
      </c>
      <c r="L19" s="142">
        <f t="shared" si="1"/>
        <v>4.6214374420783008E-5</v>
      </c>
      <c r="M19" s="142">
        <f t="shared" si="2"/>
        <v>6.9981766980042844E-6</v>
      </c>
      <c r="N19" s="35"/>
    </row>
    <row r="20" spans="1:14" x14ac:dyDescent="0.25">
      <c r="A20" s="37" t="s">
        <v>185</v>
      </c>
      <c r="B20" s="74">
        <v>-20.188790000000001</v>
      </c>
      <c r="C20" s="74">
        <v>-40.250186999999997</v>
      </c>
      <c r="D20" s="46">
        <f>Dados!C8/8760</f>
        <v>8.5786336757990878</v>
      </c>
      <c r="E20" s="47">
        <f>B34</f>
        <v>1</v>
      </c>
      <c r="F20" s="47" t="s">
        <v>32</v>
      </c>
      <c r="G20" s="47">
        <v>95</v>
      </c>
      <c r="H20" s="141">
        <f>'FE-Transferências'!$B$3*0.0016*(($B$27/2.2)^1.3)/(($E20/2)^1.4)</f>
        <v>7.2282377015546288E-3</v>
      </c>
      <c r="I20" s="141">
        <f>'FE-Transferências'!$C$3*0.0016*(($B$27/2.2)^1.3)/(($E20/2)^1.4)</f>
        <v>3.418761075059621E-3</v>
      </c>
      <c r="J20" s="141">
        <f>'FE-Transferências'!$D$3*0.0016*(($B$27/2.2)^1.3)/(($E20/2)^1.4)</f>
        <v>5.176981056518856E-4</v>
      </c>
      <c r="K20" s="142">
        <f t="shared" si="0"/>
        <v>3.1004201681618599E-3</v>
      </c>
      <c r="L20" s="142">
        <f t="shared" si="1"/>
        <v>1.4664149444008792E-3</v>
      </c>
      <c r="M20" s="142">
        <f t="shared" si="2"/>
        <v>2.2205712015213318E-4</v>
      </c>
      <c r="N20" s="35"/>
    </row>
    <row r="21" spans="1:14" x14ac:dyDescent="0.25">
      <c r="A21" s="37" t="s">
        <v>186</v>
      </c>
      <c r="B21" s="124">
        <v>-20.188790000000001</v>
      </c>
      <c r="C21" s="124">
        <v>-40.250186999999997</v>
      </c>
      <c r="D21" s="46">
        <f>SUM(Dados!C9:C10)/8760</f>
        <v>24.261507762557081</v>
      </c>
      <c r="E21" s="47">
        <f>B31</f>
        <v>3</v>
      </c>
      <c r="F21" s="47" t="s">
        <v>32</v>
      </c>
      <c r="G21" s="47">
        <v>95</v>
      </c>
      <c r="H21" s="141">
        <f>'FE-Transferências'!$B$3*0.0016*(($B$27/2.2)^1.3)/(($E21/2)^1.4)</f>
        <v>1.5526110379049159E-3</v>
      </c>
      <c r="I21" s="141">
        <f>'FE-Transferências'!$C$3*0.0016*(($B$27/2.2)^1.3)/(($E21/2)^1.4)</f>
        <v>7.3434305846854125E-4</v>
      </c>
      <c r="J21" s="141">
        <f>'FE-Transferências'!$D$3*0.0016*(($B$27/2.2)^1.3)/(($E21/2)^1.4)</f>
        <v>1.1120052028237912E-4</v>
      </c>
      <c r="K21" s="142">
        <f t="shared" si="0"/>
        <v>1.8834342374180978E-3</v>
      </c>
      <c r="L21" s="142">
        <f t="shared" si="1"/>
        <v>8.9081349067072189E-4</v>
      </c>
      <c r="M21" s="142">
        <f t="shared" si="2"/>
        <v>1.3489461430156647E-4</v>
      </c>
      <c r="N21" s="35"/>
    </row>
    <row r="22" spans="1:14" x14ac:dyDescent="0.25">
      <c r="A22" s="37" t="s">
        <v>187</v>
      </c>
      <c r="B22" s="74">
        <v>-20.188790000000001</v>
      </c>
      <c r="C22" s="74">
        <v>-40.250186999999997</v>
      </c>
      <c r="D22" s="46">
        <f>SUM(Dados!C7:C11)/8760</f>
        <v>34.270835502283099</v>
      </c>
      <c r="E22" s="47">
        <f>B35</f>
        <v>1</v>
      </c>
      <c r="F22" s="47" t="s">
        <v>32</v>
      </c>
      <c r="G22" s="47">
        <v>95</v>
      </c>
      <c r="H22" s="141">
        <f>'FE-Transferências'!$B$3*0.0016*(($B$27/2.2)^1.3)/(($E22/2)^1.4)</f>
        <v>7.2282377015546288E-3</v>
      </c>
      <c r="I22" s="141">
        <f>'FE-Transferências'!$C$3*0.0016*(($B$27/2.2)^1.3)/(($E22/2)^1.4)</f>
        <v>3.418761075059621E-3</v>
      </c>
      <c r="J22" s="141">
        <f>'FE-Transferências'!$D$3*0.0016*(($B$27/2.2)^1.3)/(($E22/2)^1.4)</f>
        <v>5.176981056518856E-4</v>
      </c>
      <c r="K22" s="142">
        <f t="shared" si="0"/>
        <v>1.238588726206899E-2</v>
      </c>
      <c r="L22" s="142">
        <f t="shared" si="1"/>
        <v>5.8581899212488443E-3</v>
      </c>
      <c r="M22" s="142">
        <f t="shared" si="2"/>
        <v>8.8709733093196813E-4</v>
      </c>
    </row>
    <row r="23" spans="1:14" x14ac:dyDescent="0.25">
      <c r="A23" s="37" t="s">
        <v>188</v>
      </c>
      <c r="B23" s="74">
        <v>-20.188790000000001</v>
      </c>
      <c r="C23" s="74">
        <v>-40.250186999999997</v>
      </c>
      <c r="D23" s="46">
        <f>0.5*SUM(Dados!C7:C11)/8760</f>
        <v>17.135417751141549</v>
      </c>
      <c r="E23" s="47">
        <f>B35</f>
        <v>1</v>
      </c>
      <c r="F23" s="47" t="s">
        <v>32</v>
      </c>
      <c r="G23" s="47">
        <v>95</v>
      </c>
      <c r="H23" s="141">
        <f>'FE-Transferências'!$B$3*0.0016*(($B$27/2.2)^1.3)/(($E23/2)^1.4)</f>
        <v>7.2282377015546288E-3</v>
      </c>
      <c r="I23" s="141">
        <f>'FE-Transferências'!$C$3*0.0016*(($B$27/2.2)^1.3)/(($E23/2)^1.4)</f>
        <v>3.418761075059621E-3</v>
      </c>
      <c r="J23" s="141">
        <f>'FE-Transferências'!$D$3*0.0016*(($B$27/2.2)^1.3)/(($E23/2)^1.4)</f>
        <v>5.176981056518856E-4</v>
      </c>
      <c r="K23" s="142">
        <f t="shared" si="0"/>
        <v>6.1929436310344949E-3</v>
      </c>
      <c r="L23" s="142">
        <f t="shared" si="1"/>
        <v>2.9290949606244222E-3</v>
      </c>
      <c r="M23" s="142">
        <f t="shared" si="2"/>
        <v>4.4354866546598406E-4</v>
      </c>
    </row>
    <row r="24" spans="1:14" x14ac:dyDescent="0.25">
      <c r="A24" s="37" t="s">
        <v>189</v>
      </c>
      <c r="B24" s="74">
        <v>-20.188790000000001</v>
      </c>
      <c r="C24" s="74">
        <v>-40.250186999999997</v>
      </c>
      <c r="D24" s="46">
        <f>0.5*SUM(Dados!C7:C11)/8760</f>
        <v>17.135417751141549</v>
      </c>
      <c r="E24" s="47">
        <f>B35</f>
        <v>1</v>
      </c>
      <c r="F24" s="47" t="s">
        <v>32</v>
      </c>
      <c r="G24" s="47">
        <v>95</v>
      </c>
      <c r="H24" s="141">
        <f>'FE-Transferências'!$B$3*0.0016*(($B$27/2.2)^1.3)/(($E24/2)^1.4)</f>
        <v>7.2282377015546288E-3</v>
      </c>
      <c r="I24" s="141">
        <f>'FE-Transferências'!$C$3*0.0016*(($B$27/2.2)^1.3)/(($E24/2)^1.4)</f>
        <v>3.418761075059621E-3</v>
      </c>
      <c r="J24" s="141">
        <f>'FE-Transferências'!$D$3*0.0016*(($B$27/2.2)^1.3)/(($E24/2)^1.4)</f>
        <v>5.176981056518856E-4</v>
      </c>
      <c r="K24" s="142">
        <f>H24*$D24*(1-G24/100)</f>
        <v>6.1929436310344949E-3</v>
      </c>
      <c r="L24" s="142">
        <f>I24*$D24*(1-G24/100)</f>
        <v>2.9290949606244222E-3</v>
      </c>
      <c r="M24" s="142">
        <f>J24*$D24*(1-G24/100)</f>
        <v>4.4354866546598406E-4</v>
      </c>
    </row>
    <row r="25" spans="1:14" x14ac:dyDescent="0.25">
      <c r="A25" s="161" t="s">
        <v>10</v>
      </c>
      <c r="B25" s="161"/>
      <c r="C25" s="161"/>
      <c r="D25" s="161"/>
      <c r="E25" s="161"/>
      <c r="F25" s="161"/>
      <c r="G25" s="161"/>
      <c r="H25" s="161"/>
      <c r="I25" s="161"/>
      <c r="J25" s="161"/>
      <c r="K25" s="79">
        <f>SUM(K3:K24)</f>
        <v>8.9582583073400265E-2</v>
      </c>
      <c r="L25" s="79">
        <f>SUM(L3:L24)</f>
        <v>4.237014064282444E-2</v>
      </c>
      <c r="M25" s="79">
        <f>SUM(M3:M24)</f>
        <v>6.4160498687705582E-3</v>
      </c>
    </row>
    <row r="26" spans="1:14" x14ac:dyDescent="0.25">
      <c r="C26" s="35"/>
      <c r="D26" s="35"/>
      <c r="E26" s="35"/>
      <c r="F26" s="19"/>
      <c r="G26" s="19"/>
      <c r="H26" s="126"/>
      <c r="I26" s="126"/>
      <c r="J26" s="126"/>
      <c r="K26" s="126"/>
      <c r="L26" s="126"/>
      <c r="M26" s="126"/>
      <c r="N26" s="126"/>
    </row>
    <row r="27" spans="1:14" x14ac:dyDescent="0.25">
      <c r="A27" s="48" t="s">
        <v>98</v>
      </c>
      <c r="B27" s="143">
        <v>4.1937865160171146</v>
      </c>
      <c r="F27" s="101"/>
      <c r="G27" s="101"/>
      <c r="H27" s="126"/>
      <c r="I27" s="127"/>
      <c r="J27" s="126"/>
      <c r="K27" s="126"/>
      <c r="L27" s="126"/>
      <c r="M27" s="126"/>
      <c r="N27" s="126"/>
    </row>
    <row r="28" spans="1:14" x14ac:dyDescent="0.25">
      <c r="F28" s="101"/>
      <c r="G28" s="101"/>
      <c r="H28" s="126"/>
      <c r="I28" s="127"/>
      <c r="J28" s="126"/>
      <c r="K28" s="126"/>
      <c r="L28" s="126"/>
      <c r="M28" s="126"/>
      <c r="N28" s="126"/>
    </row>
    <row r="29" spans="1:14" x14ac:dyDescent="0.25">
      <c r="A29" s="68" t="s">
        <v>171</v>
      </c>
      <c r="B29" s="68" t="s">
        <v>170</v>
      </c>
      <c r="F29" s="101"/>
      <c r="G29" s="101"/>
      <c r="H29" s="126"/>
      <c r="I29" s="127"/>
      <c r="J29" s="126"/>
      <c r="K29" s="126"/>
      <c r="L29" s="126"/>
      <c r="M29" s="126"/>
      <c r="N29" s="126"/>
    </row>
    <row r="30" spans="1:14" x14ac:dyDescent="0.25">
      <c r="A30" s="59" t="s">
        <v>172</v>
      </c>
      <c r="B30" s="59">
        <v>10</v>
      </c>
      <c r="F30" s="101"/>
      <c r="G30" s="101"/>
      <c r="H30" s="126"/>
      <c r="I30" s="127"/>
      <c r="J30" s="126"/>
      <c r="K30" s="126"/>
      <c r="L30" s="126"/>
      <c r="M30" s="126"/>
      <c r="N30" s="126"/>
    </row>
    <row r="31" spans="1:14" x14ac:dyDescent="0.25">
      <c r="A31" s="59" t="s">
        <v>70</v>
      </c>
      <c r="B31" s="59">
        <v>3</v>
      </c>
      <c r="F31" s="101"/>
      <c r="G31" s="101"/>
      <c r="H31" s="126"/>
      <c r="I31" s="127"/>
      <c r="J31" s="126"/>
      <c r="K31" s="126"/>
      <c r="L31" s="126"/>
      <c r="M31" s="126"/>
      <c r="N31" s="126"/>
    </row>
    <row r="32" spans="1:14" x14ac:dyDescent="0.25">
      <c r="A32" s="59" t="s">
        <v>173</v>
      </c>
      <c r="B32" s="59">
        <v>2.1</v>
      </c>
      <c r="F32" s="101"/>
      <c r="G32" s="101"/>
      <c r="H32" s="126"/>
      <c r="I32" s="127"/>
      <c r="J32" s="126"/>
      <c r="K32" s="126"/>
      <c r="L32" s="126"/>
      <c r="M32" s="126"/>
      <c r="N32" s="126"/>
    </row>
    <row r="33" spans="1:14" x14ac:dyDescent="0.25">
      <c r="A33" s="59" t="s">
        <v>83</v>
      </c>
      <c r="B33" s="37">
        <v>1</v>
      </c>
      <c r="F33" s="101"/>
      <c r="G33" s="101"/>
      <c r="H33" s="126"/>
      <c r="I33" s="127"/>
      <c r="J33" s="126"/>
      <c r="K33" s="126"/>
      <c r="L33" s="126"/>
      <c r="M33" s="126"/>
      <c r="N33" s="126"/>
    </row>
    <row r="34" spans="1:14" x14ac:dyDescent="0.25">
      <c r="A34" s="59" t="s">
        <v>174</v>
      </c>
      <c r="B34" s="37">
        <v>1</v>
      </c>
      <c r="F34" s="101"/>
      <c r="G34" s="101"/>
      <c r="H34" s="126"/>
      <c r="I34" s="127"/>
      <c r="J34" s="126"/>
      <c r="K34" s="126"/>
      <c r="L34" s="126"/>
      <c r="M34" s="126"/>
      <c r="N34" s="126"/>
    </row>
    <row r="35" spans="1:14" x14ac:dyDescent="0.25">
      <c r="A35" s="80" t="s">
        <v>69</v>
      </c>
      <c r="B35" s="80">
        <v>1</v>
      </c>
      <c r="F35" s="101"/>
      <c r="G35" s="101"/>
      <c r="H35" s="126"/>
      <c r="I35" s="127"/>
      <c r="J35" s="126"/>
      <c r="K35" s="126"/>
      <c r="L35" s="126"/>
      <c r="M35" s="126"/>
      <c r="N35" s="126"/>
    </row>
    <row r="36" spans="1:14" x14ac:dyDescent="0.25">
      <c r="F36" s="101"/>
      <c r="G36" s="101"/>
      <c r="H36" s="126"/>
      <c r="I36" s="127"/>
      <c r="J36" s="126"/>
      <c r="K36" s="126"/>
      <c r="L36" s="126"/>
      <c r="M36" s="126"/>
      <c r="N36" s="126"/>
    </row>
    <row r="37" spans="1:14" x14ac:dyDescent="0.25">
      <c r="A37" s="72"/>
      <c r="F37" s="101"/>
      <c r="G37" s="101"/>
      <c r="H37" s="126"/>
      <c r="I37" s="127"/>
      <c r="J37" s="126"/>
      <c r="K37" s="126"/>
      <c r="L37" s="126"/>
      <c r="M37" s="126"/>
      <c r="N37" s="126"/>
    </row>
    <row r="38" spans="1:14" x14ac:dyDescent="0.25">
      <c r="A38" s="35"/>
      <c r="F38" s="101"/>
      <c r="G38" s="101"/>
      <c r="H38" s="126"/>
      <c r="I38" s="127"/>
      <c r="J38" s="126"/>
      <c r="K38" s="126"/>
      <c r="L38" s="126"/>
      <c r="M38" s="126"/>
      <c r="N38" s="126"/>
    </row>
    <row r="39" spans="1:14" x14ac:dyDescent="0.25">
      <c r="F39" s="101"/>
      <c r="G39" s="101"/>
      <c r="H39" s="126"/>
      <c r="I39" s="127"/>
      <c r="J39" s="126"/>
      <c r="K39" s="126"/>
      <c r="L39" s="126"/>
      <c r="M39" s="126"/>
      <c r="N39" s="126"/>
    </row>
    <row r="40" spans="1:14" x14ac:dyDescent="0.25">
      <c r="F40" s="101"/>
      <c r="G40" s="101"/>
      <c r="H40" s="126"/>
      <c r="I40" s="127"/>
      <c r="J40" s="126"/>
      <c r="K40" s="126"/>
      <c r="L40" s="126"/>
      <c r="M40" s="126"/>
      <c r="N40" s="126"/>
    </row>
    <row r="41" spans="1:14" x14ac:dyDescent="0.25">
      <c r="F41" s="101"/>
      <c r="G41" s="101"/>
      <c r="H41" s="126"/>
      <c r="I41" s="127"/>
      <c r="J41" s="126"/>
      <c r="K41" s="126"/>
      <c r="L41" s="126"/>
      <c r="M41" s="126"/>
      <c r="N41" s="126"/>
    </row>
  </sheetData>
  <sheetProtection password="B056" sheet="1" objects="1" scenarios="1"/>
  <mergeCells count="9">
    <mergeCell ref="H1:J1"/>
    <mergeCell ref="K1:M1"/>
    <mergeCell ref="A25:J25"/>
    <mergeCell ref="A1:A2"/>
    <mergeCell ref="B1:B2"/>
    <mergeCell ref="C1:C2"/>
    <mergeCell ref="D1:D2"/>
    <mergeCell ref="E1:E2"/>
    <mergeCell ref="F1:G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"/>
  <sheetViews>
    <sheetView workbookViewId="0">
      <selection activeCell="N9" sqref="N9"/>
    </sheetView>
  </sheetViews>
  <sheetFormatPr defaultRowHeight="15" x14ac:dyDescent="0.25"/>
  <cols>
    <col min="1" max="1" width="10.5703125" customWidth="1"/>
    <col min="2" max="2" width="10.28515625" customWidth="1"/>
    <col min="3" max="3" width="10.5703125" customWidth="1"/>
    <col min="4" max="4" width="12.42578125" customWidth="1"/>
    <col min="5" max="5" width="12" customWidth="1"/>
    <col min="6" max="6" width="11.5703125" customWidth="1"/>
    <col min="7" max="7" width="8.140625" customWidth="1"/>
    <col min="8" max="8" width="11.5703125" customWidth="1"/>
    <col min="9" max="9" width="12.42578125" customWidth="1"/>
    <col min="10" max="10" width="15.140625" customWidth="1"/>
    <col min="11" max="11" width="11.28515625" customWidth="1"/>
    <col min="12" max="12" width="10.5703125" customWidth="1"/>
  </cols>
  <sheetData>
    <row r="1" spans="1:35" ht="24" customHeight="1" x14ac:dyDescent="0.25">
      <c r="A1" s="175" t="s">
        <v>192</v>
      </c>
      <c r="B1" s="175" t="s">
        <v>93</v>
      </c>
      <c r="C1" s="171" t="s">
        <v>257</v>
      </c>
      <c r="D1" s="171" t="s">
        <v>258</v>
      </c>
      <c r="E1" s="175" t="s">
        <v>236</v>
      </c>
      <c r="F1" s="175" t="s">
        <v>237</v>
      </c>
      <c r="G1" s="176" t="s">
        <v>238</v>
      </c>
      <c r="H1" s="175" t="s">
        <v>253</v>
      </c>
      <c r="I1" s="175" t="s">
        <v>239</v>
      </c>
      <c r="J1" s="175" t="s">
        <v>91</v>
      </c>
      <c r="K1" s="175" t="s">
        <v>240</v>
      </c>
      <c r="L1" s="175"/>
      <c r="M1" s="177" t="s">
        <v>241</v>
      </c>
      <c r="N1" s="177"/>
      <c r="O1" s="177"/>
      <c r="P1" s="175" t="s">
        <v>242</v>
      </c>
      <c r="Q1" s="175"/>
      <c r="R1" s="175"/>
      <c r="S1" s="175"/>
      <c r="T1" s="175"/>
      <c r="U1" s="175"/>
      <c r="V1" s="175"/>
      <c r="W1" s="176" t="s">
        <v>243</v>
      </c>
      <c r="X1" s="177"/>
      <c r="Y1" s="178"/>
      <c r="Z1" s="176" t="s">
        <v>244</v>
      </c>
      <c r="AA1" s="177"/>
      <c r="AB1" s="178"/>
      <c r="AC1" s="174" t="s">
        <v>1</v>
      </c>
      <c r="AD1" s="174"/>
      <c r="AE1" s="174"/>
      <c r="AF1" s="174"/>
      <c r="AG1" s="174"/>
      <c r="AH1" s="174"/>
      <c r="AI1" s="174"/>
    </row>
    <row r="2" spans="1:35" ht="19.5" customHeight="1" x14ac:dyDescent="0.25">
      <c r="A2" s="175"/>
      <c r="B2" s="175"/>
      <c r="C2" s="171"/>
      <c r="D2" s="171"/>
      <c r="E2" s="175"/>
      <c r="F2" s="175"/>
      <c r="G2" s="176"/>
      <c r="H2" s="175"/>
      <c r="I2" s="175"/>
      <c r="J2" s="175"/>
      <c r="K2" s="93" t="s">
        <v>191</v>
      </c>
      <c r="L2" s="93" t="s">
        <v>235</v>
      </c>
      <c r="M2" s="95" t="s">
        <v>2</v>
      </c>
      <c r="N2" s="70" t="s">
        <v>4</v>
      </c>
      <c r="O2" s="69" t="s">
        <v>23</v>
      </c>
      <c r="P2" s="70" t="s">
        <v>2</v>
      </c>
      <c r="Q2" s="70" t="s">
        <v>4</v>
      </c>
      <c r="R2" s="70" t="s">
        <v>23</v>
      </c>
      <c r="S2" s="70" t="s">
        <v>7</v>
      </c>
      <c r="T2" s="70" t="s">
        <v>8</v>
      </c>
      <c r="U2" s="70" t="s">
        <v>6</v>
      </c>
      <c r="V2" s="131" t="s">
        <v>255</v>
      </c>
      <c r="W2" s="70" t="s">
        <v>2</v>
      </c>
      <c r="X2" s="70" t="s">
        <v>4</v>
      </c>
      <c r="Y2" s="70" t="s">
        <v>23</v>
      </c>
      <c r="Z2" s="70" t="s">
        <v>2</v>
      </c>
      <c r="AA2" s="70" t="s">
        <v>4</v>
      </c>
      <c r="AB2" s="70" t="s">
        <v>23</v>
      </c>
      <c r="AC2" s="70" t="s">
        <v>2</v>
      </c>
      <c r="AD2" s="70" t="s">
        <v>4</v>
      </c>
      <c r="AE2" s="70" t="s">
        <v>23</v>
      </c>
      <c r="AF2" s="70" t="s">
        <v>7</v>
      </c>
      <c r="AG2" s="70" t="s">
        <v>8</v>
      </c>
      <c r="AH2" s="70" t="s">
        <v>6</v>
      </c>
      <c r="AI2" s="70" t="s">
        <v>255</v>
      </c>
    </row>
    <row r="3" spans="1:35" x14ac:dyDescent="0.25">
      <c r="A3" s="81" t="s">
        <v>231</v>
      </c>
      <c r="B3" s="67" t="s">
        <v>190</v>
      </c>
      <c r="C3" s="118">
        <v>-20.190252000000001</v>
      </c>
      <c r="D3" s="118">
        <v>-40.249245000000002</v>
      </c>
      <c r="E3" s="67">
        <v>700</v>
      </c>
      <c r="F3" s="14">
        <f>Dados!$B$19/24</f>
        <v>2.0833333333333335</v>
      </c>
      <c r="G3" s="17">
        <f>E3*F3/1000</f>
        <v>1.4583333333333335</v>
      </c>
      <c r="H3" s="124">
        <v>12</v>
      </c>
      <c r="I3" s="124">
        <v>16</v>
      </c>
      <c r="J3" s="124" t="s">
        <v>234</v>
      </c>
      <c r="K3" s="124">
        <v>50</v>
      </c>
      <c r="L3" s="124">
        <v>15</v>
      </c>
      <c r="M3" s="17">
        <f>('FE-Vias'!$D$5*(H3^0.91)*(I3^1.02)/1000)*'FE-Vias'!$G$15</f>
        <v>0.49995782908353348</v>
      </c>
      <c r="N3" s="17">
        <f>('FE-Vias'!$C$5*(H3^0.91)*(I3^1.02)/1000)*'FE-Vias'!$G$15</f>
        <v>9.5967137471142647E-2</v>
      </c>
      <c r="O3" s="17">
        <f>('FE-Vias'!$B$5*(H3^0.91)*(I3^1.02)/1000)*'FE-Vias'!$G$15</f>
        <v>2.3217855839792575E-2</v>
      </c>
      <c r="P3" s="144">
        <f>'FE-Vias'!$B$22/1000</f>
        <v>1.7489827604766657E-4</v>
      </c>
      <c r="Q3" s="144">
        <f>'FE-Vias'!$C$22/1000</f>
        <v>1.7489827604766657E-4</v>
      </c>
      <c r="R3" s="144">
        <f>'FE-Vias'!$D$22/1000</f>
        <v>1.7489827604766657E-4</v>
      </c>
      <c r="S3" s="144">
        <f>'FE-Vias'!$E$22/1000</f>
        <v>5.4345140567386742E-3</v>
      </c>
      <c r="T3" s="145">
        <f>'FE-Vias'!$F$22/1000</f>
        <v>2.1032135261668511E-4</v>
      </c>
      <c r="U3" s="144">
        <f>'FE-Vias'!$G$22/1000</f>
        <v>1.0383730075038094E-3</v>
      </c>
      <c r="V3" s="144">
        <f>'FE-Vias'!$H$22/1000</f>
        <v>2.4766340643796463E-4</v>
      </c>
      <c r="W3" s="144">
        <f>'FE-Vias'!$I$22/1000</f>
        <v>6.7633804693835879E-5</v>
      </c>
      <c r="X3" s="144">
        <f>'FE-Vias'!$J$22/1000</f>
        <v>5.1332470377789449E-5</v>
      </c>
      <c r="Y3" s="144">
        <f>'FE-Vias'!$K$22/1000</f>
        <v>2.7520218195668728E-5</v>
      </c>
      <c r="Z3" s="144">
        <f>'FE-Vias'!$L$22/1000</f>
        <v>6.3494136177677979E-5</v>
      </c>
      <c r="AA3" s="144">
        <f>'FE-Vias'!$M$22/1000</f>
        <v>3.1747068088838989E-5</v>
      </c>
      <c r="AB3" s="144">
        <f>'FE-Vias'!$N$22/1000</f>
        <v>1.7137767759244576E-5</v>
      </c>
      <c r="AC3" s="82">
        <f>(M3*G3*(1-K3/100)*(1-L3/100))+(P3*G3)+(W3*G3)+(Z3*G3)</f>
        <v>0.31031598438373886</v>
      </c>
      <c r="AD3" s="82">
        <f>(N3*G3*(1-K3/100)*(1-L3/100))+(Q3*G3)+(X3*G3)+(AA3*G3)</f>
        <v>5.9855849724635306E-2</v>
      </c>
      <c r="AE3" s="82">
        <f>(O3*G3*(1-K3/100)*(1-L3/100))+(R3*G3)+(Y3*G3)+(AB3*G3)</f>
        <v>1.4710419782791867E-2</v>
      </c>
      <c r="AF3" s="82">
        <f>S3*G3</f>
        <v>7.9253329994105667E-3</v>
      </c>
      <c r="AG3" s="82">
        <f>T3*G3</f>
        <v>3.0671863923266581E-4</v>
      </c>
      <c r="AH3" s="82">
        <f>U3*G3</f>
        <v>1.5142939692763889E-3</v>
      </c>
      <c r="AI3" s="82">
        <f>V3*G3</f>
        <v>3.6117580105536514E-4</v>
      </c>
    </row>
    <row r="4" spans="1:35" x14ac:dyDescent="0.25">
      <c r="A4" s="81" t="s">
        <v>233</v>
      </c>
      <c r="B4" s="67" t="s">
        <v>190</v>
      </c>
      <c r="C4" s="118">
        <v>-20.187791000000001</v>
      </c>
      <c r="D4" s="118">
        <v>-40.248756</v>
      </c>
      <c r="E4" s="67">
        <v>212</v>
      </c>
      <c r="F4" s="14">
        <f>Dados!$B$19/24</f>
        <v>2.0833333333333335</v>
      </c>
      <c r="G4" s="17">
        <f>E4*F4/1000</f>
        <v>0.44166666666666671</v>
      </c>
      <c r="H4" s="124">
        <v>12</v>
      </c>
      <c r="I4" s="124">
        <v>16</v>
      </c>
      <c r="J4" s="124" t="s">
        <v>234</v>
      </c>
      <c r="K4" s="124">
        <v>50</v>
      </c>
      <c r="L4" s="124">
        <v>15</v>
      </c>
      <c r="M4" s="17">
        <f>('FE-Vias'!$D$5*(H4^0.91)*(I4^1.02)/1000)*'FE-Vias'!$G$15</f>
        <v>0.49995782908353348</v>
      </c>
      <c r="N4" s="17">
        <f>('FE-Vias'!$C$5*(H4^0.91)*(I4^1.02)/1000)*'FE-Vias'!$G$15</f>
        <v>9.5967137471142647E-2</v>
      </c>
      <c r="O4" s="17">
        <f>('FE-Vias'!$B$5*(H4^0.91)*(I4^1.02)/1000)*'FE-Vias'!$G$15</f>
        <v>2.3217855839792575E-2</v>
      </c>
      <c r="P4" s="144">
        <f>'FE-Vias'!$B$22/1000</f>
        <v>1.7489827604766657E-4</v>
      </c>
      <c r="Q4" s="144">
        <f>'FE-Vias'!$C$22/1000</f>
        <v>1.7489827604766657E-4</v>
      </c>
      <c r="R4" s="144">
        <f>'FE-Vias'!$D$22/1000</f>
        <v>1.7489827604766657E-4</v>
      </c>
      <c r="S4" s="144">
        <f>'FE-Vias'!$E$22/1000</f>
        <v>5.4345140567386742E-3</v>
      </c>
      <c r="T4" s="145">
        <f>'FE-Vias'!$F$22/1000</f>
        <v>2.1032135261668511E-4</v>
      </c>
      <c r="U4" s="144">
        <f>'FE-Vias'!$G$22/1000</f>
        <v>1.0383730075038094E-3</v>
      </c>
      <c r="V4" s="144">
        <f>'FE-Vias'!$H$22/1000</f>
        <v>2.4766340643796463E-4</v>
      </c>
      <c r="W4" s="144">
        <f>'FE-Vias'!$I$22/1000</f>
        <v>6.7633804693835879E-5</v>
      </c>
      <c r="X4" s="144">
        <f>'FE-Vias'!$J$22/1000</f>
        <v>5.1332470377789449E-5</v>
      </c>
      <c r="Y4" s="144">
        <f>'FE-Vias'!$K$22/1000</f>
        <v>2.7520218195668728E-5</v>
      </c>
      <c r="Z4" s="144">
        <f>'FE-Vias'!$L$22/1000</f>
        <v>6.3494136177677979E-5</v>
      </c>
      <c r="AA4" s="144">
        <f>'FE-Vias'!$M$22/1000</f>
        <v>3.1747068088838989E-5</v>
      </c>
      <c r="AB4" s="144">
        <f>'FE-Vias'!$N$22/1000</f>
        <v>1.7137767759244576E-5</v>
      </c>
      <c r="AC4" s="82">
        <f>(M4*G4*(1-K4/100)*(1-L4/100))+(P4*G4)+(W4*G4)+(Z4*G4)</f>
        <v>9.3981412413360915E-2</v>
      </c>
      <c r="AD4" s="82">
        <f t="shared" ref="AD4" si="0">(N4*G4*(1-K4/100)*(1-L4/100))+(Q4*G4)+(X4*G4)+(AA4*G4)</f>
        <v>1.8127771630889546E-2</v>
      </c>
      <c r="AE4" s="82">
        <f t="shared" ref="AE4" si="1">(O4*G4*(1-K4/100)*(1-L4/100))+(R4*G4)+(Y4*G4)+(AB4*G4)</f>
        <v>4.4551557056455374E-3</v>
      </c>
      <c r="AF4" s="82">
        <f t="shared" ref="AF4" si="2">S4*G4</f>
        <v>2.4002437083929145E-3</v>
      </c>
      <c r="AG4" s="82">
        <f t="shared" ref="AG4" si="3">T4*G4</f>
        <v>9.2891930739035934E-5</v>
      </c>
      <c r="AH4" s="82">
        <f t="shared" ref="AH4" si="4">U4*G4</f>
        <v>4.5861474498084918E-4</v>
      </c>
      <c r="AI4" s="82">
        <f t="shared" ref="AI4" si="5">V4*G4</f>
        <v>1.0938467117676772E-4</v>
      </c>
    </row>
    <row r="5" spans="1:35" x14ac:dyDescent="0.25">
      <c r="A5" s="149" t="s">
        <v>10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49">
        <f t="shared" ref="AC5:AI5" si="6">SUM(AC3:AC4)</f>
        <v>0.40429739679709975</v>
      </c>
      <c r="AD5" s="49">
        <f t="shared" si="6"/>
        <v>7.7983621355524849E-2</v>
      </c>
      <c r="AE5" s="49">
        <f t="shared" si="6"/>
        <v>1.9165575488437406E-2</v>
      </c>
      <c r="AF5" s="49">
        <f t="shared" si="6"/>
        <v>1.0325576707803482E-2</v>
      </c>
      <c r="AG5" s="49">
        <f t="shared" si="6"/>
        <v>3.9961056997170173E-4</v>
      </c>
      <c r="AH5" s="49">
        <f t="shared" si="6"/>
        <v>1.9729087142572382E-3</v>
      </c>
      <c r="AI5" s="49">
        <f t="shared" si="6"/>
        <v>4.7056047223213287E-4</v>
      </c>
    </row>
    <row r="6" spans="1:35" x14ac:dyDescent="0.25">
      <c r="F6" s="125"/>
    </row>
  </sheetData>
  <sheetProtection password="B056" sheet="1" objects="1" scenarios="1"/>
  <mergeCells count="17">
    <mergeCell ref="AC1:AI1"/>
    <mergeCell ref="H1:H2"/>
    <mergeCell ref="I1:I2"/>
    <mergeCell ref="J1:J2"/>
    <mergeCell ref="M1:O1"/>
    <mergeCell ref="P1:V1"/>
    <mergeCell ref="K1:L1"/>
    <mergeCell ref="F1:F2"/>
    <mergeCell ref="G1:G2"/>
    <mergeCell ref="A5:AB5"/>
    <mergeCell ref="A1:A2"/>
    <mergeCell ref="B1:B2"/>
    <mergeCell ref="C1:C2"/>
    <mergeCell ref="D1:D2"/>
    <mergeCell ref="E1:E2"/>
    <mergeCell ref="W1:Y1"/>
    <mergeCell ref="Z1:AB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</vt:i4>
      </vt:variant>
    </vt:vector>
  </HeadingPairs>
  <TitlesOfParts>
    <vt:vector size="13" baseType="lpstr">
      <vt:lpstr>Dados</vt:lpstr>
      <vt:lpstr>Monitoramento</vt:lpstr>
      <vt:lpstr>FE-Combustão</vt:lpstr>
      <vt:lpstr>FE-Maq e Equip</vt:lpstr>
      <vt:lpstr>FE-Transferências</vt:lpstr>
      <vt:lpstr>FE-Vias</vt:lpstr>
      <vt:lpstr>Emissão Chaminés</vt:lpstr>
      <vt:lpstr>Emissão Transferências</vt:lpstr>
      <vt:lpstr>Emissão Vias</vt:lpstr>
      <vt:lpstr>Emissão Maq e Equip</vt:lpstr>
      <vt:lpstr>Resumo</vt:lpstr>
      <vt:lpstr>FE_Equip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2016-12-13T12:13:55Z</dcterms:created>
  <dcterms:modified xsi:type="dcterms:W3CDTF">2019-06-07T12:02:33Z</dcterms:modified>
</cp:coreProperties>
</file>