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Ibrata\"/>
    </mc:Choice>
  </mc:AlternateContent>
  <bookViews>
    <workbookView xWindow="0" yWindow="0" windowWidth="24000" windowHeight="9135" tabRatio="838"/>
  </bookViews>
  <sheets>
    <sheet name="Dados" sheetId="16" r:id="rId1"/>
    <sheet name="FE-Perfuração e Detonação" sheetId="20" r:id="rId2"/>
    <sheet name="FE-Maq e Equip" sheetId="6" r:id="rId3"/>
    <sheet name="FE-Transferências" sheetId="10" r:id="rId4"/>
    <sheet name="FE-Britagem e Peneiramento" sheetId="25" r:id="rId5"/>
    <sheet name="FE-Vias" sheetId="13" r:id="rId6"/>
    <sheet name="Emissão Perfuração e Detonação" sheetId="18" r:id="rId7"/>
    <sheet name="Emissão Maq e Equip" sheetId="5" r:id="rId8"/>
    <sheet name="Emissão Transferências" sheetId="8" r:id="rId9"/>
    <sheet name="Emissão Britagem e Peneiramento" sheetId="22" r:id="rId10"/>
    <sheet name="Emissão Vias " sheetId="9" r:id="rId11"/>
    <sheet name="Resumo" sheetId="26" r:id="rId12"/>
  </sheets>
  <definedNames>
    <definedName name="FE_Equip">'FE-Maq e Equip'!$B$3:$I$26</definedName>
    <definedName name="Pot_Equip">'FE-Maq e Equip'!$B$3:$B$26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6" l="1"/>
  <c r="H9" i="26" s="1"/>
  <c r="G3" i="26"/>
  <c r="F3" i="26"/>
  <c r="E3" i="26"/>
  <c r="N8" i="18" l="1"/>
  <c r="O7" i="5" l="1"/>
  <c r="N7" i="5"/>
  <c r="M7" i="5"/>
  <c r="L7" i="5"/>
  <c r="I7" i="5"/>
  <c r="G8" i="18" l="1"/>
  <c r="N9" i="18" s="1"/>
  <c r="F8" i="18"/>
  <c r="K8" i="18" s="1"/>
  <c r="K9" i="18" s="1"/>
  <c r="L8" i="18" l="1"/>
  <c r="L9" i="18" s="1"/>
  <c r="M8" i="18"/>
  <c r="M9" i="18" s="1"/>
  <c r="H17" i="8"/>
  <c r="I17" i="8"/>
  <c r="J17" i="8"/>
  <c r="J12" i="8" l="1"/>
  <c r="I12" i="8"/>
  <c r="H12" i="8"/>
  <c r="J11" i="8"/>
  <c r="I11" i="8"/>
  <c r="H11" i="8"/>
  <c r="J10" i="8"/>
  <c r="I10" i="8"/>
  <c r="H10" i="8"/>
  <c r="J7" i="5" l="1"/>
  <c r="K7" i="5"/>
  <c r="G7" i="5"/>
  <c r="G5" i="5"/>
  <c r="H15" i="8" l="1"/>
  <c r="I15" i="8"/>
  <c r="J15" i="8"/>
  <c r="H8" i="8" l="1"/>
  <c r="I8" i="8"/>
  <c r="J8" i="8"/>
  <c r="H6" i="8"/>
  <c r="I6" i="8"/>
  <c r="J6" i="8"/>
  <c r="W10" i="9" l="1"/>
  <c r="V10" i="9"/>
  <c r="U10" i="9"/>
  <c r="T10" i="9"/>
  <c r="S10" i="9"/>
  <c r="R10" i="9"/>
  <c r="Q10" i="9"/>
  <c r="W9" i="9"/>
  <c r="V9" i="9"/>
  <c r="U9" i="9"/>
  <c r="T9" i="9"/>
  <c r="S9" i="9"/>
  <c r="R9" i="9"/>
  <c r="Q9" i="9"/>
  <c r="W8" i="9"/>
  <c r="V8" i="9"/>
  <c r="U8" i="9"/>
  <c r="T8" i="9"/>
  <c r="S8" i="9"/>
  <c r="R8" i="9"/>
  <c r="Q8" i="9"/>
  <c r="W7" i="9"/>
  <c r="V7" i="9"/>
  <c r="U7" i="9"/>
  <c r="T7" i="9"/>
  <c r="S7" i="9"/>
  <c r="R7" i="9"/>
  <c r="Q7" i="9"/>
  <c r="W6" i="9"/>
  <c r="V6" i="9"/>
  <c r="U6" i="9"/>
  <c r="T6" i="9"/>
  <c r="S6" i="9"/>
  <c r="R6" i="9"/>
  <c r="Q6" i="9"/>
  <c r="G11" i="22"/>
  <c r="F11" i="22"/>
  <c r="E11" i="22"/>
  <c r="G5" i="22"/>
  <c r="G4" i="22"/>
  <c r="E5" i="22"/>
  <c r="F5" i="22"/>
  <c r="F4" i="22"/>
  <c r="E4" i="22"/>
  <c r="C8" i="16"/>
  <c r="D16" i="8" s="1"/>
  <c r="C9" i="16"/>
  <c r="D13" i="8" s="1"/>
  <c r="C10" i="16"/>
  <c r="D14" i="8" s="1"/>
  <c r="C11" i="16"/>
  <c r="C12" i="16"/>
  <c r="C7" i="16"/>
  <c r="D5" i="22" s="1"/>
  <c r="B13" i="16"/>
  <c r="D3" i="18"/>
  <c r="D10" i="22" l="1"/>
  <c r="D11" i="8" s="1"/>
  <c r="D11" i="22"/>
  <c r="F8" i="9"/>
  <c r="H8" i="9" s="1"/>
  <c r="I8" i="9" s="1"/>
  <c r="AB8" i="9" s="1"/>
  <c r="C13" i="16"/>
  <c r="D17" i="8" s="1"/>
  <c r="D15" i="8"/>
  <c r="D4" i="22"/>
  <c r="F9" i="9"/>
  <c r="H9" i="9" s="1"/>
  <c r="I9" i="9" s="1"/>
  <c r="AD9" i="9" s="1"/>
  <c r="J5" i="22"/>
  <c r="L5" i="22"/>
  <c r="K5" i="22"/>
  <c r="L11" i="8" l="1"/>
  <c r="M11" i="8"/>
  <c r="K11" i="8"/>
  <c r="J11" i="22"/>
  <c r="D12" i="8"/>
  <c r="L4" i="22"/>
  <c r="D10" i="8"/>
  <c r="K11" i="22"/>
  <c r="K17" i="8"/>
  <c r="M17" i="8"/>
  <c r="L17" i="8"/>
  <c r="L11" i="22"/>
  <c r="AB9" i="9"/>
  <c r="AC8" i="9"/>
  <c r="J4" i="22"/>
  <c r="AC9" i="9"/>
  <c r="D6" i="8"/>
  <c r="D9" i="8"/>
  <c r="D8" i="8"/>
  <c r="D7" i="8"/>
  <c r="D5" i="8"/>
  <c r="D4" i="8"/>
  <c r="D3" i="8"/>
  <c r="F4" i="9"/>
  <c r="F3" i="9"/>
  <c r="D3" i="22"/>
  <c r="F7" i="9"/>
  <c r="H7" i="9" s="1"/>
  <c r="I7" i="9" s="1"/>
  <c r="F6" i="9"/>
  <c r="H6" i="9" s="1"/>
  <c r="I6" i="9" s="1"/>
  <c r="AA8" i="9"/>
  <c r="AA9" i="9"/>
  <c r="F10" i="9"/>
  <c r="H10" i="9" s="1"/>
  <c r="I10" i="9" s="1"/>
  <c r="K4" i="22"/>
  <c r="AD8" i="9"/>
  <c r="L15" i="8"/>
  <c r="M15" i="8"/>
  <c r="K15" i="8"/>
  <c r="G6" i="5"/>
  <c r="I5" i="5"/>
  <c r="J5" i="5" s="1"/>
  <c r="L5" i="5"/>
  <c r="M5" i="5"/>
  <c r="N5" i="5"/>
  <c r="O5" i="5"/>
  <c r="G4" i="5"/>
  <c r="I4" i="5" s="1"/>
  <c r="J4" i="5" s="1"/>
  <c r="G3" i="5"/>
  <c r="K10" i="8" l="1"/>
  <c r="M10" i="8"/>
  <c r="L10" i="8"/>
  <c r="M4" i="8"/>
  <c r="L4" i="8"/>
  <c r="K4" i="8"/>
  <c r="M12" i="8"/>
  <c r="K12" i="8"/>
  <c r="L12" i="8"/>
  <c r="AD6" i="9"/>
  <c r="AB6" i="9"/>
  <c r="AC6" i="9"/>
  <c r="AA6" i="9"/>
  <c r="AB7" i="9"/>
  <c r="AD7" i="9"/>
  <c r="AA7" i="9"/>
  <c r="AC7" i="9"/>
  <c r="K8" i="8"/>
  <c r="L8" i="8"/>
  <c r="M8" i="8"/>
  <c r="AC10" i="9"/>
  <c r="AA10" i="9"/>
  <c r="AD10" i="9"/>
  <c r="AB10" i="9"/>
  <c r="F5" i="9"/>
  <c r="M6" i="8"/>
  <c r="L6" i="8"/>
  <c r="K6" i="8"/>
  <c r="M4" i="5"/>
  <c r="N4" i="5"/>
  <c r="L4" i="5"/>
  <c r="O4" i="5"/>
  <c r="K4" i="5"/>
  <c r="K5" i="5"/>
  <c r="G15" i="13" l="1"/>
  <c r="J14" i="13"/>
  <c r="J13" i="13"/>
  <c r="J12" i="13"/>
  <c r="J11" i="13"/>
  <c r="J10" i="13"/>
  <c r="J9" i="13"/>
  <c r="J8" i="13"/>
  <c r="J7" i="13"/>
  <c r="J6" i="13"/>
  <c r="J5" i="13"/>
  <c r="J4" i="13"/>
  <c r="J3" i="13"/>
  <c r="P3" i="9" l="1"/>
  <c r="O10" i="9"/>
  <c r="Y10" i="9" s="1"/>
  <c r="N9" i="9"/>
  <c r="X9" i="9" s="1"/>
  <c r="P7" i="9"/>
  <c r="Z7" i="9" s="1"/>
  <c r="O6" i="9"/>
  <c r="Y6" i="9" s="1"/>
  <c r="P5" i="9"/>
  <c r="N10" i="9"/>
  <c r="X10" i="9" s="1"/>
  <c r="P8" i="9"/>
  <c r="Z8" i="9" s="1"/>
  <c r="O7" i="9"/>
  <c r="Y7" i="9" s="1"/>
  <c r="N6" i="9"/>
  <c r="X6" i="9" s="1"/>
  <c r="P9" i="9"/>
  <c r="Z9" i="9" s="1"/>
  <c r="O8" i="9"/>
  <c r="Y8" i="9" s="1"/>
  <c r="N7" i="9"/>
  <c r="X7" i="9" s="1"/>
  <c r="N5" i="9"/>
  <c r="P10" i="9"/>
  <c r="Z10" i="9" s="1"/>
  <c r="O9" i="9"/>
  <c r="Y9" i="9" s="1"/>
  <c r="N8" i="9"/>
  <c r="X8" i="9" s="1"/>
  <c r="P6" i="9"/>
  <c r="Z6" i="9" s="1"/>
  <c r="O5" i="9"/>
  <c r="N4" i="9"/>
  <c r="N3" i="9"/>
  <c r="O3" i="9"/>
  <c r="P4" i="9"/>
  <c r="O4" i="9"/>
  <c r="H13" i="8" l="1"/>
  <c r="I13" i="8"/>
  <c r="J13" i="8"/>
  <c r="H9" i="8" l="1"/>
  <c r="I9" i="8"/>
  <c r="J9" i="8"/>
  <c r="V5" i="9" l="1"/>
  <c r="V4" i="9"/>
  <c r="V3" i="9"/>
  <c r="U5" i="9"/>
  <c r="U4" i="9"/>
  <c r="U3" i="9"/>
  <c r="G10" i="22" l="1"/>
  <c r="G3" i="22"/>
  <c r="Q5" i="9" l="1"/>
  <c r="R5" i="9"/>
  <c r="S5" i="9"/>
  <c r="T5" i="9"/>
  <c r="W5" i="9"/>
  <c r="T4" i="9"/>
  <c r="S4" i="9"/>
  <c r="R4" i="9"/>
  <c r="Q4" i="9"/>
  <c r="W4" i="9"/>
  <c r="H16" i="8" l="1"/>
  <c r="H14" i="8"/>
  <c r="H7" i="8"/>
  <c r="H5" i="8"/>
  <c r="H4" i="8"/>
  <c r="F3" i="22"/>
  <c r="E3" i="22"/>
  <c r="I16" i="8" l="1"/>
  <c r="J16" i="8"/>
  <c r="I7" i="8"/>
  <c r="J7" i="8"/>
  <c r="I14" i="8"/>
  <c r="J14" i="8"/>
  <c r="I5" i="8"/>
  <c r="J5" i="8"/>
  <c r="J4" i="8"/>
  <c r="I4" i="8"/>
  <c r="F10" i="22"/>
  <c r="E10" i="22"/>
  <c r="E8" i="18" l="1"/>
  <c r="D8" i="18"/>
  <c r="F3" i="18"/>
  <c r="J3" i="18" s="1"/>
  <c r="E3" i="18"/>
  <c r="J8" i="18" l="1"/>
  <c r="J9" i="18" s="1"/>
  <c r="I8" i="18"/>
  <c r="I9" i="18" s="1"/>
  <c r="H8" i="18"/>
  <c r="H9" i="18" s="1"/>
  <c r="G3" i="18"/>
  <c r="K3" i="18" s="1"/>
  <c r="K4" i="18" s="1"/>
  <c r="D3" i="26" s="1"/>
  <c r="I3" i="18"/>
  <c r="I4" i="18" s="1"/>
  <c r="J4" i="18"/>
  <c r="C3" i="26" s="1"/>
  <c r="B3" i="26" l="1"/>
  <c r="H3" i="9" l="1"/>
  <c r="K3" i="22"/>
  <c r="L3" i="22"/>
  <c r="J3" i="22"/>
  <c r="L10" i="22"/>
  <c r="L12" i="22" s="1"/>
  <c r="J10" i="22"/>
  <c r="J12" i="22" s="1"/>
  <c r="K10" i="22"/>
  <c r="K12" i="22" s="1"/>
  <c r="R3" i="9"/>
  <c r="S3" i="9"/>
  <c r="T3" i="9"/>
  <c r="W3" i="9"/>
  <c r="Q3" i="9"/>
  <c r="K6" i="22" l="1"/>
  <c r="J6" i="22"/>
  <c r="B6" i="26" s="1"/>
  <c r="L6" i="22"/>
  <c r="M5" i="8" l="1"/>
  <c r="K5" i="8"/>
  <c r="L5" i="8"/>
  <c r="D6" i="26"/>
  <c r="C6" i="26"/>
  <c r="K16" i="8" l="1"/>
  <c r="L16" i="8"/>
  <c r="M16" i="8"/>
  <c r="L14" i="8"/>
  <c r="M14" i="8"/>
  <c r="K14" i="8"/>
  <c r="H4" i="9"/>
  <c r="I4" i="9" s="1"/>
  <c r="L13" i="8"/>
  <c r="K13" i="8"/>
  <c r="M13" i="8"/>
  <c r="K9" i="8"/>
  <c r="L9" i="8"/>
  <c r="M9" i="8"/>
  <c r="K7" i="8"/>
  <c r="M7" i="8"/>
  <c r="L7" i="8"/>
  <c r="I3" i="9"/>
  <c r="H5" i="9" l="1"/>
  <c r="I5" i="9" s="1"/>
  <c r="Z3" i="9"/>
  <c r="Y3" i="9"/>
  <c r="X3" i="9"/>
  <c r="Y4" i="9"/>
  <c r="Z4" i="9"/>
  <c r="X4" i="9"/>
  <c r="AB4" i="9"/>
  <c r="AC4" i="9"/>
  <c r="AD4" i="9"/>
  <c r="AA4" i="9"/>
  <c r="AB3" i="9"/>
  <c r="AA3" i="9"/>
  <c r="AC3" i="9"/>
  <c r="AD3" i="9"/>
  <c r="J3" i="8"/>
  <c r="I3" i="8"/>
  <c r="H3" i="8"/>
  <c r="Y5" i="9" l="1"/>
  <c r="Y11" i="9" s="1"/>
  <c r="C7" i="26" s="1"/>
  <c r="AC5" i="9"/>
  <c r="AC11" i="9" s="1"/>
  <c r="G7" i="26" s="1"/>
  <c r="Z5" i="9"/>
  <c r="Z11" i="9" s="1"/>
  <c r="D7" i="26" s="1"/>
  <c r="AD5" i="9"/>
  <c r="AD11" i="9" s="1"/>
  <c r="H7" i="26" s="1"/>
  <c r="AA5" i="9"/>
  <c r="AA11" i="9" s="1"/>
  <c r="E7" i="26" s="1"/>
  <c r="X5" i="9"/>
  <c r="X11" i="9" s="1"/>
  <c r="AB5" i="9"/>
  <c r="AB11" i="9" s="1"/>
  <c r="F7" i="26" s="1"/>
  <c r="F9" i="26" s="1"/>
  <c r="K3" i="8"/>
  <c r="L3" i="8"/>
  <c r="M3" i="8"/>
  <c r="I6" i="5"/>
  <c r="K6" i="5" s="1"/>
  <c r="L6" i="5"/>
  <c r="M6" i="5"/>
  <c r="N6" i="5"/>
  <c r="O6" i="5"/>
  <c r="K18" i="8" l="1"/>
  <c r="B4" i="26" s="1"/>
  <c r="M18" i="8"/>
  <c r="D4" i="26" s="1"/>
  <c r="L18" i="8"/>
  <c r="C4" i="26" s="1"/>
  <c r="B7" i="26"/>
  <c r="J6" i="5"/>
  <c r="I3" i="5" l="1"/>
  <c r="I8" i="5" s="1"/>
  <c r="B5" i="26" l="1"/>
  <c r="L3" i="5"/>
  <c r="L8" i="5" s="1"/>
  <c r="O3" i="5"/>
  <c r="O8" i="5" s="1"/>
  <c r="J3" i="5"/>
  <c r="J8" i="5" s="1"/>
  <c r="N3" i="5"/>
  <c r="N8" i="5" s="1"/>
  <c r="M3" i="5"/>
  <c r="M8" i="5" s="1"/>
  <c r="H5" i="26" l="1"/>
  <c r="F5" i="26"/>
  <c r="E5" i="26"/>
  <c r="E9" i="26" s="1"/>
  <c r="G5" i="26"/>
  <c r="G9" i="26" s="1"/>
  <c r="C5" i="26"/>
  <c r="K3" i="5"/>
  <c r="K8" i="5" s="1"/>
  <c r="D5" i="26" l="1"/>
  <c r="B9" i="26" l="1"/>
  <c r="C9" i="26"/>
  <c r="D9" i="26" l="1"/>
</calcChain>
</file>

<file path=xl/comments1.xml><?xml version="1.0" encoding="utf-8"?>
<comments xmlns="http://schemas.openxmlformats.org/spreadsheetml/2006/main">
  <authors>
    <author>Alinie Rossi dos Santos</author>
  </authors>
  <commentList>
    <comment ref="A7" authorId="0" shapeId="0">
      <text>
        <r>
          <rPr>
            <sz val="9"/>
            <color indexed="81"/>
            <rFont val="Segoe UI"/>
            <family val="2"/>
          </rPr>
          <t>Mistura de pó fino</t>
        </r>
      </text>
    </comment>
    <comment ref="B18" authorId="0" shapeId="0">
      <text>
        <r>
          <rPr>
            <sz val="9"/>
            <color indexed="81"/>
            <rFont val="Segoe UI"/>
            <family val="2"/>
          </rPr>
          <t xml:space="preserve">Como não foi informado pelo empreendimento a quantidade utilizada de cada explosivo, foi considerado 50% de TNT e 50% de ANFO.
</t>
        </r>
      </text>
    </comment>
    <comment ref="B20" authorId="0" shapeId="0">
      <text>
        <r>
          <rPr>
            <sz val="9"/>
            <color indexed="81"/>
            <rFont val="Segoe UI"/>
            <family val="2"/>
          </rPr>
          <t xml:space="preserve">Conforme informado pelo empreendimento foi realizada uma detonação a cada 30 dias, em 2015.
</t>
        </r>
      </text>
    </comment>
  </commentList>
</comments>
</file>

<file path=xl/comments10.xml><?xml version="1.0" encoding="utf-8"?>
<comments xmlns="http://schemas.openxmlformats.org/spreadsheetml/2006/main">
  <authors>
    <author>Alinie Rossi dos Santos</author>
    <author>Vanessa Brusco Filete</author>
  </authors>
  <commentList>
    <comment ref="G1" authorId="0" shapeId="0">
      <text>
        <r>
          <rPr>
            <sz val="9"/>
            <color indexed="81"/>
            <rFont val="Segoe UI"/>
            <family val="2"/>
          </rPr>
          <t>Como não foi informado pelo empreendimento o modelo específico do caminhão e suas características, foi considerado modelo de caminhão basculante utilizado em atividade similar.
http://www1.dnit.gov.br/Pesagem/sis_sgpv/QFV/QFV%202008%20Divulga%C3%A7%C3%A3o.pdf</t>
        </r>
      </text>
    </comment>
    <comment ref="J1" authorId="0" shapeId="0">
      <text>
        <r>
          <rPr>
            <sz val="9"/>
            <color indexed="81"/>
            <rFont val="Segoe UI"/>
            <family val="2"/>
          </rPr>
          <t>USEPA (2006) - Unpaved Roads. Table 13.2.2-1 - Stone quarrying and processing</t>
        </r>
      </text>
    </comment>
    <comment ref="K1" authorId="0" shapeId="0">
      <text>
        <r>
          <rPr>
            <sz val="9"/>
            <color indexed="81"/>
            <rFont val="Segoe UI"/>
            <family val="2"/>
          </rPr>
          <t>Como não foi informado pelo empreendimento o modelo específico do caminhão e suas características, foi considerado modelo de caminhão basculante utilizado em atividade similar.
http://www1.dnit.gov.br/Pesagem/sis_sgpv/QFV/QFV%202008%20Divulga%C3%A7%C3%A3o.pdf</t>
        </r>
      </text>
    </comment>
    <comment ref="L1" authorId="0" shapeId="0">
      <text>
        <r>
          <rPr>
            <sz val="9"/>
            <color indexed="81"/>
            <rFont val="Segoe UI"/>
            <family val="2"/>
          </rPr>
          <t>Informado pela empresa que ocorre umectação das vias duas vezes ao dia.</t>
        </r>
      </text>
    </comment>
    <comment ref="M1" authorId="0" shapeId="0">
      <text>
        <r>
          <rPr>
            <sz val="9"/>
            <color indexed="81"/>
            <rFont val="Segoe UI"/>
            <family val="2"/>
          </rPr>
          <t xml:space="preserve">WRAP (2006) </t>
        </r>
      </text>
    </comment>
    <comment ref="W2" authorId="1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</commentList>
</comments>
</file>

<file path=xl/comments2.xml><?xml version="1.0" encoding="utf-8"?>
<comments xmlns="http://schemas.openxmlformats.org/spreadsheetml/2006/main">
  <authors>
    <author>Alinie Rossi dos Santos</author>
  </authors>
  <commentList>
    <comment ref="D6" authorId="0" shapeId="0">
      <text>
        <r>
          <rPr>
            <sz val="9"/>
            <color indexed="81"/>
            <rFont val="Segoe UI"/>
            <family val="2"/>
          </rPr>
          <t>Fonte: National Pollutant Inventory. Emission Estimation Technique Manual for Mining. Australian Government. January 2012.
http://www.npi.gov.au/resource/emission-estimation-technique-manual-mining</t>
        </r>
      </text>
    </comment>
  </commentList>
</comments>
</file>

<file path=xl/comments3.xml><?xml version="1.0" encoding="utf-8"?>
<comments xmlns="http://schemas.openxmlformats.org/spreadsheetml/2006/main">
  <authors>
    <author>Alinie Rossi dos Santos</author>
    <author>Tatiane Jardim Morais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 xml:space="preserve">Referente ao ano de 2007
</t>
        </r>
      </text>
    </comment>
    <comment ref="C40" authorId="1" shapeId="0">
      <text>
        <r>
          <rPr>
            <sz val="9"/>
            <color indexed="81"/>
            <rFont val="Segoe UI"/>
            <family val="2"/>
          </rPr>
          <t>2º Inventário Nacional de Emissões Veiculares</t>
        </r>
      </text>
    </comment>
    <comment ref="A42" authorId="1" shapeId="0">
      <text>
        <r>
          <rPr>
            <sz val="9"/>
            <color indexed="81"/>
            <rFont val="Segoe UI"/>
            <family val="2"/>
          </rPr>
          <t>Consumo específico obtido para veículos do ciclo Diesel, considerado a fase 5 do proconve.
Fonte: 2º Inventário Nacional de Emissões Veiculares
Referência: Tabela 16.
Unidade: g/kWh</t>
        </r>
      </text>
    </comment>
    <comment ref="C42" authorId="1" shapeId="0">
      <text>
        <r>
          <rPr>
            <sz val="9"/>
            <color indexed="81"/>
            <rFont val="Segoe UI"/>
            <family val="2"/>
          </rPr>
          <t>Fator de emissão obtido para veículos do ciclo Diesel, considerado o ano de 2010 (fase 5 do proconve).
Fonte: 2º Inventário Nacional de Emissões Veiculares
Referência: Tabela 17, Caminhões Pesados.
Unidade: g/kWh</t>
        </r>
      </text>
    </comment>
    <comment ref="D42" authorId="1" shapeId="0">
      <text>
        <r>
          <rPr>
            <sz val="9"/>
            <color indexed="81"/>
            <rFont val="Segoe UI"/>
            <family val="2"/>
          </rPr>
          <t>Fator de emissão obtido para veículos do ciclo Diesel, considerado o ano de 2010 (fase 5 do proconve).
Fonte: 2º Inventário Nacional de Emissões Veiculares
Referência: Tabela 17, Caminhões Pesados.
Unidade: g/kWh</t>
        </r>
      </text>
    </comment>
    <comment ref="E42" authorId="1" shapeId="0">
      <text>
        <r>
          <rPr>
            <sz val="9"/>
            <color indexed="81"/>
            <rFont val="Segoe UI"/>
            <family val="2"/>
          </rPr>
          <t>Fator de emissão obtido para veículos do ciclo Diesel, considerado o ano de 2010 (fase 5 do proconve).
Fonte: 2º Inventário Nacional de Emissões Veiculares
Referência: Tabela 17, Caminhões Pesados.
Unidade: g/kWh</t>
        </r>
      </text>
    </comment>
    <comment ref="F42" authorId="1" shapeId="0">
      <text>
        <r>
          <rPr>
            <sz val="9"/>
            <color indexed="81"/>
            <rFont val="Segoe UI"/>
            <family val="2"/>
          </rPr>
          <t>Fator de emissão obtido para veículos do ciclo Diesel, considerado o ano de 2010 (fase 5 do proconve).
Fonte: 2º Inventário Nacional de Emissões Veiculares
Referência: Tabela 17, Caminhões Pesados.
Unidade: g/kWh</t>
        </r>
      </text>
    </comment>
  </commentList>
</comments>
</file>

<file path=xl/comments4.xml><?xml version="1.0" encoding="utf-8"?>
<comments xmlns="http://schemas.openxmlformats.org/spreadsheetml/2006/main">
  <authors>
    <author>Alinie Rossi dos Santos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 xml:space="preserve"> No data available, but emission factors for PM-10 for tertiary crushers can be used as an upper limit for
primary or secondary crushing </t>
        </r>
      </text>
    </comment>
  </commentList>
</comments>
</file>

<file path=xl/comments5.xml><?xml version="1.0" encoding="utf-8"?>
<comments xmlns="http://schemas.openxmlformats.org/spreadsheetml/2006/main">
  <authors>
    <author>Andrielly Moutinho Knupp</author>
    <author>Alinie Rossi dos Santos</author>
    <author>Autor</author>
  </authors>
  <commentList>
    <comment ref="F1" authorId="0" shapeId="0">
      <text>
        <r>
          <rPr>
            <sz val="9"/>
            <color indexed="81"/>
            <rFont val="Segoe UI"/>
            <family val="2"/>
          </rPr>
          <t xml:space="preserve">Fonte: Estação INMET 
ES_A612_Vitoria
</t>
        </r>
      </text>
    </comment>
    <comment ref="B12" authorId="1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21" authorId="2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21" authorId="2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21" authorId="2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6.xml><?xml version="1.0" encoding="utf-8"?>
<comments xmlns="http://schemas.openxmlformats.org/spreadsheetml/2006/main">
  <authors>
    <author>Alinie Rossi dos Santos</author>
  </authors>
  <commentList>
    <comment ref="H1" authorId="0" shapeId="0">
      <text>
        <r>
          <rPr>
            <sz val="9"/>
            <color indexed="81"/>
            <rFont val="Segoe UI"/>
            <family val="2"/>
          </rPr>
          <t xml:space="preserve">Perfuração a úmido </t>
        </r>
      </text>
    </comment>
    <comment ref="G3" authorId="0" shapeId="0">
      <text>
        <r>
          <rPr>
            <sz val="9"/>
            <color indexed="81"/>
            <rFont val="Segoe UI"/>
            <family val="2"/>
          </rPr>
          <t>Considerado o mesmo fator PM2.5/PM do processo de detonação</t>
        </r>
      </text>
    </comment>
    <comment ref="H3" authorId="0" shapeId="0">
      <text>
        <r>
          <rPr>
            <sz val="9"/>
            <color indexed="81"/>
            <rFont val="Segoe UI"/>
            <family val="2"/>
          </rPr>
          <t xml:space="preserve">Eficiência considerada.
</t>
        </r>
      </text>
    </comment>
    <comment ref="N7" authorId="0" shapeId="0">
      <text>
        <r>
          <rPr>
            <sz val="9"/>
            <color indexed="81"/>
            <rFont val="Segoe UI"/>
            <family val="2"/>
          </rPr>
          <t>COV (não-metano). Inclui o fator de emissão determinado para C2H2.</t>
        </r>
      </text>
    </comment>
  </commentList>
</comments>
</file>

<file path=xl/comments7.xml><?xml version="1.0" encoding="utf-8"?>
<comments xmlns="http://schemas.openxmlformats.org/spreadsheetml/2006/main">
  <authors>
    <author>Andrielly Moutinho Knupp</author>
  </authors>
  <commentList>
    <comment ref="J2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K2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M2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O2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</commentList>
</comments>
</file>

<file path=xl/comments8.xml><?xml version="1.0" encoding="utf-8"?>
<comments xmlns="http://schemas.openxmlformats.org/spreadsheetml/2006/main">
  <authors>
    <author>Alinie Rossi dos Santos</author>
  </authors>
  <commentList>
    <comment ref="D1" authorId="0" shapeId="0">
      <text>
        <r>
          <rPr>
            <sz val="9"/>
            <color indexed="81"/>
            <rFont val="Segoe UI"/>
            <family val="2"/>
          </rPr>
          <t>Transferências baseadas no layout enviado pelo empreendimento, o qual não era detalhado, quanto às transferências existentes no processo.</t>
        </r>
      </text>
    </comment>
    <comment ref="E1" authorId="0" shapeId="0">
      <text>
        <r>
          <rPr>
            <sz val="9"/>
            <color indexed="81"/>
            <rFont val="Segoe UI"/>
            <family val="2"/>
          </rPr>
          <t>USEPA (2003) Background Information for Revised AP-42 Section 11.19.2, Crushed Stone Processing
and Pulverized Mineral Processing:
The targeted moisture contents of the raw material (granite) during the uncontrolled  runs were &lt;1.5 percent. Assim, foi considerado o teor de umidade de 1%.</t>
        </r>
      </text>
    </comment>
    <comment ref="G2" authorId="0" shapeId="0">
      <text>
        <r>
          <rPr>
            <sz val="9"/>
            <color indexed="81"/>
            <rFont val="Segoe UI"/>
            <family val="2"/>
          </rPr>
          <t>WRAP Fugitive Dust Handbook (2006)</t>
        </r>
      </text>
    </comment>
    <comment ref="A10" authorId="0" shapeId="0">
      <text>
        <r>
          <rPr>
            <sz val="9"/>
            <color indexed="81"/>
            <rFont val="Segoe UI"/>
            <family val="2"/>
          </rPr>
          <t>Como não foi informado pelo empreendimento, considou-se que a quantidade de material que é movimentada/transferida aos britadores secundário e terciário corresponde ao pó, brita 0, 1 e 2.</t>
        </r>
      </text>
    </comment>
    <comment ref="A20" authorId="0" shapeId="0">
      <text>
        <r>
          <rPr>
            <sz val="9"/>
            <color indexed="81"/>
            <rFont val="Segoe UI"/>
            <family val="2"/>
          </rPr>
          <t>Velocidade média do ano de 2015 da Estação Aeroporto</t>
        </r>
      </text>
    </comment>
  </commentList>
</comments>
</file>

<file path=xl/comments9.xml><?xml version="1.0" encoding="utf-8"?>
<comments xmlns="http://schemas.openxmlformats.org/spreadsheetml/2006/main">
  <authors>
    <author>Alinie Rossi dos Santos</author>
  </authors>
  <commentList>
    <comment ref="I1" authorId="0" shapeId="0">
      <text>
        <r>
          <rPr>
            <sz val="9"/>
            <color indexed="81"/>
            <rFont val="Segoe UI"/>
            <family val="2"/>
          </rPr>
          <t>WRAP (2006) - Implement wet suppression. Informado pelo empreendimento, através do Ofício, que existe aspersão no processo de britagem.</t>
        </r>
      </text>
    </comment>
    <comment ref="E2" authorId="0" shapeId="0">
      <text>
        <r>
          <rPr>
            <sz val="9"/>
            <color indexed="81"/>
            <rFont val="Segoe UI"/>
            <family val="2"/>
          </rPr>
          <t xml:space="preserve">Fonte: NDEP (2017)
https://ndep.nv.gov/uploads/air-permitting-docs/ndep-mining-emissions-guidance.pdf.
Tertiary Crushing Emission Factor is utilized as a
conservative estimate because there is no Primary and Secondary Crushing Emission Factor. </t>
        </r>
      </text>
    </comment>
    <comment ref="F2" authorId="0" shapeId="0">
      <text>
        <r>
          <rPr>
            <sz val="9"/>
            <color indexed="81"/>
            <rFont val="Segoe UI"/>
            <family val="2"/>
          </rPr>
          <t xml:space="preserve"> Fonte: USEPA, (2004). Section 11.19.2 . Table 11.19.2-1 = No data available, but emission factors for PM-10 for tertiary crushers can be used as an upper limit for
primary or secondary crushing.</t>
        </r>
      </text>
    </comment>
    <comment ref="G2" authorId="0" shapeId="0">
      <text>
        <r>
          <rPr>
            <sz val="9"/>
            <color indexed="81"/>
            <rFont val="Segoe UI"/>
            <family val="2"/>
          </rPr>
          <t xml:space="preserve">Fonte: NDEP (2017)
https://ndep.nv.gov/uploads/air-permitting-docs/ndep-mining-emissions-guidance.pdf.
Tertiary Crushing Emission Factor is utilized as a
conservative estimate because there is no Primary and Secondary Crushing Emission Factor. </t>
        </r>
      </text>
    </comment>
    <comment ref="G3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"Tertiary Crushing (controlled)"</t>
        </r>
      </text>
    </comment>
    <comment ref="D4" authorId="0" shapeId="0">
      <text>
        <r>
          <rPr>
            <sz val="9"/>
            <color indexed="81"/>
            <rFont val="Segoe UI"/>
            <family val="2"/>
          </rPr>
          <t>Como não informado a quantidade de material que passa no britador secundário, foi considerado que a quantidade de pó de pedra e brita que é movimentada para ele, usando como base o layout do empreendimento.</t>
        </r>
      </text>
    </comment>
    <comment ref="G4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"Tertiary Crushing (controlled)"</t>
        </r>
      </text>
    </comment>
    <comment ref="D5" authorId="0" shapeId="0">
      <text>
        <r>
          <rPr>
            <sz val="9"/>
            <color indexed="81"/>
            <rFont val="Segoe UI"/>
            <family val="2"/>
          </rPr>
          <t>Como não informado a quantidade de material que passa no britador terciário, foi considerado que a quantidade de pó de pedra e brita 0 é movimentada para ele, usando como base o layout do empreendimento.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G5" authorId="0" shapeId="0">
      <text>
        <r>
          <rPr>
            <sz val="9"/>
            <color indexed="81"/>
            <rFont val="Segoe UI"/>
            <family val="2"/>
          </rPr>
          <t xml:space="preserve">Considerada a mesma relação PM2.5/PM10 para o fator de "Tertiary Crushing (controlled)"
</t>
        </r>
      </text>
    </comment>
    <comment ref="I8" authorId="0" shapeId="0">
      <text>
        <r>
          <rPr>
            <sz val="9"/>
            <color indexed="81"/>
            <rFont val="Segoe UI"/>
            <family val="2"/>
          </rPr>
          <t>WRAP (2006) - Implement wet suppression. Informado pelo empreendimento, através do Ofício, que existe aspersão no processo de peneiramento.</t>
        </r>
      </text>
    </comment>
    <comment ref="D10" authorId="0" shapeId="0">
      <text>
        <r>
          <rPr>
            <sz val="9"/>
            <color indexed="81"/>
            <rFont val="Segoe UI"/>
            <family val="2"/>
          </rPr>
          <t xml:space="preserve">Como não foi informado pelo empreendimento a quantidade de material destinada à peneira 1, foi considerado que o pó de rocha e a brita que passaram pela peneira 1 (Com base no layout do empreendimento).
</t>
        </r>
      </text>
    </comment>
    <comment ref="G10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"Screening (controlled)"</t>
        </r>
      </text>
    </comment>
    <comment ref="D11" authorId="0" shapeId="0">
      <text>
        <r>
          <rPr>
            <sz val="9"/>
            <color indexed="81"/>
            <rFont val="Segoe UI"/>
            <family val="2"/>
          </rPr>
          <t>Como não foi informado pelo empreendimento a quantidade de material destinada à peneira 2, foi considerado que o pó de rocha e a brita 0 que passaram pela peneira 2 (Com base no layout do empreendimento)</t>
        </r>
        <r>
          <rPr>
            <b/>
            <sz val="9"/>
            <color indexed="81"/>
            <rFont val="Segoe UI"/>
            <family val="2"/>
          </rPr>
          <t>.</t>
        </r>
      </text>
    </comment>
    <comment ref="G11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"Screening (controlled)"</t>
        </r>
      </text>
    </comment>
  </commentList>
</comments>
</file>

<file path=xl/sharedStrings.xml><?xml version="1.0" encoding="utf-8"?>
<sst xmlns="http://schemas.openxmlformats.org/spreadsheetml/2006/main" count="441" uniqueCount="255">
  <si>
    <t>Fonte Emissora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</si>
  <si>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</si>
  <si>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</si>
  <si>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</si>
  <si>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t>CO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</si>
  <si>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</si>
  <si>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</si>
  <si>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</si>
  <si>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</si>
  <si>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</si>
  <si>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</si>
  <si>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</si>
  <si>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CO [kg/h]</t>
  </si>
  <si>
    <t>ROG [kg/h]</t>
  </si>
  <si>
    <r>
      <t>CO</t>
    </r>
    <r>
      <rPr>
        <vertAlign val="subscript"/>
        <sz val="8"/>
        <rFont val="Arial"/>
        <family val="2"/>
      </rPr>
      <t xml:space="preserve">2 </t>
    </r>
    <r>
      <rPr>
        <sz val="8"/>
        <rFont val="Arial"/>
        <family val="2"/>
      </rPr>
      <t>[kg/h]</t>
    </r>
  </si>
  <si>
    <r>
      <t>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[kg/h]</t>
    </r>
  </si>
  <si>
    <t>Potência [hp]</t>
  </si>
  <si>
    <t>Equipamento [hp]</t>
  </si>
  <si>
    <t>Quantidade</t>
  </si>
  <si>
    <t>Horas/dia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</si>
  <si>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</si>
  <si>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Equação Geral:</t>
  </si>
  <si>
    <t>Onde:
E - emissão (lb/dia)
n - número de equipamentos de cada categoria
H - número de horas diárias de operação do equipamento
EF - fator de emissão (lb/h)</t>
  </si>
  <si>
    <t>Referência: AQMD (2016) - http://www.aqmd.gov/home/regulations/ceqa/air-quality-analysis-handbook/off-road-mobile-source-emission-factors</t>
  </si>
  <si>
    <t>Tipo</t>
  </si>
  <si>
    <t>Rubber Tired Loader 
(Pá Carrregadeira)</t>
  </si>
  <si>
    <t>Rubber Tired Loader - 25</t>
  </si>
  <si>
    <t>Rubber Tired Loader - 50</t>
  </si>
  <si>
    <t>Rubber Tired Loader - 120</t>
  </si>
  <si>
    <t>Rubber Tired Loader - 175</t>
  </si>
  <si>
    <t>Rubber Tired Loader - 250</t>
  </si>
  <si>
    <t>Rubber Tired Loader - 500</t>
  </si>
  <si>
    <t>Rubber Tired Loader - 750</t>
  </si>
  <si>
    <t>Rubber Tired Loader - 1000</t>
  </si>
  <si>
    <t xml:space="preserve">PM 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</si>
  <si>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</si>
  <si>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2,5</t>
    </r>
  </si>
  <si>
    <t>Aerodynamic Particle Size Multiplier (k)</t>
  </si>
  <si>
    <t>Onde:
E - emissão (kg/t)
k -constante de tamanho das partículas com diâmetro aerodinâmico ≤ i μm
U - velocidade do vento (m/s)
M - teor de umidade do material (%)</t>
  </si>
  <si>
    <t>Fonte: USEPA (2006) - https://www3.epa.gov/ttn/chief/ap42/ch13/final/c13s0204.pdf</t>
  </si>
  <si>
    <t>Velocidade do Vento (m/s)</t>
  </si>
  <si>
    <t>Total - Transferências</t>
  </si>
  <si>
    <t>Escavadeira</t>
  </si>
  <si>
    <t>Material</t>
  </si>
  <si>
    <t xml:space="preserve">Fonte Emissora </t>
  </si>
  <si>
    <t>Não Pavimentada</t>
  </si>
  <si>
    <t>Total - Vias de Tráfego</t>
  </si>
  <si>
    <t>Fonte: USEPA (2006) https://www3.epa.gov/ttn/chief/ap42/ch13/final/c13s0202.pdf</t>
  </si>
  <si>
    <t>AP42 - 13.2.2 Unpaved Roads</t>
  </si>
  <si>
    <t>Table 13.2.2-2 Constants for Equations 1a and 1b</t>
  </si>
  <si>
    <t>Constant</t>
  </si>
  <si>
    <t>Industrial Roads (Equation 1a)</t>
  </si>
  <si>
    <t>PM2.5</t>
  </si>
  <si>
    <t>PM10</t>
  </si>
  <si>
    <t>PM30</t>
  </si>
  <si>
    <t>k (lb/VMT)</t>
  </si>
  <si>
    <t>a</t>
  </si>
  <si>
    <t>b</t>
  </si>
  <si>
    <t>Equation</t>
  </si>
  <si>
    <t>1 lb/VMT</t>
  </si>
  <si>
    <t>g/VKT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</si>
  <si>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</t>
    </r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</si>
  <si>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</t>
    </r>
  </si>
  <si>
    <t>Ano 2015</t>
  </si>
  <si>
    <t xml:space="preserve">Mês </t>
  </si>
  <si>
    <t>Precipitação Acumulada (mm)</t>
  </si>
  <si>
    <t>Número de Dias com Precipitação &gt; 0,254 mm</t>
  </si>
  <si>
    <t>N° dias no mês</t>
  </si>
  <si>
    <t>Fator de Ajuste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</si>
  <si>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</si>
  <si>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</si>
  <si>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</si>
  <si>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</si>
  <si>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</si>
  <si>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</si>
  <si>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</si>
  <si>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</si>
  <si>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</si>
  <si>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</si>
  <si>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</si>
  <si>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</si>
  <si>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Fator Ajuste:</t>
  </si>
  <si>
    <t>Classe de Veículo</t>
  </si>
  <si>
    <t>Fator de emissão médio da frota veicular da RGV [g/km]</t>
  </si>
  <si>
    <t>Escapamento</t>
  </si>
  <si>
    <t>HCT</t>
  </si>
  <si>
    <t>Veículos Pesados</t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</si>
  <si>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</si>
  <si>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</si>
  <si>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</si>
  <si>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Excavator
(Escavadeira)</t>
  </si>
  <si>
    <t>Excavator - 25</t>
  </si>
  <si>
    <t>Excavator - 50</t>
  </si>
  <si>
    <t>Excavator - 120</t>
  </si>
  <si>
    <t>Excavator - 175</t>
  </si>
  <si>
    <t>Excavator - 250</t>
  </si>
  <si>
    <t>Excavator - 500</t>
  </si>
  <si>
    <t>Excavator - 750</t>
  </si>
  <si>
    <t>Área superficial detonada (m²)</t>
  </si>
  <si>
    <t>Número de Detonações/ano</t>
  </si>
  <si>
    <t>Número de furos/ano</t>
  </si>
  <si>
    <t xml:space="preserve">PER - Perfuração </t>
  </si>
  <si>
    <t>Fator de Emissão [kg/hole]</t>
  </si>
  <si>
    <t>Drilling - Overburden</t>
  </si>
  <si>
    <t>AP42 - 11.9 Western Surface Coal Mining</t>
  </si>
  <si>
    <t xml:space="preserve"> Table 11.9-2 - Emission Factor Equations for Uncontrolled Open Dust Sources at Western Surface Coal Mines</t>
  </si>
  <si>
    <t>Fator de Emissão [kg/blast]</t>
  </si>
  <si>
    <t>Coal or Overburden</t>
  </si>
  <si>
    <t>Explosivo</t>
  </si>
  <si>
    <t>Fator de Emissão [kg/Mg]</t>
  </si>
  <si>
    <t>NOx</t>
  </si>
  <si>
    <t>Quantidade Movimentada (t/h)</t>
  </si>
  <si>
    <t>Source</t>
  </si>
  <si>
    <t>Screening</t>
  </si>
  <si>
    <t>ND</t>
  </si>
  <si>
    <t>AP42 - 11.9 Western Surface Coal Mining/NPI  - Emission Estimation Technique Manual for Mining</t>
  </si>
  <si>
    <t xml:space="preserve"> Table 11.9-4 - AP-42/ Table 2 - NPI </t>
  </si>
  <si>
    <t>Controle</t>
  </si>
  <si>
    <t>Número de detonações/ano</t>
  </si>
  <si>
    <t>A = área superficial detonada (m²)</t>
  </si>
  <si>
    <t>Equação</t>
  </si>
  <si>
    <r>
      <t>PM</t>
    </r>
    <r>
      <rPr>
        <vertAlign val="subscript"/>
        <sz val="8"/>
        <color theme="1"/>
        <rFont val="Arial"/>
        <family val="2"/>
      </rPr>
      <t>2.5</t>
    </r>
  </si>
  <si>
    <t>Transferências</t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</si>
  <si>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</si>
  <si>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 xml:space="preserve">BRT - Britador Primário </t>
  </si>
  <si>
    <t>TR - Car. Caminhão Lavra</t>
  </si>
  <si>
    <t>Fonte: USEPA (2004) https://www3.epa.gov/ttn/chief/ap42/ch11/final/c11s1902.pdf</t>
  </si>
  <si>
    <t>AP42 - 11.19.2  Crushed Stone Processing and Pulverized Mineral Processing</t>
  </si>
  <si>
    <t xml:space="preserve"> Table 11.19.2-1 Emission Factors for Crushed Stone Processing Operations (kg/Mg)</t>
  </si>
  <si>
    <t xml:space="preserve">Tertiary Crushing </t>
  </si>
  <si>
    <t>Tertiary Crushing (Controlled)</t>
  </si>
  <si>
    <t>Screnning (Controlled)</t>
  </si>
  <si>
    <r>
      <t>PM</t>
    </r>
    <r>
      <rPr>
        <b/>
        <vertAlign val="subscript"/>
        <sz val="8"/>
        <color theme="0"/>
        <rFont val="Arial"/>
        <family val="2"/>
      </rPr>
      <t xml:space="preserve">2,5 </t>
    </r>
  </si>
  <si>
    <t>Emission Factor Rating</t>
  </si>
  <si>
    <t>E</t>
  </si>
  <si>
    <t>C</t>
  </si>
  <si>
    <t>Horário de Funcionamento</t>
  </si>
  <si>
    <t>TR - Desc. Britador Primário</t>
  </si>
  <si>
    <t>Umectação</t>
  </si>
  <si>
    <t>Via Trecho 1</t>
  </si>
  <si>
    <t>Via Trecho 2</t>
  </si>
  <si>
    <t>Via Trecho 3</t>
  </si>
  <si>
    <t>Perfuração e Detonação</t>
  </si>
  <si>
    <t>Máquinas e Equipamentos</t>
  </si>
  <si>
    <t>Britagem e Peneiramento</t>
  </si>
  <si>
    <t>Vias de Tráfego</t>
  </si>
  <si>
    <t>Erosão Eólica</t>
  </si>
  <si>
    <t>Fontes Emissoras</t>
  </si>
  <si>
    <t>Total</t>
  </si>
  <si>
    <t>-</t>
  </si>
  <si>
    <t>Consideração:</t>
  </si>
  <si>
    <t>Como não foi informado o ano dos equipamentos, foi considerado, de forma conservadora, os fatores de 2007.</t>
  </si>
  <si>
    <t>Quant. explosivos por detonação (kg/detonação)</t>
  </si>
  <si>
    <t>Brita 0</t>
  </si>
  <si>
    <t>Brita 1</t>
  </si>
  <si>
    <t>Brita 2</t>
  </si>
  <si>
    <t>Pedra Marroada</t>
  </si>
  <si>
    <t>Fonte: USEPA (1980) https://www3.epa.gov/ttn/chief/ap42/ch13/final/c13s03.pdf</t>
  </si>
  <si>
    <t>AP42 - 13.3 Explosives Detonation</t>
  </si>
  <si>
    <t>Table 13.3-1 Emission Factors for Detonation of Explosives</t>
  </si>
  <si>
    <t>Desgaste Pneus e Freio</t>
  </si>
  <si>
    <t>Desgaste da Pista</t>
  </si>
  <si>
    <t>Onde:
FE - fator de emissão de material particulado (lb/VMT)
k - constante de tamanho da partícula (lb/VMT)
sL - teor de silt na superfície de rodagem (%)
W - peso médio dos veículos que trafegam na via (t)
P - número de dias onde a precipitação durante o período observado foi no mínimo 0,254 mm</t>
  </si>
  <si>
    <t>Segunda a sexta</t>
  </si>
  <si>
    <t>07:00 às 17:00</t>
  </si>
  <si>
    <t>Perfuração à úmido</t>
  </si>
  <si>
    <t>Carregadeira</t>
  </si>
  <si>
    <t>Compressor de ar</t>
  </si>
  <si>
    <t xml:space="preserve">Caminhão-pipa </t>
  </si>
  <si>
    <t>Air Compressor - 15</t>
  </si>
  <si>
    <t>Air Compressors (Compressores de Ar)</t>
  </si>
  <si>
    <t>Air Compressor - 25</t>
  </si>
  <si>
    <t>Air Compressor - 50</t>
  </si>
  <si>
    <t>Air Compressor - 120</t>
  </si>
  <si>
    <t>Air Compressor - 175</t>
  </si>
  <si>
    <t>Air Compressor - 250</t>
  </si>
  <si>
    <t>Air Compressor - 500</t>
  </si>
  <si>
    <t>Air Compressor - 750</t>
  </si>
  <si>
    <t>Air Compressor - 1000</t>
  </si>
  <si>
    <t>POF</t>
  </si>
  <si>
    <t>Bica Corrida</t>
  </si>
  <si>
    <t>Produção (t)</t>
  </si>
  <si>
    <t>ANFO</t>
  </si>
  <si>
    <r>
      <t>PM</t>
    </r>
    <r>
      <rPr>
        <b/>
        <vertAlign val="subscript"/>
        <sz val="8"/>
        <color theme="1"/>
        <rFont val="Arial"/>
        <family val="2"/>
      </rPr>
      <t>10</t>
    </r>
  </si>
  <si>
    <r>
      <t>PM</t>
    </r>
    <r>
      <rPr>
        <b/>
        <vertAlign val="subscript"/>
        <sz val="8"/>
        <color theme="1"/>
        <rFont val="Arial"/>
        <family val="2"/>
      </rPr>
      <t>2.5</t>
    </r>
  </si>
  <si>
    <t>SO2</t>
  </si>
  <si>
    <t>BRT - Britador Secundário</t>
  </si>
  <si>
    <t>BRT - Britador Terciário</t>
  </si>
  <si>
    <r>
      <t>NO</t>
    </r>
    <r>
      <rPr>
        <b/>
        <vertAlign val="subscript"/>
        <sz val="8"/>
        <color theme="0"/>
        <rFont val="Arial"/>
        <family val="2"/>
      </rPr>
      <t xml:space="preserve">X </t>
    </r>
  </si>
  <si>
    <r>
      <t>SO</t>
    </r>
    <r>
      <rPr>
        <b/>
        <vertAlign val="subscript"/>
        <sz val="8"/>
        <color theme="0"/>
        <rFont val="Arial"/>
        <family val="2"/>
      </rPr>
      <t xml:space="preserve">2 </t>
    </r>
  </si>
  <si>
    <t>PEN - Peneira 1</t>
  </si>
  <si>
    <t>PEN - Peneira 2</t>
  </si>
  <si>
    <t>Via Trecho 4</t>
  </si>
  <si>
    <t>Via Trecho 5</t>
  </si>
  <si>
    <t>Via Trecho 6</t>
  </si>
  <si>
    <t>Via Trecho 7</t>
  </si>
  <si>
    <t>Via Trecho 8</t>
  </si>
  <si>
    <t xml:space="preserve">TR - Empilhamento Pilha Pulmão </t>
  </si>
  <si>
    <t>TR - Transferência entre Correias 1</t>
  </si>
  <si>
    <t>TR - Transferência entre Correias 2</t>
  </si>
  <si>
    <t>TR - Empilhamento Pilha Retorno</t>
  </si>
  <si>
    <t>TR - Transferência 3</t>
  </si>
  <si>
    <t>TR - Empilhamento Brita 1</t>
  </si>
  <si>
    <t>TR - Empilhamento Pó</t>
  </si>
  <si>
    <t>TR - Empilhamento Brita 2</t>
  </si>
  <si>
    <t>Densidade do Diesel (kg/L)</t>
  </si>
  <si>
    <t>Teor de Enxofre no Diesel (ppm)</t>
  </si>
  <si>
    <t xml:space="preserve">NMHC </t>
  </si>
  <si>
    <r>
      <t>Caminhões pesados (g</t>
    </r>
    <r>
      <rPr>
        <vertAlign val="subscript"/>
        <sz val="8"/>
        <color theme="1"/>
        <rFont val="Arial"/>
        <family val="2"/>
      </rPr>
      <t>diesel</t>
    </r>
    <r>
      <rPr>
        <sz val="8"/>
        <color theme="1"/>
        <rFont val="Arial"/>
        <family val="2"/>
      </rPr>
      <t>/kWh)</t>
    </r>
  </si>
  <si>
    <t>Fator de Emissão para veículos pesados (g/kWh)</t>
  </si>
  <si>
    <t>Fonte: Informações fornecidas pelo empreendimento referente ao Ofício N°Nº 042/2017 IEMA/DT/CQAI</t>
  </si>
  <si>
    <t>Número de furos/detonação</t>
  </si>
  <si>
    <t>TR - Transf. Britadores Secundário e Terciário</t>
  </si>
  <si>
    <t>TR - Transf. Peneira 1</t>
  </si>
  <si>
    <t>TR - Transf. Peneira 2</t>
  </si>
  <si>
    <t>TR - Empilhamento Brita 0</t>
  </si>
  <si>
    <t>TR - Car. Caminhão</t>
  </si>
  <si>
    <t>Controle [%]</t>
  </si>
  <si>
    <t>ANFO e TNT em gel</t>
  </si>
  <si>
    <t>TNT</t>
  </si>
  <si>
    <t>C2H2</t>
  </si>
  <si>
    <t>DET - Detonação (ANFO)</t>
  </si>
  <si>
    <t>Eficiência [%]</t>
  </si>
  <si>
    <t>Movimentação material [t/h]</t>
  </si>
  <si>
    <t>Umidade do Material [%]</t>
  </si>
  <si>
    <t>Fator de Emissão [kg/t]</t>
  </si>
  <si>
    <t>Aspersão</t>
  </si>
  <si>
    <t xml:space="preserve">Tipo de Explosivo </t>
  </si>
  <si>
    <t>(b) Como não foi informado pelo empreendimento o tipo de explosivo utilizado, foi considerado o uso de ANFO e TNT (50% de cada tipo de explosivo)</t>
  </si>
  <si>
    <t>Fontes: USEPA (1998) https://www3.epa.gov/ttn/chief/ap42/ch11/final/c11s09.pdf
             NPI (2012) http://www.npi.gov.au/system/files/resources/7e04163a-12ba-6864-d19a-f57d960aae58/files/mining.pdf</t>
  </si>
  <si>
    <t>Fator de Emissão [kg/furo]</t>
  </si>
  <si>
    <t>Área Superficial Detonada [m²]/detonação</t>
  </si>
  <si>
    <t>Emulsão Encartuchada [t/ano]</t>
  </si>
  <si>
    <t>(a) Detonação ocorre mensalmente</t>
  </si>
  <si>
    <t>Nota:</t>
  </si>
  <si>
    <t>Consumo Combustível [L/h]</t>
  </si>
  <si>
    <t>Quantidade Movimentada [t/h]</t>
  </si>
  <si>
    <t>Eficiência de Controle [%]</t>
  </si>
  <si>
    <t>Comprimento [m]</t>
  </si>
  <si>
    <t>Capacidade do Caminhão [t]</t>
  </si>
  <si>
    <t>Nº de Caminhões por Hora [h-1]</t>
  </si>
  <si>
    <t>DMT  [km/h]</t>
  </si>
  <si>
    <t xml:space="preserve">Teor de Silte [%] </t>
  </si>
  <si>
    <t>Peso Médio dos Caminhões [t]</t>
  </si>
  <si>
    <t>Fator de Emissão - Ressuspensão [kg/VKT]</t>
  </si>
  <si>
    <t>Fator de Emissão - Gases Escapamento [kg/km]</t>
  </si>
  <si>
    <t>TOTAL (PERFURAÇÃO)</t>
  </si>
  <si>
    <t>TOTAL (DETONAÇÃO)</t>
  </si>
  <si>
    <t>TOTAL</t>
  </si>
  <si>
    <t>VOC</t>
  </si>
  <si>
    <t>TOTAL (BRITAGEM)</t>
  </si>
  <si>
    <t>TOTAL (PENEIRAMENTO)</t>
  </si>
  <si>
    <t>Latitude [º]</t>
  </si>
  <si>
    <t>Longitude [º]</t>
  </si>
  <si>
    <t>Nota: "Erosão Eólica" foi calculada na Planilha: Erosão Eólica_Ibrata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</si>
</sst>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0.00000"/>
    <numFmt numFmtId="166" formatCode="0.0"/>
    <numFmt numFmtId="167" formatCode="0.000"/>
    <numFmt numFmtId="168" formatCode="[&gt;=0.005]\ #,##0.00;[&lt;0.005]&quot;&lt;0,01&quot;"/>
    <numFmt numFmtId="169" formatCode="0.000000"/>
    <numFmt numFmtId="170" formatCode="#,##0.00000"/>
    <numFmt numFmtId="171" formatCode="#,##0.000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vertAlign val="subscript"/>
      <sz val="8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sz val="8"/>
      <color theme="0"/>
      <name val="Arial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b/>
      <vertAlign val="subscript"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8" fontId="1" fillId="3" borderId="0" xfId="0" applyNumberFormat="1" applyFont="1" applyFill="1" applyAlignment="1">
      <alignment horizontal="center" vertical="center"/>
    </xf>
    <xf numFmtId="164" fontId="1" fillId="0" borderId="11" xfId="0" applyNumberFormat="1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/>
    </xf>
    <xf numFmtId="0" fontId="1" fillId="4" borderId="16" xfId="0" applyFont="1" applyFill="1" applyBorder="1" applyAlignment="1"/>
    <xf numFmtId="0" fontId="1" fillId="4" borderId="20" xfId="0" applyFont="1" applyFill="1" applyBorder="1" applyAlignment="1"/>
    <xf numFmtId="0" fontId="1" fillId="4" borderId="3" xfId="0" applyFont="1" applyFill="1" applyBorder="1" applyAlignment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1" fillId="4" borderId="10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8" fillId="0" borderId="0" xfId="0" applyFont="1"/>
    <xf numFmtId="2" fontId="1" fillId="3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168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/>
    </xf>
    <xf numFmtId="3" fontId="1" fillId="0" borderId="6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vertical="center"/>
    </xf>
    <xf numFmtId="3" fontId="1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164" fontId="1" fillId="0" borderId="1" xfId="0" applyNumberFormat="1" applyFont="1" applyFill="1" applyBorder="1" applyAlignment="1">
      <alignment horizontal="center" vertical="center"/>
    </xf>
    <xf numFmtId="4" fontId="1" fillId="0" borderId="20" xfId="0" applyNumberFormat="1" applyFont="1" applyFill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3" fontId="1" fillId="0" borderId="2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167" fontId="0" fillId="0" borderId="0" xfId="0" applyNumberFormat="1"/>
    <xf numFmtId="2" fontId="0" fillId="0" borderId="0" xfId="0" applyNumberFormat="1"/>
    <xf numFmtId="0" fontId="8" fillId="0" borderId="0" xfId="0" applyFont="1" applyFill="1"/>
    <xf numFmtId="0" fontId="1" fillId="0" borderId="1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12" fillId="0" borderId="1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3" fontId="8" fillId="0" borderId="0" xfId="0" applyNumberFormat="1" applyFont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5" xfId="0" applyBorder="1"/>
    <xf numFmtId="0" fontId="12" fillId="0" borderId="0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4" fontId="1" fillId="0" borderId="0" xfId="0" applyNumberFormat="1" applyFont="1" applyFill="1" applyAlignment="1">
      <alignment horizontal="right" vertical="center"/>
    </xf>
    <xf numFmtId="169" fontId="1" fillId="0" borderId="1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4" fontId="1" fillId="0" borderId="0" xfId="0" applyNumberFormat="1" applyFont="1" applyBorder="1" applyAlignment="1">
      <alignment horizontal="center" vertical="center"/>
    </xf>
    <xf numFmtId="1" fontId="8" fillId="0" borderId="0" xfId="0" applyNumberFormat="1" applyFont="1"/>
    <xf numFmtId="0" fontId="14" fillId="0" borderId="0" xfId="0" applyFont="1"/>
    <xf numFmtId="169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1" fillId="0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168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1" fontId="1" fillId="0" borderId="23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65" fontId="1" fillId="0" borderId="11" xfId="0" applyNumberFormat="1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7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70" fontId="1" fillId="0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170" fontId="1" fillId="0" borderId="20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left" vertical="center" wrapText="1"/>
    </xf>
    <xf numFmtId="0" fontId="1" fillId="4" borderId="20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D9"/>
      <color rgb="FF4F81BD"/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11</xdr:row>
      <xdr:rowOff>80962</xdr:rowOff>
    </xdr:from>
    <xdr:ext cx="842345" cy="161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304925" y="3090862"/>
              <a:ext cx="8423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0,00022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p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1,5</m:t>
                        </m:r>
                      </m:sup>
                    </m:sSup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304925" y="3090862"/>
              <a:ext cx="8423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000" b="0" i="0">
                  <a:latin typeface="Cambria Math" panose="02040503050406030204" pitchFamily="18" charset="0"/>
                </a:rPr>
                <a:t>0,00022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×𝐴^1,5</a:t>
              </a:r>
              <a:endParaRPr lang="pt-BR" sz="1000"/>
            </a:p>
          </xdr:txBody>
        </xdr:sp>
      </mc:Fallback>
    </mc:AlternateContent>
    <xdr:clientData/>
  </xdr:oneCellAnchor>
  <xdr:oneCellAnchor>
    <xdr:from>
      <xdr:col>2</xdr:col>
      <xdr:colOff>0</xdr:colOff>
      <xdr:row>11</xdr:row>
      <xdr:rowOff>80962</xdr:rowOff>
    </xdr:from>
    <xdr:ext cx="1230144" cy="161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2286000" y="3090862"/>
              <a:ext cx="1230144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0,52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0,00022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p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1,5</m:t>
                        </m:r>
                      </m:sup>
                    </m:sSup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2286000" y="3090862"/>
              <a:ext cx="1230144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000" b="0" i="0">
                  <a:latin typeface="Cambria Math" panose="02040503050406030204" pitchFamily="18" charset="0"/>
                </a:rPr>
                <a:t>0,52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BR" sz="1000" b="0" i="0">
                  <a:latin typeface="Cambria Math" panose="02040503050406030204" pitchFamily="18" charset="0"/>
                </a:rPr>
                <a:t>0,00022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×𝐴^1,5</a:t>
              </a:r>
              <a:endParaRPr lang="pt-BR" sz="1000"/>
            </a:p>
          </xdr:txBody>
        </xdr:sp>
      </mc:Fallback>
    </mc:AlternateContent>
    <xdr:clientData/>
  </xdr:oneCellAnchor>
  <xdr:oneCellAnchor>
    <xdr:from>
      <xdr:col>3</xdr:col>
      <xdr:colOff>9525</xdr:colOff>
      <xdr:row>11</xdr:row>
      <xdr:rowOff>80962</xdr:rowOff>
    </xdr:from>
    <xdr:ext cx="1230145" cy="161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3533775" y="3090862"/>
              <a:ext cx="12301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0,03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0,00022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p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1,5</m:t>
                        </m:r>
                      </m:sup>
                    </m:sSup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3533775" y="3090862"/>
              <a:ext cx="12301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000" b="0" i="0">
                  <a:latin typeface="Cambria Math" panose="02040503050406030204" pitchFamily="18" charset="0"/>
                </a:rPr>
                <a:t>0,03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BR" sz="1000" b="0" i="0">
                  <a:latin typeface="Cambria Math" panose="02040503050406030204" pitchFamily="18" charset="0"/>
                </a:rPr>
                <a:t>0,00022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×𝐴^1,5</a:t>
              </a:r>
              <a:endParaRPr lang="pt-BR" sz="1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28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142876</xdr:colOff>
      <xdr:row>4</xdr:row>
      <xdr:rowOff>100012</xdr:rowOff>
    </xdr:from>
    <xdr:ext cx="2400300" cy="3726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× 0,0016×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 × 0,0016×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(𝑈/2,2)^1,3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𝑀/2)^1,4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9</xdr:row>
      <xdr:rowOff>66675</xdr:rowOff>
    </xdr:from>
    <xdr:to>
      <xdr:col>3</xdr:col>
      <xdr:colOff>828675</xdr:colOff>
      <xdr:row>10</xdr:row>
      <xdr:rowOff>247651</xdr:rowOff>
    </xdr:to>
    <xdr:sp macro="" textlink="">
      <xdr:nvSpPr>
        <xdr:cNvPr id="4" name="Elipse 3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3162300" y="2019300"/>
          <a:ext cx="1028700" cy="37147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oneCellAnchor>
    <xdr:from>
      <xdr:col>0</xdr:col>
      <xdr:colOff>1266825</xdr:colOff>
      <xdr:row>9</xdr:row>
      <xdr:rowOff>47625</xdr:rowOff>
    </xdr:from>
    <xdr:ext cx="3381375" cy="361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=""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1266825" y="2000250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.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p>
                            </m:sSup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 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𝑊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p>
                            </m:sSup>
                          </m:e>
                        </m:d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(</m:t>
                        </m:r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365−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)/365)</m:t>
                            </m:r>
                          </m:e>
                        </m:d>
                      </m:e>
                    </m:d>
                    <m:r>
                      <a:rPr lang="pt-BR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400-000002000000}"/>
                </a:ext>
              </a:extLst>
            </xdr:cNvPr>
            <xdr:cNvSpPr txBox="1"/>
          </xdr:nvSpPr>
          <xdr:spPr>
            <a:xfrm>
              <a:off x="1266825" y="2000250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𝐹𝐸=[</a:t>
              </a:r>
              <a:r>
                <a:rPr lang="pt-B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 . (𝑠/12)^𝑎.  (𝑊/3)^𝑏 )  . ((365−𝑃)/365))] </a:t>
              </a:r>
              <a:r>
                <a:rPr lang="pt-BR" sz="1000" b="0" i="0">
                  <a:latin typeface="Cambria Math" panose="02040503050406030204" pitchFamily="18" charset="0"/>
                </a:rPr>
                <a:t> </a:t>
              </a:r>
              <a:endParaRPr lang="pt-BR" sz="1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D5" sqref="D5"/>
    </sheetView>
  </sheetViews>
  <sheetFormatPr defaultColWidth="16" defaultRowHeight="15" customHeight="1" x14ac:dyDescent="0.2"/>
  <cols>
    <col min="1" max="1" width="34.5703125" style="1" customWidth="1"/>
    <col min="2" max="2" width="20.5703125" style="1" customWidth="1"/>
    <col min="3" max="3" width="21.7109375" style="1" customWidth="1"/>
    <col min="4" max="7" width="16" style="1"/>
    <col min="8" max="9" width="22" style="1" bestFit="1" customWidth="1"/>
    <col min="10" max="16384" width="16" style="1"/>
  </cols>
  <sheetData>
    <row r="1" spans="1:8" ht="15" customHeight="1" x14ac:dyDescent="0.2">
      <c r="A1" s="3" t="s">
        <v>210</v>
      </c>
      <c r="F1" s="45"/>
      <c r="G1" s="45"/>
      <c r="H1" s="45"/>
    </row>
    <row r="2" spans="1:8" ht="15" customHeight="1" x14ac:dyDescent="0.2">
      <c r="A2" s="161" t="s">
        <v>136</v>
      </c>
      <c r="B2" s="161"/>
      <c r="F2" s="6"/>
      <c r="G2" s="109"/>
      <c r="H2" s="102"/>
    </row>
    <row r="3" spans="1:8" ht="15" customHeight="1" x14ac:dyDescent="0.2">
      <c r="A3" s="28" t="s">
        <v>163</v>
      </c>
      <c r="B3" s="28" t="s">
        <v>164</v>
      </c>
      <c r="F3" s="6"/>
      <c r="G3" s="109"/>
      <c r="H3" s="102"/>
    </row>
    <row r="4" spans="1:8" ht="15" customHeight="1" x14ac:dyDescent="0.2">
      <c r="A4" s="2"/>
      <c r="B4" s="2"/>
      <c r="F4" s="6"/>
      <c r="G4" s="109"/>
      <c r="H4" s="102"/>
    </row>
    <row r="5" spans="1:8" ht="15" customHeight="1" x14ac:dyDescent="0.2">
      <c r="F5" s="6"/>
      <c r="G5" s="109"/>
      <c r="H5" s="102"/>
    </row>
    <row r="6" spans="1:8" ht="15" customHeight="1" x14ac:dyDescent="0.2">
      <c r="A6" s="93" t="s">
        <v>43</v>
      </c>
      <c r="B6" s="93" t="s">
        <v>181</v>
      </c>
      <c r="C6" s="93" t="s">
        <v>111</v>
      </c>
      <c r="D6" s="99"/>
      <c r="E6" s="28"/>
      <c r="F6" s="6"/>
      <c r="G6" s="109"/>
      <c r="H6" s="102"/>
    </row>
    <row r="7" spans="1:8" ht="15" customHeight="1" x14ac:dyDescent="0.2">
      <c r="A7" s="2" t="s">
        <v>179</v>
      </c>
      <c r="B7" s="80">
        <v>38954.769999999997</v>
      </c>
      <c r="C7" s="8">
        <f>B7/8760</f>
        <v>4.4468915525114152</v>
      </c>
      <c r="D7" s="45"/>
      <c r="E7" s="2"/>
      <c r="F7" s="6"/>
      <c r="G7" s="109"/>
      <c r="H7" s="102"/>
    </row>
    <row r="8" spans="1:8" ht="15" customHeight="1" x14ac:dyDescent="0.2">
      <c r="A8" s="2" t="s">
        <v>153</v>
      </c>
      <c r="B8" s="80">
        <v>51303.9</v>
      </c>
      <c r="C8" s="8">
        <f t="shared" ref="C8:C12" si="0">B8/8760</f>
        <v>5.8566095890410956</v>
      </c>
      <c r="D8" s="98"/>
      <c r="E8" s="2"/>
      <c r="F8" s="6"/>
      <c r="G8" s="109"/>
      <c r="H8" s="102"/>
    </row>
    <row r="9" spans="1:8" ht="15" customHeight="1" x14ac:dyDescent="0.2">
      <c r="A9" s="2" t="s">
        <v>154</v>
      </c>
      <c r="B9" s="80">
        <v>55617.52</v>
      </c>
      <c r="C9" s="8">
        <f t="shared" si="0"/>
        <v>6.3490319634703196</v>
      </c>
      <c r="D9" s="98"/>
      <c r="E9" s="2"/>
      <c r="F9" s="6"/>
      <c r="G9" s="109"/>
      <c r="H9" s="102"/>
    </row>
    <row r="10" spans="1:8" ht="15" customHeight="1" x14ac:dyDescent="0.2">
      <c r="A10" s="2" t="s">
        <v>155</v>
      </c>
      <c r="B10" s="80">
        <v>1033.7</v>
      </c>
      <c r="C10" s="8">
        <f t="shared" si="0"/>
        <v>0.11800228310502284</v>
      </c>
      <c r="D10" s="98"/>
      <c r="E10" s="2"/>
      <c r="F10" s="6"/>
      <c r="G10" s="109"/>
      <c r="H10" s="102"/>
    </row>
    <row r="11" spans="1:8" ht="15" customHeight="1" x14ac:dyDescent="0.2">
      <c r="A11" s="2" t="s">
        <v>180</v>
      </c>
      <c r="B11" s="80">
        <v>66325.31</v>
      </c>
      <c r="C11" s="8">
        <f t="shared" si="0"/>
        <v>7.5713824200913242</v>
      </c>
      <c r="D11" s="98"/>
      <c r="E11" s="2"/>
      <c r="F11" s="6"/>
      <c r="G11" s="100"/>
      <c r="H11" s="102"/>
    </row>
    <row r="12" spans="1:8" ht="15" customHeight="1" x14ac:dyDescent="0.2">
      <c r="A12" s="2" t="s">
        <v>156</v>
      </c>
      <c r="B12" s="80">
        <v>6619.06</v>
      </c>
      <c r="C12" s="8">
        <f t="shared" si="0"/>
        <v>0.75560045662100461</v>
      </c>
      <c r="D12" s="98"/>
      <c r="E12" s="2"/>
      <c r="F12" s="6"/>
      <c r="G12" s="100"/>
      <c r="H12" s="102"/>
    </row>
    <row r="13" spans="1:8" ht="15" customHeight="1" x14ac:dyDescent="0.2">
      <c r="A13" s="28" t="s">
        <v>148</v>
      </c>
      <c r="B13" s="80">
        <f>SUM(B7:B12)</f>
        <v>219854.26</v>
      </c>
      <c r="C13" s="80">
        <f>SUM(C7:C12)</f>
        <v>25.097518264840183</v>
      </c>
      <c r="D13" s="98"/>
      <c r="E13" s="117"/>
      <c r="F13" s="6"/>
      <c r="G13" s="100"/>
      <c r="H13" s="102"/>
    </row>
    <row r="14" spans="1:8" ht="15" customHeight="1" x14ac:dyDescent="0.2">
      <c r="F14" s="48"/>
      <c r="G14" s="101"/>
      <c r="H14" s="103"/>
    </row>
    <row r="15" spans="1:8" ht="15" customHeight="1" x14ac:dyDescent="0.2">
      <c r="A15" s="49" t="s">
        <v>211</v>
      </c>
      <c r="B15" s="28">
        <v>54</v>
      </c>
      <c r="C15" s="28" t="s">
        <v>165</v>
      </c>
    </row>
    <row r="16" spans="1:8" ht="15" customHeight="1" x14ac:dyDescent="0.2">
      <c r="A16" s="2"/>
      <c r="B16" s="117"/>
    </row>
    <row r="17" spans="1:8" ht="15" customHeight="1" x14ac:dyDescent="0.2">
      <c r="A17" s="29" t="s">
        <v>98</v>
      </c>
      <c r="B17" s="28">
        <v>270</v>
      </c>
    </row>
    <row r="18" spans="1:8" ht="15" customHeight="1" x14ac:dyDescent="0.2">
      <c r="A18" s="29" t="s">
        <v>227</v>
      </c>
      <c r="B18" s="6" t="s">
        <v>218</v>
      </c>
    </row>
    <row r="19" spans="1:8" ht="15" customHeight="1" x14ac:dyDescent="0.2">
      <c r="A19" s="29" t="s">
        <v>152</v>
      </c>
      <c r="B19" s="6">
        <v>3000</v>
      </c>
    </row>
    <row r="20" spans="1:8" ht="15" customHeight="1" x14ac:dyDescent="0.2">
      <c r="A20" s="49" t="s">
        <v>118</v>
      </c>
      <c r="B20" s="6">
        <v>12</v>
      </c>
    </row>
    <row r="22" spans="1:8" ht="15" customHeight="1" x14ac:dyDescent="0.2">
      <c r="H22" s="118"/>
    </row>
    <row r="23" spans="1:8" ht="15" customHeight="1" x14ac:dyDescent="0.2">
      <c r="A23" s="59"/>
      <c r="B23" s="59"/>
      <c r="C23" s="59"/>
    </row>
    <row r="24" spans="1:8" ht="15" customHeight="1" x14ac:dyDescent="0.2">
      <c r="A24" s="59"/>
      <c r="B24" s="59"/>
      <c r="C24" s="59"/>
    </row>
    <row r="25" spans="1:8" ht="15" customHeight="1" x14ac:dyDescent="0.2">
      <c r="A25" s="59"/>
      <c r="B25" s="59"/>
      <c r="C25" s="59"/>
    </row>
    <row r="26" spans="1:8" ht="15" customHeight="1" x14ac:dyDescent="0.2">
      <c r="A26" s="59"/>
      <c r="B26" s="59"/>
      <c r="C26" s="59"/>
    </row>
    <row r="28" spans="1:8" ht="15" customHeight="1" x14ac:dyDescent="0.25">
      <c r="A28" s="71"/>
      <c r="B28" s="121"/>
      <c r="C28" s="122"/>
      <c r="D28" s="122"/>
    </row>
    <row r="29" spans="1:8" ht="15" customHeight="1" x14ac:dyDescent="0.25">
      <c r="A29" s="122"/>
      <c r="B29" s="30"/>
      <c r="C29" s="30"/>
      <c r="D29" s="122"/>
    </row>
    <row r="30" spans="1:8" ht="15" customHeight="1" x14ac:dyDescent="0.25">
      <c r="A30" s="122"/>
      <c r="B30" s="30"/>
      <c r="C30" s="30"/>
      <c r="D30" s="122"/>
    </row>
    <row r="31" spans="1:8" ht="15" customHeight="1" x14ac:dyDescent="0.25">
      <c r="A31" s="122"/>
      <c r="B31" s="122"/>
      <c r="C31" s="122"/>
      <c r="D31" s="122"/>
    </row>
    <row r="32" spans="1:8" ht="15" customHeight="1" x14ac:dyDescent="0.25">
      <c r="A32" s="30"/>
      <c r="B32" s="122"/>
      <c r="C32" s="122"/>
      <c r="D32" s="122"/>
    </row>
    <row r="33" spans="1:4" ht="15" customHeight="1" x14ac:dyDescent="0.25">
      <c r="A33" s="30"/>
      <c r="B33" s="122"/>
      <c r="C33" s="122"/>
      <c r="D33" s="122"/>
    </row>
  </sheetData>
  <sheetProtection password="B056" sheet="1" objects="1" scenarios="1"/>
  <mergeCells count="1">
    <mergeCell ref="A2:B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workbookViewId="0">
      <selection activeCell="D30" sqref="D30"/>
    </sheetView>
  </sheetViews>
  <sheetFormatPr defaultRowHeight="15" x14ac:dyDescent="0.25"/>
  <cols>
    <col min="1" max="1" width="52.140625" bestFit="1" customWidth="1"/>
    <col min="2" max="2" width="14.140625" customWidth="1"/>
    <col min="3" max="3" width="16.7109375" customWidth="1"/>
    <col min="4" max="4" width="13.7109375" customWidth="1"/>
    <col min="5" max="5" width="13.140625" customWidth="1"/>
    <col min="6" max="10" width="11.140625" customWidth="1"/>
    <col min="11" max="11" width="9.28515625" customWidth="1"/>
    <col min="12" max="12" width="11" customWidth="1"/>
  </cols>
  <sheetData>
    <row r="1" spans="1:13" ht="18" customHeight="1" x14ac:dyDescent="0.25">
      <c r="A1" s="214" t="s">
        <v>0</v>
      </c>
      <c r="B1" s="219" t="s">
        <v>252</v>
      </c>
      <c r="C1" s="219" t="s">
        <v>253</v>
      </c>
      <c r="D1" s="214" t="s">
        <v>236</v>
      </c>
      <c r="E1" s="217" t="s">
        <v>225</v>
      </c>
      <c r="F1" s="218"/>
      <c r="G1" s="218"/>
      <c r="H1" s="214" t="s">
        <v>117</v>
      </c>
      <c r="I1" s="214" t="s">
        <v>237</v>
      </c>
      <c r="J1" s="216" t="s">
        <v>1</v>
      </c>
      <c r="K1" s="216"/>
      <c r="L1" s="231"/>
    </row>
    <row r="2" spans="1:13" ht="18" customHeight="1" x14ac:dyDescent="0.25">
      <c r="A2" s="214"/>
      <c r="B2" s="219"/>
      <c r="C2" s="219"/>
      <c r="D2" s="214"/>
      <c r="E2" s="66" t="s">
        <v>34</v>
      </c>
      <c r="F2" s="66" t="s">
        <v>61</v>
      </c>
      <c r="G2" s="69" t="s">
        <v>132</v>
      </c>
      <c r="H2" s="214"/>
      <c r="I2" s="214"/>
      <c r="J2" s="70" t="s">
        <v>34</v>
      </c>
      <c r="K2" s="56" t="s">
        <v>61</v>
      </c>
      <c r="L2" s="56" t="s">
        <v>132</v>
      </c>
    </row>
    <row r="3" spans="1:13" x14ac:dyDescent="0.25">
      <c r="A3" s="4" t="s">
        <v>124</v>
      </c>
      <c r="B3" s="112">
        <v>-20.17456</v>
      </c>
      <c r="C3" s="112">
        <v>-40.353982999999999</v>
      </c>
      <c r="D3" s="104">
        <f>Dados!C13</f>
        <v>25.097518264840183</v>
      </c>
      <c r="E3" s="58">
        <f>'FE-Britagem e Peneiramento'!B5</f>
        <v>2.7000000000000001E-3</v>
      </c>
      <c r="F3" s="58">
        <f>'FE-Britagem e Peneiramento'!D5</f>
        <v>1.1999999999999999E-3</v>
      </c>
      <c r="G3" s="77">
        <f>('FE-Britagem e Peneiramento'!$F$6/'FE-Britagem e Peneiramento'!$D$6)*'FE-Britagem e Peneiramento'!$D$5</f>
        <v>2.2222222222222223E-4</v>
      </c>
      <c r="H3" s="6" t="s">
        <v>138</v>
      </c>
      <c r="I3" s="6">
        <v>50</v>
      </c>
      <c r="J3" s="159">
        <f>D3*E3*(1-I3/100)</f>
        <v>3.3881649657534249E-2</v>
      </c>
      <c r="K3" s="159">
        <f>D3*F3*(1-I3/100)</f>
        <v>1.5058510958904108E-2</v>
      </c>
      <c r="L3" s="155">
        <f>D3*G3*(1-I3/100)</f>
        <v>2.7886131405377981E-3</v>
      </c>
    </row>
    <row r="4" spans="1:13" x14ac:dyDescent="0.25">
      <c r="A4" s="4" t="s">
        <v>186</v>
      </c>
      <c r="B4" s="112">
        <v>-20.174467</v>
      </c>
      <c r="C4" s="112">
        <v>-40.353822000000001</v>
      </c>
      <c r="D4" s="104">
        <f>SUM(Dados!C7:C10)</f>
        <v>16.770535388127854</v>
      </c>
      <c r="E4" s="112">
        <f>'FE-Britagem e Peneiramento'!B5</f>
        <v>2.7000000000000001E-3</v>
      </c>
      <c r="F4" s="112">
        <f>'FE-Britagem e Peneiramento'!D5</f>
        <v>1.1999999999999999E-3</v>
      </c>
      <c r="G4" s="77">
        <f>('FE-Britagem e Peneiramento'!$F$6/'FE-Britagem e Peneiramento'!$D$6)*'FE-Britagem e Peneiramento'!$D$5</f>
        <v>2.2222222222222223E-4</v>
      </c>
      <c r="H4" s="6" t="s">
        <v>138</v>
      </c>
      <c r="I4" s="6">
        <v>50</v>
      </c>
      <c r="J4" s="159">
        <f t="shared" ref="J4:J5" si="0">D4*E4*(1-I4/100)</f>
        <v>2.2640222773972603E-2</v>
      </c>
      <c r="K4" s="159">
        <f t="shared" ref="K4:K5" si="1">D4*F4*(1-I4/100)</f>
        <v>1.0062321232876712E-2</v>
      </c>
      <c r="L4" s="155">
        <f t="shared" ref="L4:L5" si="2">D4*G4*(1-I4/100)</f>
        <v>1.863392820903095E-3</v>
      </c>
    </row>
    <row r="5" spans="1:13" x14ac:dyDescent="0.25">
      <c r="A5" s="4" t="s">
        <v>187</v>
      </c>
      <c r="B5" s="112">
        <v>-20.174474</v>
      </c>
      <c r="C5" s="112">
        <v>-40.353765000000003</v>
      </c>
      <c r="D5" s="104">
        <f>SUM(Dados!C7:C8)</f>
        <v>10.303501141552511</v>
      </c>
      <c r="E5" s="112">
        <f>'FE-Britagem e Peneiramento'!B5</f>
        <v>2.7000000000000001E-3</v>
      </c>
      <c r="F5" s="112">
        <f>'FE-Britagem e Peneiramento'!D5</f>
        <v>1.1999999999999999E-3</v>
      </c>
      <c r="G5" s="77">
        <f>('FE-Britagem e Peneiramento'!$F$6/'FE-Britagem e Peneiramento'!$D$6)*'FE-Britagem e Peneiramento'!$D$5</f>
        <v>2.2222222222222223E-4</v>
      </c>
      <c r="H5" s="6" t="s">
        <v>138</v>
      </c>
      <c r="I5" s="6">
        <v>50</v>
      </c>
      <c r="J5" s="159">
        <f t="shared" si="0"/>
        <v>1.3909726541095891E-2</v>
      </c>
      <c r="K5" s="159">
        <f t="shared" si="1"/>
        <v>6.1821006849315059E-3</v>
      </c>
      <c r="L5" s="155">
        <f t="shared" si="2"/>
        <v>1.1448334601725013E-3</v>
      </c>
    </row>
    <row r="6" spans="1:13" x14ac:dyDescent="0.25">
      <c r="A6" s="172" t="s">
        <v>250</v>
      </c>
      <c r="B6" s="173"/>
      <c r="C6" s="173"/>
      <c r="D6" s="173"/>
      <c r="E6" s="173"/>
      <c r="F6" s="173"/>
      <c r="G6" s="173"/>
      <c r="H6" s="173"/>
      <c r="I6" s="232"/>
      <c r="J6" s="27">
        <f>SUM(J3:J5)</f>
        <v>7.0431598972602746E-2</v>
      </c>
      <c r="K6" s="27">
        <f>SUM(K3:K5)</f>
        <v>3.1302932876712326E-2</v>
      </c>
      <c r="L6" s="27">
        <f>SUM(L3:L5)</f>
        <v>5.7968394216133942E-3</v>
      </c>
    </row>
    <row r="7" spans="1:13" x14ac:dyDescent="0.25">
      <c r="A7" s="71"/>
      <c r="B7" s="71"/>
      <c r="C7" s="71"/>
      <c r="E7" s="1"/>
      <c r="F7" s="1"/>
      <c r="G7" s="1"/>
      <c r="H7" s="1"/>
      <c r="I7" s="1"/>
      <c r="J7" s="1"/>
      <c r="K7" s="1"/>
      <c r="L7" s="1"/>
    </row>
    <row r="8" spans="1:13" ht="19.5" customHeight="1" x14ac:dyDescent="0.25">
      <c r="A8" s="214" t="s">
        <v>0</v>
      </c>
      <c r="B8" s="219" t="s">
        <v>252</v>
      </c>
      <c r="C8" s="219" t="s">
        <v>253</v>
      </c>
      <c r="D8" s="214" t="s">
        <v>236</v>
      </c>
      <c r="E8" s="217" t="s">
        <v>225</v>
      </c>
      <c r="F8" s="218"/>
      <c r="G8" s="233"/>
      <c r="H8" s="214" t="s">
        <v>117</v>
      </c>
      <c r="I8" s="214" t="s">
        <v>237</v>
      </c>
      <c r="J8" s="215" t="s">
        <v>1</v>
      </c>
      <c r="K8" s="216"/>
      <c r="L8" s="231"/>
    </row>
    <row r="9" spans="1:13" ht="15.75" customHeight="1" x14ac:dyDescent="0.25">
      <c r="A9" s="214"/>
      <c r="B9" s="219"/>
      <c r="C9" s="219"/>
      <c r="D9" s="214"/>
      <c r="E9" s="66" t="s">
        <v>34</v>
      </c>
      <c r="F9" s="66" t="s">
        <v>61</v>
      </c>
      <c r="G9" s="66" t="s">
        <v>132</v>
      </c>
      <c r="H9" s="214"/>
      <c r="I9" s="214"/>
      <c r="J9" s="66" t="s">
        <v>34</v>
      </c>
      <c r="K9" s="66" t="s">
        <v>61</v>
      </c>
      <c r="L9" s="66" t="s">
        <v>132</v>
      </c>
    </row>
    <row r="10" spans="1:13" x14ac:dyDescent="0.25">
      <c r="A10" s="4" t="s">
        <v>190</v>
      </c>
      <c r="B10" s="112">
        <v>-20.174330999999999</v>
      </c>
      <c r="C10" s="112">
        <v>-40.353282</v>
      </c>
      <c r="D10" s="104">
        <f>SUM(Dados!C7:C10)</f>
        <v>16.770535388127854</v>
      </c>
      <c r="E10" s="45">
        <f>'FE-Britagem e Peneiramento'!B7</f>
        <v>1.2500000000000001E-2</v>
      </c>
      <c r="F10" s="45">
        <f>'FE-Britagem e Peneiramento'!D7</f>
        <v>4.3E-3</v>
      </c>
      <c r="G10" s="72">
        <f>('FE-Britagem e Peneiramento'!$F$8/'FE-Britagem e Peneiramento'!$D$8)*'FE-Britagem e Peneiramento'!$D$7</f>
        <v>2.9054054054054054E-4</v>
      </c>
      <c r="H10" s="6" t="s">
        <v>138</v>
      </c>
      <c r="I10" s="6">
        <v>50</v>
      </c>
      <c r="J10" s="150">
        <f>D10*E10</f>
        <v>0.20963169235159818</v>
      </c>
      <c r="K10" s="150">
        <f>D10*F10</f>
        <v>7.2113302168949775E-2</v>
      </c>
      <c r="L10" s="155">
        <f>D10*G10</f>
        <v>4.872520416820931E-3</v>
      </c>
    </row>
    <row r="11" spans="1:13" x14ac:dyDescent="0.25">
      <c r="A11" s="35" t="s">
        <v>191</v>
      </c>
      <c r="B11" s="115">
        <v>-20.174208</v>
      </c>
      <c r="C11" s="115">
        <v>-40.352879000000001</v>
      </c>
      <c r="D11" s="120">
        <f>SUM(Dados!C7:C8)</f>
        <v>10.303501141552511</v>
      </c>
      <c r="E11" s="45">
        <f>'FE-Britagem e Peneiramento'!B7</f>
        <v>1.2500000000000001E-2</v>
      </c>
      <c r="F11" s="45">
        <f>'FE-Britagem e Peneiramento'!D7</f>
        <v>4.3E-3</v>
      </c>
      <c r="G11" s="72">
        <f>('FE-Britagem e Peneiramento'!$F$8/'FE-Britagem e Peneiramento'!$D$8)*'FE-Britagem e Peneiramento'!$D$7</f>
        <v>2.9054054054054054E-4</v>
      </c>
      <c r="H11" s="6" t="s">
        <v>138</v>
      </c>
      <c r="I11" s="6">
        <v>50</v>
      </c>
      <c r="J11" s="150">
        <f>D11*E11</f>
        <v>0.12879376426940639</v>
      </c>
      <c r="K11" s="150">
        <f>D11*F11</f>
        <v>4.4305054908675798E-2</v>
      </c>
      <c r="L11" s="155">
        <f>D11*G11</f>
        <v>2.9935847911267432E-3</v>
      </c>
    </row>
    <row r="12" spans="1:13" x14ac:dyDescent="0.25">
      <c r="A12" s="173" t="s">
        <v>251</v>
      </c>
      <c r="B12" s="173"/>
      <c r="C12" s="173"/>
      <c r="D12" s="173"/>
      <c r="E12" s="173"/>
      <c r="F12" s="173"/>
      <c r="G12" s="173"/>
      <c r="H12" s="173"/>
      <c r="I12" s="173"/>
      <c r="J12" s="31">
        <f>SUM(J10:J11)</f>
        <v>0.33842545662100454</v>
      </c>
      <c r="K12" s="31">
        <f t="shared" ref="K12:L12" si="3">SUM(K10:K11)</f>
        <v>0.11641835707762557</v>
      </c>
      <c r="L12" s="31">
        <f t="shared" si="3"/>
        <v>7.8661052079476747E-3</v>
      </c>
    </row>
    <row r="13" spans="1:13" x14ac:dyDescent="0.25">
      <c r="A13" s="30"/>
      <c r="B13" s="30"/>
      <c r="C13" s="30"/>
      <c r="D13" s="1"/>
      <c r="E13" s="1"/>
      <c r="F13" s="30"/>
      <c r="G13" s="1"/>
      <c r="H13" s="1"/>
      <c r="I13" s="1"/>
      <c r="M13" s="1"/>
    </row>
    <row r="15" spans="1:13" x14ac:dyDescent="0.25">
      <c r="A15" s="1"/>
      <c r="B15" s="1"/>
      <c r="C15" s="1"/>
    </row>
    <row r="17" spans="1:3" x14ac:dyDescent="0.25">
      <c r="A17" s="30"/>
      <c r="B17" s="30"/>
      <c r="C17" s="30"/>
    </row>
    <row r="18" spans="1:3" x14ac:dyDescent="0.25">
      <c r="A18" s="30"/>
      <c r="B18" s="30"/>
      <c r="C18" s="30"/>
    </row>
  </sheetData>
  <sheetProtection password="B056" sheet="1" objects="1" scenarios="1"/>
  <mergeCells count="18">
    <mergeCell ref="A6:I6"/>
    <mergeCell ref="J8:L8"/>
    <mergeCell ref="E8:G8"/>
    <mergeCell ref="A8:A9"/>
    <mergeCell ref="D8:D9"/>
    <mergeCell ref="J1:L1"/>
    <mergeCell ref="E1:G1"/>
    <mergeCell ref="A1:A2"/>
    <mergeCell ref="D1:D2"/>
    <mergeCell ref="H1:H2"/>
    <mergeCell ref="I1:I2"/>
    <mergeCell ref="B1:B2"/>
    <mergeCell ref="C1:C2"/>
    <mergeCell ref="B8:B9"/>
    <mergeCell ref="C8:C9"/>
    <mergeCell ref="H8:H9"/>
    <mergeCell ref="I8:I9"/>
    <mergeCell ref="A12:I1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"/>
  <sheetViews>
    <sheetView zoomScaleNormal="100" workbookViewId="0">
      <selection activeCell="C1" sqref="C1:D2"/>
    </sheetView>
  </sheetViews>
  <sheetFormatPr defaultRowHeight="15" x14ac:dyDescent="0.25"/>
  <cols>
    <col min="1" max="1" width="21.140625" customWidth="1"/>
    <col min="2" max="5" width="13.85546875" customWidth="1"/>
    <col min="6" max="7" width="15" customWidth="1"/>
    <col min="8" max="8" width="14.28515625" customWidth="1"/>
    <col min="9" max="9" width="10.42578125" customWidth="1"/>
    <col min="10" max="10" width="11.85546875" customWidth="1"/>
    <col min="11" max="13" width="14.85546875" customWidth="1"/>
    <col min="14" max="16" width="13.7109375" customWidth="1"/>
  </cols>
  <sheetData>
    <row r="1" spans="1:30" ht="15" customHeight="1" x14ac:dyDescent="0.25">
      <c r="A1" s="214" t="s">
        <v>44</v>
      </c>
      <c r="B1" s="214" t="s">
        <v>24</v>
      </c>
      <c r="C1" s="219" t="s">
        <v>252</v>
      </c>
      <c r="D1" s="219" t="s">
        <v>253</v>
      </c>
      <c r="E1" s="214" t="s">
        <v>238</v>
      </c>
      <c r="F1" s="234" t="s">
        <v>236</v>
      </c>
      <c r="G1" s="234" t="s">
        <v>239</v>
      </c>
      <c r="H1" s="214" t="s">
        <v>240</v>
      </c>
      <c r="I1" s="214" t="s">
        <v>241</v>
      </c>
      <c r="J1" s="234" t="s">
        <v>242</v>
      </c>
      <c r="K1" s="220" t="s">
        <v>243</v>
      </c>
      <c r="L1" s="234" t="s">
        <v>117</v>
      </c>
      <c r="M1" s="234" t="s">
        <v>237</v>
      </c>
      <c r="N1" s="217" t="s">
        <v>244</v>
      </c>
      <c r="O1" s="218"/>
      <c r="P1" s="218"/>
      <c r="Q1" s="214" t="s">
        <v>245</v>
      </c>
      <c r="R1" s="214"/>
      <c r="S1" s="214"/>
      <c r="T1" s="214"/>
      <c r="U1" s="214"/>
      <c r="V1" s="214"/>
      <c r="W1" s="214"/>
      <c r="X1" s="213" t="s">
        <v>1</v>
      </c>
      <c r="Y1" s="213"/>
      <c r="Z1" s="213"/>
      <c r="AA1" s="213"/>
      <c r="AB1" s="213"/>
      <c r="AC1" s="213"/>
      <c r="AD1" s="213"/>
    </row>
    <row r="2" spans="1:30" x14ac:dyDescent="0.25">
      <c r="A2" s="214"/>
      <c r="B2" s="214"/>
      <c r="C2" s="219"/>
      <c r="D2" s="219"/>
      <c r="E2" s="214"/>
      <c r="F2" s="235"/>
      <c r="G2" s="235"/>
      <c r="H2" s="214"/>
      <c r="I2" s="214"/>
      <c r="J2" s="235"/>
      <c r="K2" s="221"/>
      <c r="L2" s="235"/>
      <c r="M2" s="235"/>
      <c r="N2" s="32" t="s">
        <v>2</v>
      </c>
      <c r="O2" s="32" t="s">
        <v>3</v>
      </c>
      <c r="P2" s="36" t="s">
        <v>20</v>
      </c>
      <c r="Q2" s="32" t="s">
        <v>2</v>
      </c>
      <c r="R2" s="32" t="s">
        <v>3</v>
      </c>
      <c r="S2" s="32" t="s">
        <v>20</v>
      </c>
      <c r="T2" s="32" t="s">
        <v>5</v>
      </c>
      <c r="U2" s="32" t="s">
        <v>6</v>
      </c>
      <c r="V2" s="32" t="s">
        <v>4</v>
      </c>
      <c r="W2" s="160" t="s">
        <v>249</v>
      </c>
      <c r="X2" s="32" t="s">
        <v>2</v>
      </c>
      <c r="Y2" s="32" t="s">
        <v>3</v>
      </c>
      <c r="Z2" s="32" t="s">
        <v>20</v>
      </c>
      <c r="AA2" s="32" t="s">
        <v>5</v>
      </c>
      <c r="AB2" s="32" t="s">
        <v>6</v>
      </c>
      <c r="AC2" s="32" t="s">
        <v>4</v>
      </c>
      <c r="AD2" s="32" t="s">
        <v>249</v>
      </c>
    </row>
    <row r="3" spans="1:30" x14ac:dyDescent="0.25">
      <c r="A3" s="33" t="s">
        <v>139</v>
      </c>
      <c r="B3" s="28" t="s">
        <v>45</v>
      </c>
      <c r="C3" s="28">
        <v>-20.172602999999999</v>
      </c>
      <c r="D3" s="74">
        <v>-40.357529</v>
      </c>
      <c r="E3" s="28">
        <v>281</v>
      </c>
      <c r="F3" s="80">
        <f>Dados!C13/3</f>
        <v>8.3658394216133942</v>
      </c>
      <c r="G3" s="130">
        <v>14</v>
      </c>
      <c r="H3" s="92">
        <f>2*(F3/G3)</f>
        <v>1.195119917373342</v>
      </c>
      <c r="I3" s="8">
        <f>E3*H3/1000</f>
        <v>0.33582869678190913</v>
      </c>
      <c r="J3" s="28">
        <v>8.3000000000000007</v>
      </c>
      <c r="K3" s="6">
        <v>16</v>
      </c>
      <c r="L3" s="6" t="s">
        <v>138</v>
      </c>
      <c r="M3" s="6">
        <v>55</v>
      </c>
      <c r="N3" s="8">
        <f>('FE-Vias'!$D$6*((J3/12)^'FE-Vias'!$D$7)*((K3/3)^'FE-Vias'!$D$8)*'FE-Vias'!$B$9/1000)*'FE-Vias'!$G$15</f>
        <v>1.6952671965211552</v>
      </c>
      <c r="O3" s="8">
        <f>('FE-Vias'!$C$6*((J3/12)^'FE-Vias'!$C$7)*((K3/3)^'FE-Vias'!$C$8)*'FE-Vias'!$B$9/1000)*'FE-Vias'!$G$15</f>
        <v>0.48207288747744004</v>
      </c>
      <c r="P3" s="8">
        <f>('FE-Vias'!$B$6*((J3/12)^'FE-Vias'!$B$7)*((K3/3)^'FE-Vias'!$B$8)*'FE-Vias'!$B$9/1000)*'FE-Vias'!$G$15</f>
        <v>4.820728874774402E-2</v>
      </c>
      <c r="Q3" s="43">
        <f>'FE-Vias'!B22/1000</f>
        <v>1.7489827604766657E-4</v>
      </c>
      <c r="R3" s="43">
        <f>'FE-Vias'!C22/1000</f>
        <v>1.7489827604766657E-4</v>
      </c>
      <c r="S3" s="43">
        <f>'FE-Vias'!D22/1000</f>
        <v>1.7489827604766657E-4</v>
      </c>
      <c r="T3" s="43">
        <f>'FE-Vias'!E22/1000</f>
        <v>5.4345140567386742E-3</v>
      </c>
      <c r="U3" s="110">
        <f>'FE-Vias'!$F$22/1000</f>
        <v>2.1032135261668511E-4</v>
      </c>
      <c r="V3" s="43">
        <f>'FE-Vias'!$G$22/1000</f>
        <v>1.0383730075038094E-3</v>
      </c>
      <c r="W3" s="43">
        <f>'FE-Vias'!H22/1000</f>
        <v>2.4766340643796463E-4</v>
      </c>
      <c r="X3" s="37">
        <f>(N3*I3*(1-M3/100))+(Q3*I3)</f>
        <v>0.25625245384728357</v>
      </c>
      <c r="Y3" s="37">
        <f>(O3*I3*(1-M3/100))+(R3*I3)</f>
        <v>7.2910995160062747E-2</v>
      </c>
      <c r="Z3" s="37">
        <f>(P3*I3*(1-M3/100))+(S3*I3)</f>
        <v>7.3439617901093195E-3</v>
      </c>
      <c r="AA3" s="37">
        <f>T3*I3</f>
        <v>1.8250657733175151E-3</v>
      </c>
      <c r="AB3" s="37">
        <f>U3*I3</f>
        <v>7.0631945754669737E-5</v>
      </c>
      <c r="AC3" s="37">
        <f>V3*I3</f>
        <v>3.4871545388351588E-4</v>
      </c>
      <c r="AD3" s="37">
        <f>W3*I3</f>
        <v>8.3172479024629949E-5</v>
      </c>
    </row>
    <row r="4" spans="1:30" x14ac:dyDescent="0.25">
      <c r="A4" s="33" t="s">
        <v>140</v>
      </c>
      <c r="B4" s="28" t="s">
        <v>45</v>
      </c>
      <c r="C4" s="28">
        <v>-20.172540000000001</v>
      </c>
      <c r="D4" s="28">
        <v>-40.358713000000002</v>
      </c>
      <c r="E4" s="28">
        <v>601</v>
      </c>
      <c r="F4" s="80">
        <f>Dados!C13/3</f>
        <v>8.3658394216133942</v>
      </c>
      <c r="G4" s="130">
        <v>14</v>
      </c>
      <c r="H4" s="92">
        <f t="shared" ref="H4:H10" si="0">2*(F4/G4)</f>
        <v>1.195119917373342</v>
      </c>
      <c r="I4" s="8">
        <f t="shared" ref="I4:I10" si="1">E4*H4/1000</f>
        <v>0.7182670703413786</v>
      </c>
      <c r="J4" s="28">
        <v>8.3000000000000007</v>
      </c>
      <c r="K4" s="6">
        <v>16</v>
      </c>
      <c r="L4" s="6" t="s">
        <v>138</v>
      </c>
      <c r="M4" s="6">
        <v>55</v>
      </c>
      <c r="N4" s="8">
        <f>('FE-Vias'!$D$6*((J4/12)^'FE-Vias'!$D$7)*((K4/3)^'FE-Vias'!$D$8)*'FE-Vias'!$B$9/1000)*'FE-Vias'!$G$15</f>
        <v>1.6952671965211552</v>
      </c>
      <c r="O4" s="8">
        <f>('FE-Vias'!$C$6*((J4/12)^'FE-Vias'!$C$7)*((K4/3)^'FE-Vias'!$C$8)*'FE-Vias'!$B$9/1000)*'FE-Vias'!$G$15</f>
        <v>0.48207288747744004</v>
      </c>
      <c r="P4" s="8">
        <f>('FE-Vias'!$B$6*((J4/12)^'FE-Vias'!$B$7)*((K4/3)^'FE-Vias'!$B$8)*'FE-Vias'!$B$9/1000)*'FE-Vias'!$G$15</f>
        <v>4.820728874774402E-2</v>
      </c>
      <c r="Q4" s="43">
        <f>'FE-Vias'!$B$22/1000</f>
        <v>1.7489827604766657E-4</v>
      </c>
      <c r="R4" s="43">
        <f>'FE-Vias'!$C$22/1000</f>
        <v>1.7489827604766657E-4</v>
      </c>
      <c r="S4" s="43">
        <f>'FE-Vias'!$D$22/1000</f>
        <v>1.7489827604766657E-4</v>
      </c>
      <c r="T4" s="43">
        <f>'FE-Vias'!$E$22/1000</f>
        <v>5.4345140567386742E-3</v>
      </c>
      <c r="U4" s="110">
        <f>'FE-Vias'!$F$22/1000</f>
        <v>2.1032135261668511E-4</v>
      </c>
      <c r="V4" s="43">
        <f>'FE-Vias'!$G$22/1000</f>
        <v>1.0383730075038094E-3</v>
      </c>
      <c r="W4" s="43">
        <f>'FE-Vias'!$H$22/1000</f>
        <v>2.4766340643796463E-4</v>
      </c>
      <c r="X4" s="37">
        <f>(N4*I4*(1-M4/100))+(Q4*I4)</f>
        <v>0.54807019488333597</v>
      </c>
      <c r="Y4" s="37">
        <f>(O4*I4*(1-M4/100))+(R4*I4)</f>
        <v>0.15594130993308794</v>
      </c>
      <c r="Z4" s="37">
        <f>(P4*I4*(1-M4/100))+(S4*I4)</f>
        <v>1.5707192298418864E-2</v>
      </c>
      <c r="AA4" s="37">
        <f>T4*I4</f>
        <v>3.9034324902627281E-3</v>
      </c>
      <c r="AB4" s="37">
        <f>U4*I4</f>
        <v>1.5106690177422245E-4</v>
      </c>
      <c r="AC4" s="37">
        <f>V4*I4</f>
        <v>7.4582913802132748E-4</v>
      </c>
      <c r="AD4" s="37">
        <f>W4*I4</f>
        <v>1.7788846937296298E-4</v>
      </c>
    </row>
    <row r="5" spans="1:30" x14ac:dyDescent="0.25">
      <c r="A5" s="38" t="s">
        <v>141</v>
      </c>
      <c r="B5" s="28" t="s">
        <v>45</v>
      </c>
      <c r="C5" s="28">
        <v>-20.173576000000001</v>
      </c>
      <c r="D5" s="28">
        <v>-40.355956999999997</v>
      </c>
      <c r="E5" s="28">
        <v>185</v>
      </c>
      <c r="F5" s="80">
        <f>F3+F4</f>
        <v>16.731678843226788</v>
      </c>
      <c r="G5" s="130">
        <v>14</v>
      </c>
      <c r="H5" s="92">
        <f t="shared" si="0"/>
        <v>2.390239834746684</v>
      </c>
      <c r="I5" s="8">
        <f t="shared" si="1"/>
        <v>0.44219436942813656</v>
      </c>
      <c r="J5" s="28">
        <v>8.3000000000000007</v>
      </c>
      <c r="K5" s="6">
        <v>16</v>
      </c>
      <c r="L5" s="6" t="s">
        <v>138</v>
      </c>
      <c r="M5" s="6">
        <v>55</v>
      </c>
      <c r="N5" s="8">
        <f>('FE-Vias'!$D$6*((J5/12)^'FE-Vias'!$D$7)*((K5/3)^'FE-Vias'!$D$8)*'FE-Vias'!$B$9/1000)*'FE-Vias'!$G$15</f>
        <v>1.6952671965211552</v>
      </c>
      <c r="O5" s="8">
        <f>('FE-Vias'!$C$6*((J5/12)^'FE-Vias'!$C$7)*((K5/3)^'FE-Vias'!$C$8)*'FE-Vias'!$B$9/1000)*'FE-Vias'!$G$15</f>
        <v>0.48207288747744004</v>
      </c>
      <c r="P5" s="8">
        <f>('FE-Vias'!$B$6*((J5/12)^'FE-Vias'!$B$7)*((K5/3)^'FE-Vias'!$B$8)*'FE-Vias'!$B$9/1000)*'FE-Vias'!$G$15</f>
        <v>4.820728874774402E-2</v>
      </c>
      <c r="Q5" s="43">
        <f>'FE-Vias'!$B$22/1000</f>
        <v>1.7489827604766657E-4</v>
      </c>
      <c r="R5" s="43">
        <f>'FE-Vias'!$C$22/1000</f>
        <v>1.7489827604766657E-4</v>
      </c>
      <c r="S5" s="43">
        <f>'FE-Vias'!$D$22/1000</f>
        <v>1.7489827604766657E-4</v>
      </c>
      <c r="T5" s="43">
        <f>'FE-Vias'!$E$22/1000</f>
        <v>5.4345140567386742E-3</v>
      </c>
      <c r="U5" s="110">
        <f>'FE-Vias'!$F$22/1000</f>
        <v>2.1032135261668511E-4</v>
      </c>
      <c r="V5" s="43">
        <f>'FE-Vias'!$G$22/1000</f>
        <v>1.0383730075038094E-3</v>
      </c>
      <c r="W5" s="43">
        <f>'FE-Vias'!$H$22/1000</f>
        <v>2.4766340643796463E-4</v>
      </c>
      <c r="X5" s="37">
        <f t="shared" ref="X5:X10" si="2">(N5*I5*(1-M5/100))+(Q5*I5)</f>
        <v>0.33741426307293565</v>
      </c>
      <c r="Y5" s="37">
        <f t="shared" ref="Y5:Y10" si="3">(O5*I5*(1-M5/100))+(R5*I5)</f>
        <v>9.6003801456310378E-2</v>
      </c>
      <c r="Z5" s="37">
        <f t="shared" ref="Z5:Z10" si="4">(P5*I5*(1-M5/100))+(S5*I5)</f>
        <v>9.6699852752329118E-3</v>
      </c>
      <c r="AA5" s="37">
        <f t="shared" ref="AA5:AA10" si="5">T5*I5</f>
        <v>2.4031115164679022E-3</v>
      </c>
      <c r="AB5" s="37">
        <f t="shared" ref="AB5:AB10" si="6">U5*I5</f>
        <v>9.3002917897607831E-5</v>
      </c>
      <c r="AC5" s="37">
        <f t="shared" ref="AC5:AC10" si="7">V5*I5</f>
        <v>4.5916269728434473E-4</v>
      </c>
      <c r="AD5" s="37">
        <f t="shared" ref="AD5:AD10" si="8">W5*I5</f>
        <v>1.0951536384026007E-4</v>
      </c>
    </row>
    <row r="6" spans="1:30" x14ac:dyDescent="0.25">
      <c r="A6" s="38" t="s">
        <v>192</v>
      </c>
      <c r="B6" s="28" t="s">
        <v>45</v>
      </c>
      <c r="C6" s="28">
        <v>-20.170142999999999</v>
      </c>
      <c r="D6" s="28">
        <v>-40.356000999999999</v>
      </c>
      <c r="E6" s="28">
        <v>1091</v>
      </c>
      <c r="F6" s="80">
        <f>Dados!C13/3</f>
        <v>8.3658394216133942</v>
      </c>
      <c r="G6" s="130">
        <v>14</v>
      </c>
      <c r="H6" s="92">
        <f t="shared" si="0"/>
        <v>1.195119917373342</v>
      </c>
      <c r="I6" s="8">
        <f t="shared" si="1"/>
        <v>1.3038758298543163</v>
      </c>
      <c r="J6" s="28">
        <v>8.3000000000000007</v>
      </c>
      <c r="K6" s="6">
        <v>16</v>
      </c>
      <c r="L6" s="6" t="s">
        <v>138</v>
      </c>
      <c r="M6" s="6">
        <v>55</v>
      </c>
      <c r="N6" s="8">
        <f>('FE-Vias'!$D$6*((J6/12)^'FE-Vias'!$D$7)*((K6/3)^'FE-Vias'!$D$8)*'FE-Vias'!$B$9/1000)*'FE-Vias'!$G$15</f>
        <v>1.6952671965211552</v>
      </c>
      <c r="O6" s="8">
        <f>('FE-Vias'!$C$6*((J6/12)^'FE-Vias'!$C$7)*((K6/3)^'FE-Vias'!$C$8)*'FE-Vias'!$B$9/1000)*'FE-Vias'!$G$15</f>
        <v>0.48207288747744004</v>
      </c>
      <c r="P6" s="8">
        <f>('FE-Vias'!$B$6*((J6/12)^'FE-Vias'!$B$7)*((K6/3)^'FE-Vias'!$B$8)*'FE-Vias'!$B$9/1000)*'FE-Vias'!$G$15</f>
        <v>4.820728874774402E-2</v>
      </c>
      <c r="Q6" s="43">
        <f>'FE-Vias'!$B$22/1000</f>
        <v>1.7489827604766657E-4</v>
      </c>
      <c r="R6" s="43">
        <f>'FE-Vias'!$C$22/1000</f>
        <v>1.7489827604766657E-4</v>
      </c>
      <c r="S6" s="43">
        <f>'FE-Vias'!$D$22/1000</f>
        <v>1.7489827604766657E-4</v>
      </c>
      <c r="T6" s="43">
        <f>'FE-Vias'!$E$22/1000</f>
        <v>5.4345140567386742E-3</v>
      </c>
      <c r="U6" s="110">
        <f>'FE-Vias'!$F$22/1000</f>
        <v>2.1032135261668511E-4</v>
      </c>
      <c r="V6" s="43">
        <f>'FE-Vias'!$G$22/1000</f>
        <v>1.0383730075038094E-3</v>
      </c>
      <c r="W6" s="43">
        <f>'FE-Vias'!$H$22/1000</f>
        <v>2.4766340643796463E-4</v>
      </c>
      <c r="X6" s="37">
        <f t="shared" si="2"/>
        <v>0.99491611084479126</v>
      </c>
      <c r="Y6" s="37">
        <f t="shared" si="3"/>
        <v>0.28308147942928286</v>
      </c>
      <c r="Z6" s="37">
        <f t="shared" si="4"/>
        <v>2.8513389014267858E-2</v>
      </c>
      <c r="AA6" s="37">
        <f t="shared" si="5"/>
        <v>7.085931525585086E-3</v>
      </c>
      <c r="AB6" s="37">
        <f t="shared" si="6"/>
        <v>2.7423292817916256E-4</v>
      </c>
      <c r="AC6" s="37">
        <f t="shared" si="7"/>
        <v>1.3539094668573518E-3</v>
      </c>
      <c r="AD6" s="37">
        <f t="shared" si="8"/>
        <v>3.2292232959384794E-4</v>
      </c>
    </row>
    <row r="7" spans="1:30" x14ac:dyDescent="0.25">
      <c r="A7" s="38" t="s">
        <v>193</v>
      </c>
      <c r="B7" s="28" t="s">
        <v>45</v>
      </c>
      <c r="C7" s="28">
        <v>-20.174379999999999</v>
      </c>
      <c r="D7" s="28">
        <v>-40.354610999999998</v>
      </c>
      <c r="E7" s="28">
        <v>151</v>
      </c>
      <c r="F7" s="80">
        <f>Dados!C13</f>
        <v>25.097518264840183</v>
      </c>
      <c r="G7" s="130">
        <v>14</v>
      </c>
      <c r="H7" s="92">
        <f t="shared" si="0"/>
        <v>3.5853597521200262</v>
      </c>
      <c r="I7" s="8">
        <f t="shared" si="1"/>
        <v>0.54138932257012395</v>
      </c>
      <c r="J7" s="28">
        <v>8.3000000000000007</v>
      </c>
      <c r="K7" s="6">
        <v>16</v>
      </c>
      <c r="L7" s="6" t="s">
        <v>138</v>
      </c>
      <c r="M7" s="6">
        <v>55</v>
      </c>
      <c r="N7" s="8">
        <f>('FE-Vias'!$D$6*((J7/12)^'FE-Vias'!$D$7)*((K7/3)^'FE-Vias'!$D$8)*'FE-Vias'!$B$9/1000)*'FE-Vias'!$G$15</f>
        <v>1.6952671965211552</v>
      </c>
      <c r="O7" s="8">
        <f>('FE-Vias'!$C$6*((J7/12)^'FE-Vias'!$C$7)*((K7/3)^'FE-Vias'!$C$8)*'FE-Vias'!$B$9/1000)*'FE-Vias'!$G$15</f>
        <v>0.48207288747744004</v>
      </c>
      <c r="P7" s="8">
        <f>('FE-Vias'!$B$6*((J7/12)^'FE-Vias'!$B$7)*((K7/3)^'FE-Vias'!$B$8)*'FE-Vias'!$B$9/1000)*'FE-Vias'!$G$15</f>
        <v>4.820728874774402E-2</v>
      </c>
      <c r="Q7" s="43">
        <f>'FE-Vias'!$B$22/1000</f>
        <v>1.7489827604766657E-4</v>
      </c>
      <c r="R7" s="43">
        <f>'FE-Vias'!$C$22/1000</f>
        <v>1.7489827604766657E-4</v>
      </c>
      <c r="S7" s="43">
        <f>'FE-Vias'!$D$22/1000</f>
        <v>1.7489827604766657E-4</v>
      </c>
      <c r="T7" s="43">
        <f>'FE-Vias'!$E$22/1000</f>
        <v>5.4345140567386742E-3</v>
      </c>
      <c r="U7" s="110">
        <f>'FE-Vias'!$F$22/1000</f>
        <v>2.1032135261668511E-4</v>
      </c>
      <c r="V7" s="43">
        <f>'FE-Vias'!$G$22/1000</f>
        <v>1.0383730075038094E-3</v>
      </c>
      <c r="W7" s="43">
        <f>'FE-Vias'!$H$22/1000</f>
        <v>2.4766340643796463E-4</v>
      </c>
      <c r="X7" s="37">
        <f t="shared" si="2"/>
        <v>0.41310448965416169</v>
      </c>
      <c r="Y7" s="37">
        <f t="shared" si="3"/>
        <v>0.11753978935056379</v>
      </c>
      <c r="Z7" s="37">
        <f t="shared" si="4"/>
        <v>1.1839198188325701E-2</v>
      </c>
      <c r="AA7" s="37">
        <f t="shared" si="5"/>
        <v>2.9421878836755669E-3</v>
      </c>
      <c r="AB7" s="37">
        <f t="shared" si="6"/>
        <v>1.1386573461517932E-4</v>
      </c>
      <c r="AC7" s="37">
        <f t="shared" si="7"/>
        <v>5.6216405910758957E-4</v>
      </c>
      <c r="AD7" s="37">
        <f t="shared" si="8"/>
        <v>1.3408232383685893E-4</v>
      </c>
    </row>
    <row r="8" spans="1:30" x14ac:dyDescent="0.25">
      <c r="A8" s="38" t="s">
        <v>194</v>
      </c>
      <c r="B8" s="28" t="s">
        <v>45</v>
      </c>
      <c r="C8" s="28">
        <v>-20.173528999999998</v>
      </c>
      <c r="D8" s="28">
        <v>-40.352865999999999</v>
      </c>
      <c r="E8" s="28">
        <v>239</v>
      </c>
      <c r="F8" s="80">
        <f>SUM(Dados!C11:C12)</f>
        <v>8.3269828767123286</v>
      </c>
      <c r="G8" s="130">
        <v>14</v>
      </c>
      <c r="H8" s="92">
        <f t="shared" si="0"/>
        <v>1.1895689823874755</v>
      </c>
      <c r="I8" s="8">
        <f t="shared" si="1"/>
        <v>0.28430698679060662</v>
      </c>
      <c r="J8" s="28">
        <v>8.3000000000000007</v>
      </c>
      <c r="K8" s="6">
        <v>16</v>
      </c>
      <c r="L8" s="6" t="s">
        <v>138</v>
      </c>
      <c r="M8" s="6">
        <v>55</v>
      </c>
      <c r="N8" s="8">
        <f>('FE-Vias'!$D$6*((J8/12)^'FE-Vias'!$D$7)*((K8/3)^'FE-Vias'!$D$8)*'FE-Vias'!$B$9/1000)*'FE-Vias'!$G$15</f>
        <v>1.6952671965211552</v>
      </c>
      <c r="O8" s="8">
        <f>('FE-Vias'!$C$6*((J8/12)^'FE-Vias'!$C$7)*((K8/3)^'FE-Vias'!$C$8)*'FE-Vias'!$B$9/1000)*'FE-Vias'!$G$15</f>
        <v>0.48207288747744004</v>
      </c>
      <c r="P8" s="8">
        <f>('FE-Vias'!$B$6*((J8/12)^'FE-Vias'!$B$7)*((K8/3)^'FE-Vias'!$B$8)*'FE-Vias'!$B$9/1000)*'FE-Vias'!$G$15</f>
        <v>4.820728874774402E-2</v>
      </c>
      <c r="Q8" s="43">
        <f>'FE-Vias'!$B$22/1000</f>
        <v>1.7489827604766657E-4</v>
      </c>
      <c r="R8" s="43">
        <f>'FE-Vias'!$C$22/1000</f>
        <v>1.7489827604766657E-4</v>
      </c>
      <c r="S8" s="43">
        <f>'FE-Vias'!$D$22/1000</f>
        <v>1.7489827604766657E-4</v>
      </c>
      <c r="T8" s="43">
        <f>'FE-Vias'!$E$22/1000</f>
        <v>5.4345140567386742E-3</v>
      </c>
      <c r="U8" s="110">
        <f>'FE-Vias'!$F$22/1000</f>
        <v>2.1032135261668511E-4</v>
      </c>
      <c r="V8" s="43">
        <f>'FE-Vias'!$G$22/1000</f>
        <v>1.0383730075038094E-3</v>
      </c>
      <c r="W8" s="43">
        <f>'FE-Vias'!$H$22/1000</f>
        <v>2.4766340643796463E-4</v>
      </c>
      <c r="X8" s="37">
        <f t="shared" si="2"/>
        <v>0.21693906360340795</v>
      </c>
      <c r="Y8" s="37">
        <f t="shared" si="3"/>
        <v>6.1725235325329142E-2</v>
      </c>
      <c r="Z8" s="37">
        <f t="shared" si="4"/>
        <v>6.2172758542051012E-3</v>
      </c>
      <c r="AA8" s="37">
        <f t="shared" si="5"/>
        <v>1.5450703161425682E-3</v>
      </c>
      <c r="AB8" s="37">
        <f t="shared" si="6"/>
        <v>5.979583002017441E-5</v>
      </c>
      <c r="AC8" s="37">
        <f t="shared" si="7"/>
        <v>2.9521670092810804E-4</v>
      </c>
      <c r="AD8" s="37">
        <f t="shared" si="8"/>
        <v>7.0412436822675053E-5</v>
      </c>
    </row>
    <row r="9" spans="1:30" x14ac:dyDescent="0.25">
      <c r="A9" s="38" t="s">
        <v>195</v>
      </c>
      <c r="B9" s="28" t="s">
        <v>45</v>
      </c>
      <c r="C9" s="28">
        <v>-20.174047999999999</v>
      </c>
      <c r="D9" s="74">
        <v>-40.352330000000002</v>
      </c>
      <c r="E9" s="28">
        <v>82.5</v>
      </c>
      <c r="F9" s="80">
        <f>SUM(Dados!C7:C10)</f>
        <v>16.770535388127854</v>
      </c>
      <c r="G9" s="130">
        <v>14</v>
      </c>
      <c r="H9" s="92">
        <f t="shared" si="0"/>
        <v>2.3957907697325505</v>
      </c>
      <c r="I9" s="8">
        <f t="shared" si="1"/>
        <v>0.19765273850293541</v>
      </c>
      <c r="J9" s="28">
        <v>8.3000000000000007</v>
      </c>
      <c r="K9" s="6">
        <v>16</v>
      </c>
      <c r="L9" s="6" t="s">
        <v>138</v>
      </c>
      <c r="M9" s="6">
        <v>55</v>
      </c>
      <c r="N9" s="8">
        <f>('FE-Vias'!$D$6*((J9/12)^'FE-Vias'!$D$7)*((K9/3)^'FE-Vias'!$D$8)*'FE-Vias'!$B$9/1000)*'FE-Vias'!$G$15</f>
        <v>1.6952671965211552</v>
      </c>
      <c r="O9" s="8">
        <f>('FE-Vias'!$C$6*((J9/12)^'FE-Vias'!$C$7)*((K9/3)^'FE-Vias'!$C$8)*'FE-Vias'!$B$9/1000)*'FE-Vias'!$G$15</f>
        <v>0.48207288747744004</v>
      </c>
      <c r="P9" s="8">
        <f>('FE-Vias'!$B$6*((J9/12)^'FE-Vias'!$B$7)*((K9/3)^'FE-Vias'!$B$8)*'FE-Vias'!$B$9/1000)*'FE-Vias'!$G$15</f>
        <v>4.820728874774402E-2</v>
      </c>
      <c r="Q9" s="43">
        <f>'FE-Vias'!$B$22/1000</f>
        <v>1.7489827604766657E-4</v>
      </c>
      <c r="R9" s="43">
        <f>'FE-Vias'!$C$22/1000</f>
        <v>1.7489827604766657E-4</v>
      </c>
      <c r="S9" s="43">
        <f>'FE-Vias'!$D$22/1000</f>
        <v>1.7489827604766657E-4</v>
      </c>
      <c r="T9" s="43">
        <f>'FE-Vias'!$E$22/1000</f>
        <v>5.4345140567386742E-3</v>
      </c>
      <c r="U9" s="110">
        <f>'FE-Vias'!$F$22/1000</f>
        <v>2.1032135261668511E-4</v>
      </c>
      <c r="V9" s="43">
        <f>'FE-Vias'!$G$22/1000</f>
        <v>1.0383730075038094E-3</v>
      </c>
      <c r="W9" s="43">
        <f>'FE-Vias'!$H$22/1000</f>
        <v>2.4766340643796463E-4</v>
      </c>
      <c r="X9" s="37">
        <f t="shared" si="2"/>
        <v>0.15081796087219038</v>
      </c>
      <c r="Y9" s="37">
        <f t="shared" si="3"/>
        <v>4.2911930988790321E-2</v>
      </c>
      <c r="Z9" s="37">
        <f t="shared" si="4"/>
        <v>4.3223053097772709E-3</v>
      </c>
      <c r="AA9" s="37">
        <f t="shared" si="5"/>
        <v>1.0741465857470958E-3</v>
      </c>
      <c r="AB9" s="37">
        <f t="shared" si="6"/>
        <v>4.1570591310329331E-5</v>
      </c>
      <c r="AC9" s="37">
        <f t="shared" si="7"/>
        <v>2.0523726852065703E-4</v>
      </c>
      <c r="AD9" s="37">
        <f t="shared" si="8"/>
        <v>4.8951350509429233E-5</v>
      </c>
    </row>
    <row r="10" spans="1:30" x14ac:dyDescent="0.25">
      <c r="A10" s="38" t="s">
        <v>196</v>
      </c>
      <c r="B10" s="28" t="s">
        <v>45</v>
      </c>
      <c r="C10" s="28">
        <v>-20.174807999999999</v>
      </c>
      <c r="D10" s="28">
        <v>-40.351246000000003</v>
      </c>
      <c r="E10" s="28">
        <v>317</v>
      </c>
      <c r="F10" s="80">
        <f>F8+F9</f>
        <v>25.097518264840183</v>
      </c>
      <c r="G10" s="130">
        <v>14</v>
      </c>
      <c r="H10" s="92">
        <f t="shared" si="0"/>
        <v>3.5853597521200262</v>
      </c>
      <c r="I10" s="8">
        <f t="shared" si="1"/>
        <v>1.1365590414220483</v>
      </c>
      <c r="J10" s="28">
        <v>8.3000000000000007</v>
      </c>
      <c r="K10" s="6">
        <v>16</v>
      </c>
      <c r="L10" s="6" t="s">
        <v>138</v>
      </c>
      <c r="M10" s="6">
        <v>55</v>
      </c>
      <c r="N10" s="8">
        <f>('FE-Vias'!$D$6*((J10/12)^'FE-Vias'!$D$7)*((K10/3)^'FE-Vias'!$D$8)*'FE-Vias'!$B$9/1000)*'FE-Vias'!$G$15</f>
        <v>1.6952671965211552</v>
      </c>
      <c r="O10" s="8">
        <f>('FE-Vias'!$C$6*((J10/12)^'FE-Vias'!$C$7)*((K10/3)^'FE-Vias'!$C$8)*'FE-Vias'!$B$9/1000)*'FE-Vias'!$G$15</f>
        <v>0.48207288747744004</v>
      </c>
      <c r="P10" s="8">
        <f>('FE-Vias'!$B$6*((J10/12)^'FE-Vias'!$B$7)*((K10/3)^'FE-Vias'!$B$8)*'FE-Vias'!$B$9/1000)*'FE-Vias'!$G$15</f>
        <v>4.820728874774402E-2</v>
      </c>
      <c r="Q10" s="43">
        <f>'FE-Vias'!$B$22/1000</f>
        <v>1.7489827604766657E-4</v>
      </c>
      <c r="R10" s="43">
        <f>'FE-Vias'!$C$22/1000</f>
        <v>1.7489827604766657E-4</v>
      </c>
      <c r="S10" s="43">
        <f>'FE-Vias'!$D$22/1000</f>
        <v>1.7489827604766657E-4</v>
      </c>
      <c r="T10" s="43">
        <f>'FE-Vias'!$E$22/1000</f>
        <v>5.4345140567386742E-3</v>
      </c>
      <c r="U10" s="110">
        <f>'FE-Vias'!$F$22/1000</f>
        <v>2.1032135261668511E-4</v>
      </c>
      <c r="V10" s="43">
        <f>'FE-Vias'!$G$22/1000</f>
        <v>1.0383730075038094E-3</v>
      </c>
      <c r="W10" s="43">
        <f>'FE-Vias'!$H$22/1000</f>
        <v>2.4766340643796463E-4</v>
      </c>
      <c r="X10" s="37">
        <f t="shared" si="2"/>
        <v>0.86724584914151837</v>
      </c>
      <c r="Y10" s="37">
        <f t="shared" si="3"/>
        <v>0.24675571671608426</v>
      </c>
      <c r="Z10" s="37">
        <f t="shared" si="4"/>
        <v>2.4854475666882432E-2</v>
      </c>
      <c r="AA10" s="37">
        <f t="shared" si="5"/>
        <v>6.1766460869215551E-3</v>
      </c>
      <c r="AB10" s="37">
        <f t="shared" si="6"/>
        <v>2.3904263492060824E-4</v>
      </c>
      <c r="AC10" s="37">
        <f t="shared" si="7"/>
        <v>1.180172230047059E-3</v>
      </c>
      <c r="AD10" s="37">
        <f t="shared" si="8"/>
        <v>2.8148408381645224E-4</v>
      </c>
    </row>
    <row r="11" spans="1:30" x14ac:dyDescent="0.25">
      <c r="A11" s="161" t="s">
        <v>46</v>
      </c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4">
        <f>SUM(X3:X10)</f>
        <v>3.7847603859196246</v>
      </c>
      <c r="Y11" s="14">
        <f t="shared" ref="Y11:AD11" si="9">SUM(Y3:Y10)</f>
        <v>1.0768702583595113</v>
      </c>
      <c r="Z11" s="14">
        <f t="shared" si="9"/>
        <v>0.10846778339721946</v>
      </c>
      <c r="AA11" s="14">
        <f t="shared" si="9"/>
        <v>2.6955592178120016E-2</v>
      </c>
      <c r="AB11" s="14">
        <f t="shared" si="9"/>
        <v>1.0432094844719541E-3</v>
      </c>
      <c r="AC11" s="14">
        <f t="shared" si="9"/>
        <v>5.1504070146499532E-3</v>
      </c>
      <c r="AD11" s="14">
        <f t="shared" si="9"/>
        <v>1.2284288368171164E-3</v>
      </c>
    </row>
    <row r="12" spans="1:30" ht="15" customHeight="1" x14ac:dyDescent="0.25">
      <c r="H12" s="124"/>
      <c r="I12" s="124"/>
      <c r="K12" s="30"/>
      <c r="L12" s="30"/>
    </row>
  </sheetData>
  <sheetProtection password="B056" sheet="1" objects="1" scenarios="1"/>
  <mergeCells count="17">
    <mergeCell ref="A11:W11"/>
    <mergeCell ref="A1:A2"/>
    <mergeCell ref="B1:B2"/>
    <mergeCell ref="C1:C2"/>
    <mergeCell ref="D1:D2"/>
    <mergeCell ref="E1:E2"/>
    <mergeCell ref="F1:F2"/>
    <mergeCell ref="G1:G2"/>
    <mergeCell ref="X1:AD1"/>
    <mergeCell ref="H1:H2"/>
    <mergeCell ref="I1:I2"/>
    <mergeCell ref="J1:J2"/>
    <mergeCell ref="K1:K2"/>
    <mergeCell ref="N1:P1"/>
    <mergeCell ref="Q1:W1"/>
    <mergeCell ref="M1:M2"/>
    <mergeCell ref="L1:L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3" sqref="B3"/>
    </sheetView>
  </sheetViews>
  <sheetFormatPr defaultRowHeight="15" customHeight="1" x14ac:dyDescent="0.25"/>
  <cols>
    <col min="1" max="1" width="19.42578125" style="2" customWidth="1"/>
    <col min="2" max="16384" width="9.140625" style="2"/>
  </cols>
  <sheetData>
    <row r="1" spans="1:9" ht="15" customHeight="1" x14ac:dyDescent="0.25">
      <c r="A1" s="236" t="s">
        <v>147</v>
      </c>
      <c r="B1" s="226" t="s">
        <v>1</v>
      </c>
      <c r="C1" s="227"/>
      <c r="D1" s="227"/>
      <c r="E1" s="227"/>
      <c r="F1" s="227"/>
      <c r="G1" s="227"/>
      <c r="H1" s="227"/>
    </row>
    <row r="2" spans="1:9" ht="15" customHeight="1" x14ac:dyDescent="0.25">
      <c r="A2" s="236"/>
      <c r="B2" s="5" t="s">
        <v>2</v>
      </c>
      <c r="C2" s="5" t="s">
        <v>3</v>
      </c>
      <c r="D2" s="5" t="s">
        <v>20</v>
      </c>
      <c r="E2" s="5" t="s">
        <v>5</v>
      </c>
      <c r="F2" s="5" t="s">
        <v>6</v>
      </c>
      <c r="G2" s="5" t="s">
        <v>4</v>
      </c>
      <c r="H2" s="5" t="s">
        <v>249</v>
      </c>
    </row>
    <row r="3" spans="1:9" ht="15" customHeight="1" x14ac:dyDescent="0.25">
      <c r="A3" s="2" t="s">
        <v>142</v>
      </c>
      <c r="B3" s="8">
        <f>'Emissão Perfuração e Detonação'!I4+'Emissão Perfuração e Detonação'!H9</f>
        <v>1.2684440544485214E-2</v>
      </c>
      <c r="C3" s="8">
        <f>'Emissão Perfuração e Detonação'!J4+'Emissão Perfuração e Detonação'!I9</f>
        <v>6.6574542886117631E-3</v>
      </c>
      <c r="D3" s="138">
        <f>'Emissão Perfuração e Detonação'!K4+'Emissão Perfuração e Detonação'!J9</f>
        <v>3.8053321633455634E-4</v>
      </c>
      <c r="E3" s="8">
        <f>'Emissão Perfuração e Detonação'!K9</f>
        <v>1.643835616438356E-2</v>
      </c>
      <c r="F3" s="138">
        <f>'Emissão Perfuração e Detonação'!L9</f>
        <v>2.054794520547945E-3</v>
      </c>
      <c r="G3" s="8">
        <f>'Emissão Perfuração e Detonação'!M9</f>
        <v>0.88767123287671235</v>
      </c>
      <c r="H3" s="8">
        <f>'Emissão Perfuração e Detonação'!N9</f>
        <v>0.12534246575342467</v>
      </c>
    </row>
    <row r="4" spans="1:9" ht="15" customHeight="1" x14ac:dyDescent="0.25">
      <c r="A4" s="2" t="s">
        <v>122</v>
      </c>
      <c r="B4" s="8">
        <f>'Emissão Transferências'!K18</f>
        <v>1.6775001957751279</v>
      </c>
      <c r="C4" s="8">
        <f>'Emissão Transferências'!L18</f>
        <v>0.79341225475850619</v>
      </c>
      <c r="D4" s="8">
        <f>'Emissão Transferências'!M18</f>
        <v>0.12014528429200239</v>
      </c>
      <c r="E4" s="28" t="s">
        <v>149</v>
      </c>
      <c r="F4" s="138" t="s">
        <v>149</v>
      </c>
      <c r="G4" s="28" t="s">
        <v>149</v>
      </c>
      <c r="H4" s="28" t="s">
        <v>149</v>
      </c>
    </row>
    <row r="5" spans="1:9" ht="15" customHeight="1" x14ac:dyDescent="0.25">
      <c r="A5" s="2" t="s">
        <v>143</v>
      </c>
      <c r="B5" s="8">
        <f>'Emissão Maq e Equip'!I8</f>
        <v>2.5464803519235111E-2</v>
      </c>
      <c r="C5" s="8">
        <f>'Emissão Maq e Equip'!J8</f>
        <v>2.5464803519235111E-2</v>
      </c>
      <c r="D5" s="8">
        <f>'Emissão Maq e Equip'!K8</f>
        <v>2.5464803519235111E-2</v>
      </c>
      <c r="E5" s="8">
        <f>'Emissão Maq e Equip'!L8</f>
        <v>0.66687979623465843</v>
      </c>
      <c r="F5" s="138">
        <f>'Emissão Maq e Equip'!M8</f>
        <v>2.5233738324178818E-3</v>
      </c>
      <c r="G5" s="8">
        <f>'Emissão Maq e Equip'!N8</f>
        <v>0.19406643822166703</v>
      </c>
      <c r="H5" s="8">
        <f>'Emissão Maq e Equip'!O8</f>
        <v>6.4512348538047617E-2</v>
      </c>
    </row>
    <row r="6" spans="1:9" ht="15" customHeight="1" x14ac:dyDescent="0.25">
      <c r="A6" s="2" t="s">
        <v>144</v>
      </c>
      <c r="B6" s="8">
        <f>'Emissão Britagem e Peneiramento'!J6+'Emissão Britagem e Peneiramento'!J12</f>
        <v>0.4088570555936073</v>
      </c>
      <c r="C6" s="8">
        <f>'Emissão Britagem e Peneiramento'!K6+'Emissão Britagem e Peneiramento'!K12</f>
        <v>0.14772128995433789</v>
      </c>
      <c r="D6" s="8">
        <f>'Emissão Britagem e Peneiramento'!L6+'Emissão Britagem e Peneiramento'!L12</f>
        <v>1.366294462956107E-2</v>
      </c>
      <c r="E6" s="28" t="s">
        <v>149</v>
      </c>
      <c r="F6" s="28" t="s">
        <v>149</v>
      </c>
      <c r="G6" s="28" t="s">
        <v>149</v>
      </c>
      <c r="H6" s="28" t="s">
        <v>149</v>
      </c>
    </row>
    <row r="7" spans="1:9" ht="15" customHeight="1" x14ac:dyDescent="0.25">
      <c r="A7" s="2" t="s">
        <v>145</v>
      </c>
      <c r="B7" s="8">
        <f>'Emissão Vias '!X11</f>
        <v>3.7847603859196246</v>
      </c>
      <c r="C7" s="8">
        <f>'Emissão Vias '!Y11</f>
        <v>1.0768702583595113</v>
      </c>
      <c r="D7" s="8">
        <f>'Emissão Vias '!Z11</f>
        <v>0.10846778339721946</v>
      </c>
      <c r="E7" s="8">
        <f>'Emissão Vias '!AA11</f>
        <v>2.6955592178120016E-2</v>
      </c>
      <c r="F7" s="138">
        <f>'Emissão Vias '!AB11</f>
        <v>1.0432094844719541E-3</v>
      </c>
      <c r="G7" s="8">
        <f>'Emissão Vias '!AC11</f>
        <v>5.1504070146499532E-3</v>
      </c>
      <c r="H7" s="138">
        <f>'Emissão Vias '!AD11</f>
        <v>1.2284288368171164E-3</v>
      </c>
    </row>
    <row r="8" spans="1:9" ht="15" customHeight="1" x14ac:dyDescent="0.25">
      <c r="A8" s="2" t="s">
        <v>146</v>
      </c>
      <c r="B8" s="158">
        <v>0.54377696415451615</v>
      </c>
      <c r="C8" s="158">
        <v>0.27188848207725808</v>
      </c>
      <c r="D8" s="158">
        <v>4.0783272311588709E-2</v>
      </c>
      <c r="E8" s="28" t="s">
        <v>149</v>
      </c>
      <c r="F8" s="28" t="s">
        <v>149</v>
      </c>
      <c r="G8" s="28" t="s">
        <v>149</v>
      </c>
      <c r="H8" s="28" t="s">
        <v>149</v>
      </c>
    </row>
    <row r="9" spans="1:9" ht="15" customHeight="1" x14ac:dyDescent="0.25">
      <c r="A9" s="79" t="s">
        <v>248</v>
      </c>
      <c r="B9" s="14">
        <f>SUM(B3:B8)</f>
        <v>6.4530438455065964</v>
      </c>
      <c r="C9" s="14">
        <f>SUM(C3:C8)</f>
        <v>2.3220145429574606</v>
      </c>
      <c r="D9" s="14">
        <f t="shared" ref="D9:G9" si="0">SUM(D3:D8)</f>
        <v>0.30890462136594132</v>
      </c>
      <c r="E9" s="14">
        <f t="shared" si="0"/>
        <v>0.71027374457716208</v>
      </c>
      <c r="F9" s="14">
        <f>SUM(F3:F8)</f>
        <v>5.6213778374377809E-3</v>
      </c>
      <c r="G9" s="14">
        <f t="shared" si="0"/>
        <v>1.0868880781130295</v>
      </c>
      <c r="H9" s="14">
        <f>SUM(H3:H8)</f>
        <v>0.19108324312828939</v>
      </c>
      <c r="I9" s="54"/>
    </row>
    <row r="11" spans="1:9" ht="15" customHeight="1" x14ac:dyDescent="0.25">
      <c r="A11" s="2" t="s">
        <v>254</v>
      </c>
    </row>
  </sheetData>
  <sheetProtection password="B056" sheet="1" objects="1" scenarios="1"/>
  <mergeCells count="2">
    <mergeCell ref="B1:H1"/>
    <mergeCell ref="A1:A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selection activeCell="H8" sqref="H8"/>
    </sheetView>
  </sheetViews>
  <sheetFormatPr defaultRowHeight="15" x14ac:dyDescent="0.25"/>
  <cols>
    <col min="1" max="2" width="17.140625" customWidth="1"/>
    <col min="3" max="3" width="18.7109375" customWidth="1"/>
    <col min="4" max="4" width="18.28515625" customWidth="1"/>
  </cols>
  <sheetData>
    <row r="1" spans="1:9" ht="23.25" customHeight="1" x14ac:dyDescent="0.25">
      <c r="A1" s="162" t="s">
        <v>229</v>
      </c>
      <c r="B1" s="162"/>
      <c r="C1" s="162"/>
      <c r="D1" s="162"/>
      <c r="E1" s="162"/>
      <c r="F1" s="162"/>
      <c r="G1" s="162"/>
      <c r="H1" s="162"/>
      <c r="I1" s="59"/>
    </row>
    <row r="2" spans="1:9" ht="26.25" customHeight="1" x14ac:dyDescent="0.25">
      <c r="A2" s="164" t="s">
        <v>115</v>
      </c>
      <c r="B2" s="164"/>
      <c r="C2" s="164"/>
      <c r="D2" s="164"/>
    </row>
    <row r="3" spans="1:9" x14ac:dyDescent="0.25">
      <c r="A3" s="163" t="s">
        <v>116</v>
      </c>
      <c r="B3" s="163"/>
      <c r="C3" s="163"/>
      <c r="D3" s="163"/>
    </row>
    <row r="4" spans="1:9" x14ac:dyDescent="0.25">
      <c r="A4" s="166" t="s">
        <v>43</v>
      </c>
      <c r="B4" s="166"/>
      <c r="C4" s="166" t="s">
        <v>102</v>
      </c>
      <c r="D4" s="166"/>
    </row>
    <row r="5" spans="1:9" x14ac:dyDescent="0.25">
      <c r="A5" s="167" t="s">
        <v>103</v>
      </c>
      <c r="B5" s="167"/>
      <c r="C5" s="113" t="s">
        <v>2</v>
      </c>
      <c r="D5" s="113" t="s">
        <v>183</v>
      </c>
    </row>
    <row r="6" spans="1:9" x14ac:dyDescent="0.25">
      <c r="A6" s="167"/>
      <c r="B6" s="167"/>
      <c r="C6" s="40">
        <v>0.59</v>
      </c>
      <c r="D6" s="40">
        <v>0.31</v>
      </c>
    </row>
    <row r="8" spans="1:9" x14ac:dyDescent="0.25">
      <c r="A8" s="163" t="s">
        <v>104</v>
      </c>
      <c r="B8" s="163"/>
      <c r="C8" s="163"/>
      <c r="D8" s="163"/>
    </row>
    <row r="9" spans="1:9" ht="21.75" customHeight="1" x14ac:dyDescent="0.25">
      <c r="A9" s="164" t="s">
        <v>105</v>
      </c>
      <c r="B9" s="164"/>
      <c r="C9" s="164"/>
      <c r="D9" s="164"/>
    </row>
    <row r="10" spans="1:9" x14ac:dyDescent="0.25">
      <c r="A10" s="50" t="s">
        <v>43</v>
      </c>
      <c r="B10" s="165" t="s">
        <v>106</v>
      </c>
      <c r="C10" s="165"/>
      <c r="D10" s="165"/>
    </row>
    <row r="11" spans="1:9" x14ac:dyDescent="0.25">
      <c r="A11" s="169" t="s">
        <v>107</v>
      </c>
      <c r="B11" s="113" t="s">
        <v>2</v>
      </c>
      <c r="C11" s="113" t="s">
        <v>183</v>
      </c>
      <c r="D11" s="111" t="s">
        <v>184</v>
      </c>
    </row>
    <row r="12" spans="1:9" ht="26.25" customHeight="1" x14ac:dyDescent="0.25">
      <c r="A12" s="169"/>
    </row>
    <row r="13" spans="1:9" ht="19.5" customHeight="1" x14ac:dyDescent="0.25">
      <c r="A13" s="61" t="s">
        <v>120</v>
      </c>
      <c r="B13" s="168" t="s">
        <v>119</v>
      </c>
      <c r="C13" s="168"/>
      <c r="D13" s="168"/>
    </row>
    <row r="15" spans="1:9" x14ac:dyDescent="0.25">
      <c r="A15" s="1" t="s">
        <v>157</v>
      </c>
      <c r="F15" s="46"/>
    </row>
    <row r="16" spans="1:9" x14ac:dyDescent="0.25">
      <c r="A16" s="172" t="s">
        <v>158</v>
      </c>
      <c r="B16" s="173"/>
      <c r="C16" s="173"/>
      <c r="D16" s="173"/>
      <c r="E16" s="173"/>
      <c r="F16" s="12"/>
      <c r="G16" s="12"/>
    </row>
    <row r="17" spans="1:7" ht="15" customHeight="1" x14ac:dyDescent="0.25">
      <c r="A17" s="174" t="s">
        <v>159</v>
      </c>
      <c r="B17" s="175"/>
      <c r="C17" s="175"/>
      <c r="D17" s="175"/>
      <c r="E17" s="175"/>
      <c r="F17" s="139"/>
      <c r="G17" s="139"/>
    </row>
    <row r="18" spans="1:7" x14ac:dyDescent="0.25">
      <c r="A18" s="170" t="s">
        <v>108</v>
      </c>
      <c r="B18" s="176" t="s">
        <v>109</v>
      </c>
      <c r="C18" s="177"/>
      <c r="D18" s="177"/>
      <c r="E18" s="177"/>
      <c r="F18" s="140"/>
      <c r="G18" s="140"/>
    </row>
    <row r="19" spans="1:7" x14ac:dyDescent="0.25">
      <c r="A19" s="171"/>
      <c r="B19" s="119" t="s">
        <v>4</v>
      </c>
      <c r="C19" s="113" t="s">
        <v>110</v>
      </c>
      <c r="D19" s="113" t="s">
        <v>185</v>
      </c>
      <c r="E19" s="113" t="s">
        <v>220</v>
      </c>
      <c r="F19" s="113"/>
    </row>
    <row r="20" spans="1:7" x14ac:dyDescent="0.25">
      <c r="A20" s="114" t="s">
        <v>182</v>
      </c>
      <c r="B20" s="114">
        <v>34</v>
      </c>
      <c r="C20" s="112">
        <v>8</v>
      </c>
      <c r="D20" s="112">
        <v>1</v>
      </c>
      <c r="E20" s="114" t="s">
        <v>149</v>
      </c>
      <c r="F20" s="114"/>
    </row>
    <row r="21" spans="1:7" x14ac:dyDescent="0.25">
      <c r="A21" s="114" t="s">
        <v>219</v>
      </c>
      <c r="B21" s="114">
        <v>398</v>
      </c>
      <c r="C21" s="133" t="s">
        <v>149</v>
      </c>
      <c r="D21" s="133" t="s">
        <v>149</v>
      </c>
      <c r="E21" s="141">
        <v>61</v>
      </c>
      <c r="F21" s="142"/>
    </row>
  </sheetData>
  <sheetProtection password="B056" sheet="1" objects="1" scenarios="1"/>
  <mergeCells count="15">
    <mergeCell ref="B13:D13"/>
    <mergeCell ref="A11:A12"/>
    <mergeCell ref="A18:A19"/>
    <mergeCell ref="A16:E16"/>
    <mergeCell ref="A17:E17"/>
    <mergeCell ref="B18:E18"/>
    <mergeCell ref="A1:H1"/>
    <mergeCell ref="A8:D8"/>
    <mergeCell ref="A9:D9"/>
    <mergeCell ref="B10:D10"/>
    <mergeCell ref="A2:D2"/>
    <mergeCell ref="A3:D3"/>
    <mergeCell ref="A4:B4"/>
    <mergeCell ref="C4:D4"/>
    <mergeCell ref="A5:B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3"/>
  <sheetViews>
    <sheetView topLeftCell="A22" workbookViewId="0">
      <selection activeCell="H34" sqref="H34"/>
    </sheetView>
  </sheetViews>
  <sheetFormatPr defaultRowHeight="15" x14ac:dyDescent="0.25"/>
  <cols>
    <col min="1" max="1" width="24.140625" customWidth="1"/>
    <col min="2" max="2" width="20.140625" customWidth="1"/>
    <col min="3" max="4" width="9.42578125" bestFit="1" customWidth="1"/>
    <col min="5" max="5" width="10.42578125" bestFit="1" customWidth="1"/>
    <col min="6" max="7" width="9.42578125" bestFit="1" customWidth="1"/>
    <col min="8" max="8" width="10.7109375" bestFit="1" customWidth="1"/>
    <col min="9" max="9" width="9.42578125" bestFit="1" customWidth="1"/>
    <col min="11" max="11" width="12.7109375" bestFit="1" customWidth="1"/>
  </cols>
  <sheetData>
    <row r="1" spans="1:19" x14ac:dyDescent="0.25">
      <c r="A1" s="2" t="s">
        <v>23</v>
      </c>
    </row>
    <row r="2" spans="1:19" x14ac:dyDescent="0.25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</row>
    <row r="3" spans="1:19" x14ac:dyDescent="0.25">
      <c r="A3" s="181" t="s">
        <v>170</v>
      </c>
      <c r="B3" s="1" t="s">
        <v>169</v>
      </c>
      <c r="C3" s="13">
        <v>3.2322108139984048E-3</v>
      </c>
      <c r="D3" s="13">
        <v>4.2106947860855962E-2</v>
      </c>
      <c r="E3" s="13">
        <v>5.0982821833507993E-5</v>
      </c>
      <c r="F3" s="13">
        <v>2.44296237259247E-2</v>
      </c>
      <c r="G3" s="13">
        <v>7.406122096332784E-3</v>
      </c>
      <c r="H3" s="13">
        <v>3.2763456592420059</v>
      </c>
      <c r="I3" s="13">
        <v>6.6824238571398277E-4</v>
      </c>
    </row>
    <row r="4" spans="1:19" x14ac:dyDescent="0.25">
      <c r="A4" s="162"/>
      <c r="B4" s="1" t="s">
        <v>171</v>
      </c>
      <c r="C4" s="13">
        <v>5.1306927409409909E-3</v>
      </c>
      <c r="D4" s="13">
        <v>6.6826269580313083E-2</v>
      </c>
      <c r="E4" s="13">
        <v>8.3141222912255138E-5</v>
      </c>
      <c r="F4" s="13">
        <v>4.2365489267518895E-2</v>
      </c>
      <c r="G4" s="13">
        <v>1.7049873280994984E-2</v>
      </c>
      <c r="H4" s="13">
        <v>6.5526915280652185</v>
      </c>
      <c r="I4" s="13">
        <v>1.5383829601883824E-3</v>
      </c>
    </row>
    <row r="5" spans="1:19" x14ac:dyDescent="0.25">
      <c r="A5" s="162"/>
      <c r="B5" s="1" t="s">
        <v>172</v>
      </c>
      <c r="C5" s="13">
        <v>1.3146433794581545E-2</v>
      </c>
      <c r="D5" s="13">
        <v>0.11194040416687867</v>
      </c>
      <c r="E5" s="13">
        <v>1.3059450897330303E-4</v>
      </c>
      <c r="F5" s="13">
        <v>0.13304800358754459</v>
      </c>
      <c r="G5" s="13">
        <v>5.9241181033438672E-2</v>
      </c>
      <c r="H5" s="13">
        <v>10.102066687028209</v>
      </c>
      <c r="I5" s="13">
        <v>5.3452360090543126E-3</v>
      </c>
    </row>
    <row r="6" spans="1:19" x14ac:dyDescent="0.25">
      <c r="A6" s="162"/>
      <c r="B6" s="1" t="s">
        <v>173</v>
      </c>
      <c r="C6" s="13">
        <v>2.6813322961792532E-2</v>
      </c>
      <c r="D6" s="13">
        <v>0.30670744242455611</v>
      </c>
      <c r="E6" s="13">
        <v>2.4981591262334475E-4</v>
      </c>
      <c r="F6" s="13">
        <v>0.15491257077323217</v>
      </c>
      <c r="G6" s="13">
        <v>5.2543635077938841E-2</v>
      </c>
      <c r="H6" s="13">
        <v>21.296249335135965</v>
      </c>
      <c r="I6" s="13">
        <v>4.74092860952177E-3</v>
      </c>
    </row>
    <row r="7" spans="1:19" x14ac:dyDescent="0.25">
      <c r="A7" s="162"/>
      <c r="B7" s="1" t="s">
        <v>174</v>
      </c>
      <c r="C7" s="13">
        <v>2.7876138744831733E-2</v>
      </c>
      <c r="D7" s="13">
        <v>0.52063653312185976</v>
      </c>
      <c r="E7" s="13">
        <v>4.5159021758357266E-4</v>
      </c>
      <c r="F7" s="13">
        <v>0.23361187679212775</v>
      </c>
      <c r="G7" s="13">
        <v>6.5065908817847115E-2</v>
      </c>
      <c r="H7" s="13">
        <v>40.135234200522738</v>
      </c>
      <c r="I7" s="13">
        <v>5.87079126520129E-3</v>
      </c>
    </row>
    <row r="8" spans="1:19" x14ac:dyDescent="0.25">
      <c r="A8" s="162"/>
      <c r="B8" s="1" t="s">
        <v>175</v>
      </c>
      <c r="C8" s="13">
        <v>2.5244003826035952E-2</v>
      </c>
      <c r="D8" s="13">
        <v>0.72586061221027676</v>
      </c>
      <c r="E8" s="13">
        <v>6.6970521474906633E-4</v>
      </c>
      <c r="F8" s="13">
        <v>0.18464803194275684</v>
      </c>
      <c r="G8" s="13">
        <v>6.6178391788947341E-2</v>
      </c>
      <c r="H8" s="13">
        <v>59.520288417238831</v>
      </c>
      <c r="I8" s="13">
        <v>5.9711693283208056E-3</v>
      </c>
    </row>
    <row r="9" spans="1:19" x14ac:dyDescent="0.25">
      <c r="A9" s="162"/>
      <c r="B9" s="1" t="s">
        <v>176</v>
      </c>
      <c r="C9" s="13">
        <v>4.0336893638497413E-2</v>
      </c>
      <c r="D9" s="13">
        <v>1.1550622204087213</v>
      </c>
      <c r="E9" s="13">
        <v>1.0317483647754638E-3</v>
      </c>
      <c r="F9" s="13">
        <v>0.402121481260656</v>
      </c>
      <c r="G9" s="13">
        <v>0.10379006070058584</v>
      </c>
      <c r="H9" s="13">
        <v>105.11607445800242</v>
      </c>
      <c r="I9" s="13">
        <v>9.3648131187621733E-3</v>
      </c>
    </row>
    <row r="10" spans="1:19" x14ac:dyDescent="0.25">
      <c r="A10" s="162"/>
      <c r="B10" s="1" t="s">
        <v>177</v>
      </c>
      <c r="C10" s="13">
        <v>6.3070895391913226E-2</v>
      </c>
      <c r="D10" s="13">
        <v>1.8271352034139363</v>
      </c>
      <c r="E10" s="13">
        <v>1.6334111645882291E-3</v>
      </c>
      <c r="F10" s="13">
        <v>0.62146053800405066</v>
      </c>
      <c r="G10" s="13">
        <v>0.16360061921108895</v>
      </c>
      <c r="H10" s="13">
        <v>162.45211987921547</v>
      </c>
      <c r="I10" s="13">
        <v>1.4761417941113899E-2</v>
      </c>
    </row>
    <row r="11" spans="1:19" x14ac:dyDescent="0.25">
      <c r="A11" s="182"/>
      <c r="B11" s="1" t="s">
        <v>178</v>
      </c>
      <c r="C11" s="13">
        <v>9.3152616900510174E-2</v>
      </c>
      <c r="D11" s="13">
        <v>2.9667547625680761</v>
      </c>
      <c r="E11" s="13">
        <v>2.2181451500109589E-3</v>
      </c>
      <c r="F11" s="13">
        <v>1.0548781528439892</v>
      </c>
      <c r="G11" s="13">
        <v>0.27339190958132426</v>
      </c>
      <c r="H11" s="13">
        <v>220.6072646305698</v>
      </c>
      <c r="I11" s="13">
        <v>2.4667714018573181E-2</v>
      </c>
    </row>
    <row r="12" spans="1:19" s="46" customFormat="1" x14ac:dyDescent="0.25">
      <c r="A12" s="183" t="s">
        <v>90</v>
      </c>
      <c r="B12" s="47" t="s">
        <v>91</v>
      </c>
      <c r="C12" s="82">
        <v>3.9890165496478201E-3</v>
      </c>
      <c r="D12" s="82">
        <v>6.1369251319822266E-2</v>
      </c>
      <c r="E12" s="82">
        <v>9.4616446621996876E-5</v>
      </c>
      <c r="F12" s="82">
        <v>3.0704922620167548E-2</v>
      </c>
      <c r="G12" s="82">
        <v>9.325230578523698E-3</v>
      </c>
      <c r="H12" s="82">
        <v>7.4570981157761267</v>
      </c>
      <c r="I12" s="82">
        <v>8.4140057334345904E-4</v>
      </c>
    </row>
    <row r="13" spans="1:19" s="46" customFormat="1" x14ac:dyDescent="0.25">
      <c r="A13" s="184"/>
      <c r="B13" s="47" t="s">
        <v>92</v>
      </c>
      <c r="C13" s="82">
        <v>1.5482138027073926E-2</v>
      </c>
      <c r="D13" s="82">
        <v>0.12602279653815557</v>
      </c>
      <c r="E13" s="82">
        <v>1.4669823419588148E-4</v>
      </c>
      <c r="F13" s="82">
        <v>0.15992567973540345</v>
      </c>
      <c r="G13" s="82">
        <v>6.8514240153494874E-2</v>
      </c>
      <c r="H13" s="82">
        <v>11.347760681124397</v>
      </c>
      <c r="I13" s="82">
        <v>6.1819292303150449E-3</v>
      </c>
      <c r="L13" s="81"/>
      <c r="M13" s="16"/>
      <c r="N13" s="16"/>
      <c r="O13" s="16"/>
      <c r="P13" s="16"/>
      <c r="Q13" s="16"/>
      <c r="R13" s="16"/>
      <c r="S13" s="16"/>
    </row>
    <row r="14" spans="1:19" s="46" customFormat="1" x14ac:dyDescent="0.25">
      <c r="A14" s="184"/>
      <c r="B14" s="47" t="s">
        <v>93</v>
      </c>
      <c r="C14" s="82">
        <v>4.3689955953397884E-2</v>
      </c>
      <c r="D14" s="82">
        <v>0.46744735992116221</v>
      </c>
      <c r="E14" s="82">
        <v>3.9173850602458582E-4</v>
      </c>
      <c r="F14" s="82">
        <v>0.24966648844319658</v>
      </c>
      <c r="G14" s="82">
        <v>8.1017998911048009E-2</v>
      </c>
      <c r="H14" s="82">
        <v>33.394826528703661</v>
      </c>
      <c r="I14" s="82">
        <v>7.3101241308548672E-3</v>
      </c>
      <c r="L14" s="81"/>
      <c r="M14" s="16"/>
      <c r="N14" s="16"/>
      <c r="O14" s="16"/>
      <c r="P14" s="16"/>
      <c r="Q14" s="16"/>
      <c r="R14" s="16"/>
      <c r="S14" s="16"/>
    </row>
    <row r="15" spans="1:19" s="46" customFormat="1" x14ac:dyDescent="0.25">
      <c r="A15" s="184"/>
      <c r="B15" s="47" t="s">
        <v>94</v>
      </c>
      <c r="C15" s="82">
        <v>3.6023154684608628E-2</v>
      </c>
      <c r="D15" s="82">
        <v>0.63034815463312366</v>
      </c>
      <c r="E15" s="82">
        <v>5.7274397999067218E-4</v>
      </c>
      <c r="F15" s="82">
        <v>0.30652652990664653</v>
      </c>
      <c r="G15" s="82">
        <v>8.1297557226803041E-2</v>
      </c>
      <c r="H15" s="82">
        <v>50.902804870404331</v>
      </c>
      <c r="I15" s="82">
        <v>7.3353490732738606E-3</v>
      </c>
      <c r="L15" s="84"/>
      <c r="M15" s="84"/>
      <c r="N15" s="84"/>
      <c r="O15" s="84"/>
      <c r="P15" s="84"/>
      <c r="Q15" s="84"/>
      <c r="R15" s="84"/>
      <c r="S15" s="84"/>
    </row>
    <row r="16" spans="1:19" s="46" customFormat="1" x14ac:dyDescent="0.25">
      <c r="A16" s="184"/>
      <c r="B16" s="47" t="s">
        <v>95</v>
      </c>
      <c r="C16" s="82">
        <v>2.9088427954342536E-2</v>
      </c>
      <c r="D16" s="82">
        <v>0.84182054273419638</v>
      </c>
      <c r="E16" s="82">
        <v>8.0986730271663749E-4</v>
      </c>
      <c r="F16" s="82">
        <v>0.21055843242538708</v>
      </c>
      <c r="G16" s="82">
        <v>7.8277754706101627E-2</v>
      </c>
      <c r="H16" s="82">
        <v>71.977225347554125</v>
      </c>
      <c r="I16" s="82">
        <v>7.0628741220007361E-3</v>
      </c>
      <c r="L16" s="84"/>
      <c r="M16" s="84"/>
      <c r="N16" s="84"/>
      <c r="O16" s="84"/>
      <c r="P16" s="84"/>
      <c r="Q16" s="84"/>
      <c r="R16" s="84"/>
      <c r="S16" s="84"/>
    </row>
    <row r="17" spans="1:19" s="46" customFormat="1" x14ac:dyDescent="0.25">
      <c r="A17" s="184"/>
      <c r="B17" s="47" t="s">
        <v>96</v>
      </c>
      <c r="C17" s="13">
        <v>3.8897927506608358E-2</v>
      </c>
      <c r="D17" s="13">
        <v>1.0799749312549003</v>
      </c>
      <c r="E17" s="13">
        <v>1.0406255490298018E-3</v>
      </c>
      <c r="F17" s="13">
        <v>0.34712417522482392</v>
      </c>
      <c r="G17" s="13">
        <v>0.1040828387327908</v>
      </c>
      <c r="H17" s="13">
        <v>106.02050023214386</v>
      </c>
      <c r="I17" s="13">
        <v>9.3912260611923714E-3</v>
      </c>
      <c r="L17" s="84"/>
      <c r="M17" s="84"/>
      <c r="N17" s="84"/>
      <c r="O17" s="84"/>
      <c r="P17" s="84"/>
      <c r="Q17" s="84"/>
      <c r="R17" s="84"/>
      <c r="S17" s="84"/>
    </row>
    <row r="18" spans="1:19" s="46" customFormat="1" x14ac:dyDescent="0.25">
      <c r="A18" s="185"/>
      <c r="B18" s="47" t="s">
        <v>97</v>
      </c>
      <c r="C18" s="13">
        <v>6.5509575064624348E-2</v>
      </c>
      <c r="D18" s="13">
        <v>1.848764979398662</v>
      </c>
      <c r="E18" s="13">
        <v>1.7668986494167919E-3</v>
      </c>
      <c r="F18" s="13">
        <v>0.57357271429451673</v>
      </c>
      <c r="G18" s="13">
        <v>0.17421540945270575</v>
      </c>
      <c r="H18" s="13">
        <v>175.7281803441501</v>
      </c>
      <c r="I18" s="13">
        <v>1.5719177508701557E-2</v>
      </c>
      <c r="L18" s="84"/>
      <c r="M18" s="84"/>
      <c r="N18" s="84"/>
      <c r="O18" s="84"/>
      <c r="P18" s="84"/>
      <c r="Q18" s="84"/>
      <c r="R18" s="84"/>
      <c r="S18" s="84"/>
    </row>
    <row r="19" spans="1:19" x14ac:dyDescent="0.25">
      <c r="A19" s="181" t="s">
        <v>25</v>
      </c>
      <c r="B19" s="15" t="s">
        <v>26</v>
      </c>
      <c r="C19" s="82">
        <v>4.1647481574952775E-3</v>
      </c>
      <c r="D19" s="82">
        <v>6.5318933034944765E-2</v>
      </c>
      <c r="E19" s="82">
        <v>9.7431139391112798E-5</v>
      </c>
      <c r="F19" s="82">
        <v>3.2117661168667613E-2</v>
      </c>
      <c r="G19" s="82">
        <v>1.0013560541894806E-2</v>
      </c>
      <c r="H19" s="82">
        <v>7.6789363702976381</v>
      </c>
      <c r="I19" s="82">
        <v>9.0350737078986789E-4</v>
      </c>
      <c r="J19" s="16"/>
      <c r="K19" s="16"/>
      <c r="L19" s="83"/>
      <c r="M19" s="84"/>
      <c r="N19" s="84"/>
      <c r="O19" s="84"/>
      <c r="P19" s="84"/>
      <c r="Q19" s="84"/>
      <c r="R19" s="84"/>
      <c r="S19" s="84"/>
    </row>
    <row r="20" spans="1:19" x14ac:dyDescent="0.25">
      <c r="A20" s="162"/>
      <c r="B20" s="15" t="s">
        <v>27</v>
      </c>
      <c r="C20" s="82">
        <v>1.9389461005136124E-2</v>
      </c>
      <c r="D20" s="82">
        <v>0.15850781980120351</v>
      </c>
      <c r="E20" s="82">
        <v>1.8265581631205882E-4</v>
      </c>
      <c r="F20" s="82">
        <v>0.19953638186759515</v>
      </c>
      <c r="G20" s="82">
        <v>8.7889870552575564E-2</v>
      </c>
      <c r="H20" s="82">
        <v>14.129238189499569</v>
      </c>
      <c r="I20" s="82">
        <v>7.9301638618412291E-3</v>
      </c>
      <c r="L20" s="84"/>
      <c r="M20" s="84"/>
      <c r="N20" s="84"/>
      <c r="O20" s="84"/>
      <c r="P20" s="84"/>
      <c r="Q20" s="84"/>
      <c r="R20" s="84"/>
      <c r="S20" s="84"/>
    </row>
    <row r="21" spans="1:19" x14ac:dyDescent="0.25">
      <c r="A21" s="162"/>
      <c r="B21" s="15" t="s">
        <v>28</v>
      </c>
      <c r="C21" s="82">
        <v>3.5159649405128737E-2</v>
      </c>
      <c r="D21" s="82">
        <v>0.39013010201093185</v>
      </c>
      <c r="E21" s="82">
        <v>3.1347091665644508E-4</v>
      </c>
      <c r="F21" s="82">
        <v>0.2004419223709539</v>
      </c>
      <c r="G21" s="82">
        <v>6.7138814469940591E-2</v>
      </c>
      <c r="H21" s="82">
        <v>26.722695910514073</v>
      </c>
      <c r="I21" s="82">
        <v>6.0578280967871325E-3</v>
      </c>
      <c r="L21" s="84"/>
      <c r="M21" s="84"/>
      <c r="N21" s="84"/>
      <c r="O21" s="84"/>
      <c r="P21" s="84"/>
      <c r="Q21" s="84"/>
      <c r="R21" s="84"/>
      <c r="S21" s="84"/>
    </row>
    <row r="22" spans="1:19" x14ac:dyDescent="0.25">
      <c r="A22" s="162"/>
      <c r="B22" s="15" t="s">
        <v>29</v>
      </c>
      <c r="C22" s="82">
        <v>3.4873730864910753E-2</v>
      </c>
      <c r="D22" s="82">
        <v>0.62819014565488085</v>
      </c>
      <c r="E22" s="82">
        <v>5.4259968788077681E-4</v>
      </c>
      <c r="F22" s="82">
        <v>0.29143683660988179</v>
      </c>
      <c r="G22" s="82">
        <v>7.9806989940830519E-2</v>
      </c>
      <c r="H22" s="82">
        <v>48.223729179933819</v>
      </c>
      <c r="I22" s="82">
        <v>7.2008552575325378E-3</v>
      </c>
      <c r="L22" s="84"/>
      <c r="M22" s="84"/>
      <c r="N22" s="84"/>
      <c r="O22" s="84"/>
      <c r="P22" s="84"/>
      <c r="Q22" s="84"/>
      <c r="R22" s="84"/>
      <c r="S22" s="84"/>
    </row>
    <row r="23" spans="1:19" x14ac:dyDescent="0.25">
      <c r="A23" s="162"/>
      <c r="B23" s="15" t="s">
        <v>30</v>
      </c>
      <c r="C23" s="13">
        <v>3.101083119228833E-2</v>
      </c>
      <c r="D23" s="13">
        <v>0.83698143551687265</v>
      </c>
      <c r="E23" s="13">
        <v>7.6033040375300068E-4</v>
      </c>
      <c r="F23" s="13">
        <v>0.22495851814724077</v>
      </c>
      <c r="G23" s="13">
        <v>8.0781384871570633E-2</v>
      </c>
      <c r="H23" s="13">
        <v>67.57462749683539</v>
      </c>
      <c r="I23" s="13">
        <v>7.2887737155482657E-3</v>
      </c>
      <c r="L23" s="84"/>
      <c r="M23" s="84"/>
      <c r="N23" s="84"/>
      <c r="O23" s="84"/>
      <c r="P23" s="84"/>
      <c r="Q23" s="84"/>
      <c r="R23" s="84"/>
      <c r="S23" s="84"/>
    </row>
    <row r="24" spans="1:19" x14ac:dyDescent="0.25">
      <c r="A24" s="162"/>
      <c r="B24" s="15" t="s">
        <v>31</v>
      </c>
      <c r="C24" s="13">
        <v>4.4312637095619792E-2</v>
      </c>
      <c r="D24" s="13">
        <v>1.1811178567160983</v>
      </c>
      <c r="E24" s="13">
        <v>1.0551972934755545E-3</v>
      </c>
      <c r="F24" s="13">
        <v>0.44023160723795168</v>
      </c>
      <c r="G24" s="13">
        <v>0.11468313954524458</v>
      </c>
      <c r="H24" s="13">
        <v>107.50511325477065</v>
      </c>
      <c r="I24" s="13">
        <v>1.0347677695252593E-2</v>
      </c>
    </row>
    <row r="25" spans="1:19" x14ac:dyDescent="0.25">
      <c r="A25" s="162"/>
      <c r="B25" s="15" t="s">
        <v>32</v>
      </c>
      <c r="C25" s="13">
        <v>9.1699292295937748E-2</v>
      </c>
      <c r="D25" s="13">
        <v>2.4816495823931239</v>
      </c>
      <c r="E25" s="13">
        <v>2.2143711863278365E-3</v>
      </c>
      <c r="F25" s="13">
        <v>0.8977989810489746</v>
      </c>
      <c r="G25" s="13">
        <v>0.2376690359121682</v>
      </c>
      <c r="H25" s="13">
        <v>220.23193257962103</v>
      </c>
      <c r="I25" s="13">
        <v>2.1444490325478866E-2</v>
      </c>
    </row>
    <row r="26" spans="1:19" x14ac:dyDescent="0.25">
      <c r="A26" s="162"/>
      <c r="B26" s="15" t="s">
        <v>33</v>
      </c>
      <c r="C26" s="13">
        <v>0.11281698418835924</v>
      </c>
      <c r="D26" s="13">
        <v>3.6320533542247149</v>
      </c>
      <c r="E26" s="13">
        <v>2.708513011176045E-3</v>
      </c>
      <c r="F26" s="13">
        <v>1.2834306373108464</v>
      </c>
      <c r="G26" s="13">
        <v>0.33188731556128104</v>
      </c>
      <c r="H26" s="13">
        <v>269.37717766866973</v>
      </c>
      <c r="I26" s="13">
        <v>2.9945664738985911E-2</v>
      </c>
    </row>
    <row r="28" spans="1:19" x14ac:dyDescent="0.25">
      <c r="A28" s="186" t="s">
        <v>21</v>
      </c>
      <c r="B28" s="189"/>
      <c r="C28" s="190"/>
      <c r="D28" s="190"/>
      <c r="E28" s="191"/>
    </row>
    <row r="29" spans="1:19" x14ac:dyDescent="0.25">
      <c r="A29" s="187"/>
      <c r="B29" s="192"/>
      <c r="C29" s="193"/>
      <c r="D29" s="193"/>
      <c r="E29" s="194"/>
    </row>
    <row r="30" spans="1:19" x14ac:dyDescent="0.25">
      <c r="A30" s="187"/>
      <c r="B30" s="195"/>
      <c r="C30" s="196"/>
      <c r="D30" s="196"/>
      <c r="E30" s="197"/>
    </row>
    <row r="31" spans="1:19" x14ac:dyDescent="0.25">
      <c r="A31" s="187"/>
      <c r="B31" s="198" t="s">
        <v>22</v>
      </c>
      <c r="C31" s="199"/>
      <c r="D31" s="199"/>
      <c r="E31" s="200"/>
    </row>
    <row r="32" spans="1:19" x14ac:dyDescent="0.25">
      <c r="A32" s="187"/>
      <c r="B32" s="201"/>
      <c r="C32" s="202"/>
      <c r="D32" s="202"/>
      <c r="E32" s="203"/>
    </row>
    <row r="33" spans="1:6" x14ac:dyDescent="0.25">
      <c r="A33" s="187"/>
      <c r="B33" s="201"/>
      <c r="C33" s="202"/>
      <c r="D33" s="202"/>
      <c r="E33" s="203"/>
    </row>
    <row r="34" spans="1:6" x14ac:dyDescent="0.25">
      <c r="A34" s="188"/>
      <c r="B34" s="204"/>
      <c r="C34" s="205"/>
      <c r="D34" s="205"/>
      <c r="E34" s="206"/>
    </row>
    <row r="36" spans="1:6" x14ac:dyDescent="0.25">
      <c r="A36" s="2" t="s">
        <v>150</v>
      </c>
    </row>
    <row r="37" spans="1:6" x14ac:dyDescent="0.25">
      <c r="A37" s="2" t="s">
        <v>151</v>
      </c>
    </row>
    <row r="40" spans="1:6" ht="15" customHeight="1" x14ac:dyDescent="0.25">
      <c r="A40" s="146" t="s">
        <v>205</v>
      </c>
      <c r="B40" s="28">
        <v>0.85299999999999998</v>
      </c>
      <c r="C40" s="178" t="s">
        <v>209</v>
      </c>
      <c r="D40" s="179"/>
      <c r="E40" s="179"/>
      <c r="F40" s="180"/>
    </row>
    <row r="41" spans="1:6" x14ac:dyDescent="0.25">
      <c r="A41" s="146" t="s">
        <v>206</v>
      </c>
      <c r="B41" s="125">
        <v>500</v>
      </c>
      <c r="C41" s="143" t="s">
        <v>207</v>
      </c>
      <c r="D41" s="143" t="s">
        <v>4</v>
      </c>
      <c r="E41" s="143" t="s">
        <v>110</v>
      </c>
      <c r="F41" s="143" t="s">
        <v>2</v>
      </c>
    </row>
    <row r="42" spans="1:6" x14ac:dyDescent="0.25">
      <c r="A42" s="146" t="s">
        <v>208</v>
      </c>
      <c r="B42" s="28">
        <v>234</v>
      </c>
      <c r="C42" s="145">
        <v>0.14000000000000001</v>
      </c>
      <c r="D42" s="145">
        <v>0.59</v>
      </c>
      <c r="E42" s="145">
        <v>4.6399999999999997</v>
      </c>
      <c r="F42" s="145">
        <v>0.06</v>
      </c>
    </row>
    <row r="43" spans="1:6" x14ac:dyDescent="0.25">
      <c r="A43" s="147"/>
    </row>
  </sheetData>
  <sheetProtection password="B056" sheet="1" objects="1" scenarios="1"/>
  <mergeCells count="7">
    <mergeCell ref="C40:F40"/>
    <mergeCell ref="A3:A11"/>
    <mergeCell ref="A12:A18"/>
    <mergeCell ref="A28:A34"/>
    <mergeCell ref="B28:E30"/>
    <mergeCell ref="B31:E34"/>
    <mergeCell ref="A19:A26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9" sqref="F9"/>
    </sheetView>
  </sheetViews>
  <sheetFormatPr defaultRowHeight="15" x14ac:dyDescent="0.25"/>
  <cols>
    <col min="1" max="1" width="28.140625" bestFit="1" customWidth="1"/>
    <col min="2" max="7" width="14.5703125" customWidth="1"/>
  </cols>
  <sheetData>
    <row r="1" spans="1:5" x14ac:dyDescent="0.25">
      <c r="A1" s="207" t="s">
        <v>39</v>
      </c>
      <c r="B1" s="208"/>
      <c r="C1" s="208"/>
      <c r="D1" s="208"/>
    </row>
    <row r="2" spans="1:5" x14ac:dyDescent="0.25">
      <c r="A2" s="11"/>
      <c r="B2" s="11" t="s">
        <v>2</v>
      </c>
      <c r="C2" s="11" t="s">
        <v>35</v>
      </c>
      <c r="D2" s="11" t="s">
        <v>36</v>
      </c>
    </row>
    <row r="3" spans="1:5" x14ac:dyDescent="0.25">
      <c r="A3" s="10" t="s">
        <v>37</v>
      </c>
      <c r="B3" s="144">
        <v>0.74</v>
      </c>
      <c r="C3" s="144">
        <v>0.35</v>
      </c>
      <c r="D3" s="144">
        <v>5.2999999999999999E-2</v>
      </c>
    </row>
    <row r="5" spans="1:5" x14ac:dyDescent="0.25">
      <c r="A5" s="186" t="s">
        <v>21</v>
      </c>
      <c r="B5" s="19"/>
      <c r="C5" s="20"/>
      <c r="D5" s="20"/>
      <c r="E5" s="25"/>
    </row>
    <row r="6" spans="1:5" x14ac:dyDescent="0.25">
      <c r="A6" s="187"/>
      <c r="B6" s="21"/>
      <c r="C6" s="22"/>
      <c r="D6" s="22"/>
      <c r="E6" s="25"/>
    </row>
    <row r="7" spans="1:5" x14ac:dyDescent="0.25">
      <c r="A7" s="187"/>
      <c r="B7" s="23"/>
      <c r="C7" s="24"/>
      <c r="D7" s="24"/>
      <c r="E7" s="25"/>
    </row>
    <row r="8" spans="1:5" ht="15" customHeight="1" x14ac:dyDescent="0.25">
      <c r="A8" s="187"/>
      <c r="B8" s="198" t="s">
        <v>38</v>
      </c>
      <c r="C8" s="199"/>
      <c r="D8" s="199"/>
      <c r="E8" s="26"/>
    </row>
    <row r="9" spans="1:5" x14ac:dyDescent="0.25">
      <c r="A9" s="187"/>
      <c r="B9" s="201"/>
      <c r="C9" s="202"/>
      <c r="D9" s="202"/>
      <c r="E9" s="26"/>
    </row>
    <row r="10" spans="1:5" ht="17.25" customHeight="1" x14ac:dyDescent="0.25">
      <c r="A10" s="187"/>
      <c r="B10" s="201"/>
      <c r="C10" s="202"/>
      <c r="D10" s="202"/>
      <c r="E10" s="26"/>
    </row>
    <row r="11" spans="1:5" ht="19.5" customHeight="1" x14ac:dyDescent="0.25">
      <c r="A11" s="188"/>
      <c r="B11" s="204"/>
      <c r="C11" s="205"/>
      <c r="D11" s="205"/>
      <c r="E11" s="26"/>
    </row>
  </sheetData>
  <sheetProtection password="B056" sheet="1" objects="1" scenarios="1"/>
  <mergeCells count="3">
    <mergeCell ref="A1:D1"/>
    <mergeCell ref="A5:A11"/>
    <mergeCell ref="B8:D1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workbookViewId="0">
      <selection activeCell="D5" sqref="D5"/>
    </sheetView>
  </sheetViews>
  <sheetFormatPr defaultRowHeight="15" x14ac:dyDescent="0.25"/>
  <cols>
    <col min="1" max="1" width="24.42578125" customWidth="1"/>
    <col min="2" max="5" width="20.42578125" customWidth="1"/>
    <col min="6" max="6" width="20.85546875" customWidth="1"/>
    <col min="7" max="7" width="18.42578125" customWidth="1"/>
  </cols>
  <sheetData>
    <row r="1" spans="1:7" x14ac:dyDescent="0.25">
      <c r="A1" s="2" t="s">
        <v>126</v>
      </c>
    </row>
    <row r="2" spans="1:7" x14ac:dyDescent="0.25">
      <c r="A2" s="176" t="s">
        <v>127</v>
      </c>
      <c r="B2" s="177"/>
      <c r="C2" s="177"/>
      <c r="D2" s="177"/>
      <c r="E2" s="177"/>
      <c r="F2" s="177"/>
      <c r="G2" s="177"/>
    </row>
    <row r="3" spans="1:7" ht="15" customHeight="1" x14ac:dyDescent="0.25">
      <c r="A3" s="164" t="s">
        <v>128</v>
      </c>
      <c r="B3" s="164"/>
      <c r="C3" s="164"/>
      <c r="D3" s="164"/>
      <c r="E3" s="164"/>
      <c r="F3" s="164"/>
      <c r="G3" s="164"/>
    </row>
    <row r="4" spans="1:7" x14ac:dyDescent="0.25">
      <c r="A4" s="62" t="s">
        <v>112</v>
      </c>
      <c r="B4" s="63" t="s">
        <v>2</v>
      </c>
      <c r="C4" s="63" t="s">
        <v>133</v>
      </c>
      <c r="D4" s="63" t="s">
        <v>35</v>
      </c>
      <c r="E4" s="63" t="s">
        <v>133</v>
      </c>
      <c r="F4" s="63" t="s">
        <v>121</v>
      </c>
      <c r="G4" s="63" t="s">
        <v>133</v>
      </c>
    </row>
    <row r="5" spans="1:7" x14ac:dyDescent="0.25">
      <c r="A5" s="75" t="s">
        <v>129</v>
      </c>
      <c r="B5" s="76">
        <v>2.7000000000000001E-3</v>
      </c>
      <c r="C5" s="76" t="s">
        <v>134</v>
      </c>
      <c r="D5" s="76">
        <v>1.1999999999999999E-3</v>
      </c>
      <c r="E5" s="76" t="s">
        <v>135</v>
      </c>
      <c r="F5" s="76" t="s">
        <v>114</v>
      </c>
      <c r="G5" s="48"/>
    </row>
    <row r="6" spans="1:7" x14ac:dyDescent="0.25">
      <c r="A6" s="17" t="s">
        <v>130</v>
      </c>
      <c r="B6" s="68">
        <v>5.9999999999999995E-4</v>
      </c>
      <c r="C6" s="68" t="s">
        <v>134</v>
      </c>
      <c r="D6" s="68">
        <v>2.7E-4</v>
      </c>
      <c r="E6" s="68" t="s">
        <v>135</v>
      </c>
      <c r="F6" s="68">
        <v>5.0000000000000002E-5</v>
      </c>
      <c r="G6" s="28" t="s">
        <v>134</v>
      </c>
    </row>
    <row r="7" spans="1:7" x14ac:dyDescent="0.25">
      <c r="A7" s="57" t="s">
        <v>113</v>
      </c>
      <c r="B7" s="64">
        <v>1.2500000000000001E-2</v>
      </c>
      <c r="C7" s="64" t="s">
        <v>134</v>
      </c>
      <c r="D7" s="64">
        <v>4.3E-3</v>
      </c>
      <c r="E7" s="64" t="s">
        <v>135</v>
      </c>
      <c r="F7" s="64" t="s">
        <v>114</v>
      </c>
      <c r="G7" s="48"/>
    </row>
    <row r="8" spans="1:7" x14ac:dyDescent="0.25">
      <c r="A8" s="2" t="s">
        <v>131</v>
      </c>
      <c r="B8" s="28">
        <v>1.1000000000000001E-3</v>
      </c>
      <c r="C8" s="28" t="s">
        <v>134</v>
      </c>
      <c r="D8" s="28">
        <v>3.6999999999999999E-4</v>
      </c>
      <c r="E8" s="28" t="s">
        <v>135</v>
      </c>
      <c r="F8" s="65">
        <v>2.5000000000000001E-5</v>
      </c>
      <c r="G8" s="28" t="s">
        <v>134</v>
      </c>
    </row>
    <row r="9" spans="1:7" x14ac:dyDescent="0.25">
      <c r="A9" s="2"/>
      <c r="B9" s="1"/>
      <c r="C9" s="1"/>
      <c r="D9" s="1"/>
      <c r="E9" s="1"/>
    </row>
    <row r="10" spans="1:7" x14ac:dyDescent="0.25">
      <c r="D10" s="85"/>
    </row>
    <row r="11" spans="1:7" x14ac:dyDescent="0.25">
      <c r="D11" s="85"/>
    </row>
    <row r="13" spans="1:7" x14ac:dyDescent="0.25">
      <c r="F13" s="85"/>
    </row>
    <row r="15" spans="1:7" x14ac:dyDescent="0.25">
      <c r="D15" s="86"/>
      <c r="F15" s="85"/>
    </row>
    <row r="16" spans="1:7" x14ac:dyDescent="0.25">
      <c r="D16" s="86"/>
      <c r="F16" s="85"/>
    </row>
  </sheetData>
  <sheetProtection password="B056" sheet="1" objects="1" scenarios="1"/>
  <mergeCells count="2">
    <mergeCell ref="A3:G3"/>
    <mergeCell ref="A2:G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workbookViewId="0">
      <selection activeCell="F22" sqref="F22"/>
    </sheetView>
  </sheetViews>
  <sheetFormatPr defaultRowHeight="15" x14ac:dyDescent="0.25"/>
  <cols>
    <col min="1" max="1" width="23.5703125" customWidth="1"/>
    <col min="2" max="4" width="13.42578125" customWidth="1"/>
    <col min="5" max="5" width="11.140625" customWidth="1"/>
    <col min="6" max="6" width="13.5703125" customWidth="1"/>
    <col min="7" max="9" width="15.7109375" customWidth="1"/>
    <col min="10" max="10" width="17.42578125" customWidth="1"/>
    <col min="11" max="12" width="15.7109375" customWidth="1"/>
    <col min="14" max="14" width="15.5703125" customWidth="1"/>
    <col min="15" max="18" width="15.7109375" customWidth="1"/>
  </cols>
  <sheetData>
    <row r="1" spans="1:15" x14ac:dyDescent="0.25">
      <c r="A1" s="2" t="s">
        <v>47</v>
      </c>
      <c r="B1" s="2"/>
      <c r="C1" s="2"/>
      <c r="D1" s="2"/>
      <c r="F1" s="163" t="s">
        <v>63</v>
      </c>
      <c r="G1" s="163"/>
      <c r="H1" s="163"/>
      <c r="I1" s="163"/>
      <c r="J1" s="163"/>
    </row>
    <row r="2" spans="1:15" ht="33.75" x14ac:dyDescent="0.25">
      <c r="A2" s="165" t="s">
        <v>48</v>
      </c>
      <c r="B2" s="165"/>
      <c r="C2" s="165"/>
      <c r="D2" s="165"/>
      <c r="F2" s="94" t="s">
        <v>64</v>
      </c>
      <c r="G2" s="95" t="s">
        <v>65</v>
      </c>
      <c r="H2" s="95" t="s">
        <v>66</v>
      </c>
      <c r="I2" s="94" t="s">
        <v>67</v>
      </c>
      <c r="J2" s="94" t="s">
        <v>68</v>
      </c>
      <c r="K2" s="108"/>
      <c r="L2" s="25"/>
      <c r="M2" s="25"/>
      <c r="N2" s="25"/>
      <c r="O2" s="25"/>
    </row>
    <row r="3" spans="1:15" ht="15" customHeight="1" x14ac:dyDescent="0.25">
      <c r="A3" s="173" t="s">
        <v>49</v>
      </c>
      <c r="B3" s="173"/>
      <c r="C3" s="173"/>
      <c r="D3" s="173"/>
      <c r="F3" s="96" t="s">
        <v>69</v>
      </c>
      <c r="G3" s="96">
        <v>0</v>
      </c>
      <c r="H3" s="96">
        <v>0</v>
      </c>
      <c r="I3" s="96">
        <v>31</v>
      </c>
      <c r="J3" s="41">
        <f>(I3-H3)/I3</f>
        <v>1</v>
      </c>
      <c r="K3" s="108"/>
      <c r="L3" s="25"/>
      <c r="M3" s="25"/>
      <c r="N3" s="25"/>
      <c r="O3" s="25"/>
    </row>
    <row r="4" spans="1:15" x14ac:dyDescent="0.25">
      <c r="A4" s="211" t="s">
        <v>50</v>
      </c>
      <c r="B4" s="211" t="s">
        <v>51</v>
      </c>
      <c r="C4" s="211"/>
      <c r="D4" s="211"/>
      <c r="F4" s="96" t="s">
        <v>70</v>
      </c>
      <c r="G4" s="96">
        <v>52</v>
      </c>
      <c r="H4" s="96">
        <v>7</v>
      </c>
      <c r="I4" s="96">
        <v>28</v>
      </c>
      <c r="J4" s="41">
        <f t="shared" ref="J4:J14" si="0">(I4-H4)/I4</f>
        <v>0.75</v>
      </c>
      <c r="K4" s="108"/>
      <c r="L4" s="25"/>
      <c r="M4" s="25"/>
      <c r="N4" s="25"/>
      <c r="O4" s="25"/>
    </row>
    <row r="5" spans="1:15" x14ac:dyDescent="0.25">
      <c r="A5" s="211"/>
      <c r="B5" s="34" t="s">
        <v>52</v>
      </c>
      <c r="C5" s="34" t="s">
        <v>53</v>
      </c>
      <c r="D5" s="34" t="s">
        <v>54</v>
      </c>
      <c r="F5" s="96" t="s">
        <v>71</v>
      </c>
      <c r="G5" s="96">
        <v>69</v>
      </c>
      <c r="H5" s="96">
        <v>7</v>
      </c>
      <c r="I5" s="96">
        <v>31</v>
      </c>
      <c r="J5" s="41">
        <f t="shared" si="0"/>
        <v>0.77419354838709675</v>
      </c>
      <c r="K5" s="108"/>
      <c r="L5" s="26"/>
      <c r="M5" s="26"/>
      <c r="N5" s="26"/>
      <c r="O5" s="26"/>
    </row>
    <row r="6" spans="1:15" x14ac:dyDescent="0.25">
      <c r="A6" s="35" t="s">
        <v>55</v>
      </c>
      <c r="B6" s="35">
        <v>0.15</v>
      </c>
      <c r="C6" s="35">
        <v>1.5</v>
      </c>
      <c r="D6" s="35">
        <v>4.9000000000000004</v>
      </c>
      <c r="F6" s="96" t="s">
        <v>72</v>
      </c>
      <c r="G6" s="96">
        <v>44</v>
      </c>
      <c r="H6" s="96">
        <v>8</v>
      </c>
      <c r="I6" s="96">
        <v>30</v>
      </c>
      <c r="J6" s="41">
        <f t="shared" si="0"/>
        <v>0.73333333333333328</v>
      </c>
      <c r="K6" s="108"/>
      <c r="L6" s="26"/>
      <c r="M6" s="26"/>
      <c r="N6" s="26"/>
      <c r="O6" s="26"/>
    </row>
    <row r="7" spans="1:15" x14ac:dyDescent="0.25">
      <c r="A7" s="35" t="s">
        <v>56</v>
      </c>
      <c r="B7" s="35">
        <v>0.9</v>
      </c>
      <c r="C7" s="35">
        <v>0.9</v>
      </c>
      <c r="D7" s="35">
        <v>0.7</v>
      </c>
      <c r="F7" s="96" t="s">
        <v>73</v>
      </c>
      <c r="G7" s="96">
        <v>185.8</v>
      </c>
      <c r="H7" s="96">
        <v>16</v>
      </c>
      <c r="I7" s="96">
        <v>31</v>
      </c>
      <c r="J7" s="41">
        <f t="shared" si="0"/>
        <v>0.4838709677419355</v>
      </c>
      <c r="K7" s="108"/>
      <c r="L7" s="26"/>
      <c r="M7" s="26"/>
      <c r="N7" s="26"/>
      <c r="O7" s="26"/>
    </row>
    <row r="8" spans="1:15" x14ac:dyDescent="0.25">
      <c r="A8" s="35" t="s">
        <v>57</v>
      </c>
      <c r="B8" s="35">
        <v>0.45</v>
      </c>
      <c r="C8" s="35">
        <v>0.45</v>
      </c>
      <c r="D8" s="35">
        <v>0.45</v>
      </c>
      <c r="F8" s="96" t="s">
        <v>74</v>
      </c>
      <c r="G8" s="96">
        <v>119.2</v>
      </c>
      <c r="H8" s="96">
        <v>9</v>
      </c>
      <c r="I8" s="96">
        <v>30</v>
      </c>
      <c r="J8" s="41">
        <f t="shared" si="0"/>
        <v>0.7</v>
      </c>
      <c r="K8" s="108"/>
      <c r="L8" s="26"/>
      <c r="M8" s="26"/>
      <c r="N8" s="26"/>
      <c r="O8" s="26"/>
    </row>
    <row r="9" spans="1:15" x14ac:dyDescent="0.25">
      <c r="A9" s="35" t="s">
        <v>59</v>
      </c>
      <c r="B9" s="12">
        <v>281.89999999999998</v>
      </c>
      <c r="C9" s="35" t="s">
        <v>60</v>
      </c>
      <c r="D9" s="35"/>
      <c r="F9" s="96" t="s">
        <v>75</v>
      </c>
      <c r="G9" s="96">
        <v>17.8</v>
      </c>
      <c r="H9" s="96">
        <v>6</v>
      </c>
      <c r="I9" s="96">
        <v>31</v>
      </c>
      <c r="J9" s="41">
        <f t="shared" si="0"/>
        <v>0.80645161290322576</v>
      </c>
      <c r="K9" s="108"/>
      <c r="L9" s="26"/>
      <c r="M9" s="26"/>
      <c r="N9" s="26"/>
      <c r="O9" s="26"/>
    </row>
    <row r="10" spans="1:15" x14ac:dyDescent="0.25">
      <c r="A10" s="211" t="s">
        <v>58</v>
      </c>
      <c r="B10" s="211"/>
      <c r="C10" s="211"/>
      <c r="D10" s="211"/>
      <c r="F10" s="96" t="s">
        <v>76</v>
      </c>
      <c r="G10" s="96">
        <v>70.2</v>
      </c>
      <c r="H10" s="96">
        <v>11</v>
      </c>
      <c r="I10" s="96">
        <v>31</v>
      </c>
      <c r="J10" s="41">
        <f t="shared" si="0"/>
        <v>0.64516129032258063</v>
      </c>
      <c r="K10" s="108"/>
      <c r="L10" s="26"/>
      <c r="M10" s="26"/>
      <c r="N10" s="26"/>
      <c r="O10" s="26"/>
    </row>
    <row r="11" spans="1:15" ht="20.25" customHeight="1" x14ac:dyDescent="0.25">
      <c r="A11" s="211"/>
      <c r="B11" s="211"/>
      <c r="C11" s="211"/>
      <c r="D11" s="211"/>
      <c r="F11" s="96" t="s">
        <v>77</v>
      </c>
      <c r="G11" s="96">
        <v>25.2</v>
      </c>
      <c r="H11" s="96">
        <v>7</v>
      </c>
      <c r="I11" s="96">
        <v>30</v>
      </c>
      <c r="J11" s="41">
        <f t="shared" si="0"/>
        <v>0.76666666666666672</v>
      </c>
      <c r="K11" s="108"/>
      <c r="L11" s="26"/>
      <c r="M11" s="26"/>
      <c r="N11" s="26"/>
      <c r="O11" s="26"/>
    </row>
    <row r="12" spans="1:15" ht="15" customHeight="1" x14ac:dyDescent="0.25">
      <c r="A12" s="211"/>
      <c r="B12" s="212" t="s">
        <v>162</v>
      </c>
      <c r="C12" s="212"/>
      <c r="D12" s="212"/>
      <c r="F12" s="96" t="s">
        <v>78</v>
      </c>
      <c r="G12" s="96">
        <v>54.4</v>
      </c>
      <c r="H12" s="96">
        <v>6</v>
      </c>
      <c r="I12" s="96">
        <v>31</v>
      </c>
      <c r="J12" s="41">
        <f t="shared" si="0"/>
        <v>0.80645161290322576</v>
      </c>
    </row>
    <row r="13" spans="1:15" x14ac:dyDescent="0.25">
      <c r="A13" s="211"/>
      <c r="B13" s="212"/>
      <c r="C13" s="212"/>
      <c r="D13" s="212"/>
      <c r="F13" s="96" t="s">
        <v>79</v>
      </c>
      <c r="G13" s="42">
        <v>48.6</v>
      </c>
      <c r="H13" s="96">
        <v>9</v>
      </c>
      <c r="I13" s="96">
        <v>30</v>
      </c>
      <c r="J13" s="41">
        <f t="shared" si="0"/>
        <v>0.7</v>
      </c>
    </row>
    <row r="14" spans="1:15" x14ac:dyDescent="0.25">
      <c r="A14" s="211"/>
      <c r="B14" s="212"/>
      <c r="C14" s="212"/>
      <c r="D14" s="212"/>
      <c r="F14" s="96" t="s">
        <v>80</v>
      </c>
      <c r="G14" s="96">
        <v>91.4</v>
      </c>
      <c r="H14" s="96">
        <v>6</v>
      </c>
      <c r="I14" s="96">
        <v>31</v>
      </c>
      <c r="J14" s="41">
        <f t="shared" si="0"/>
        <v>0.80645161290322576</v>
      </c>
    </row>
    <row r="15" spans="1:15" x14ac:dyDescent="0.25">
      <c r="A15" s="211"/>
      <c r="B15" s="212"/>
      <c r="C15" s="212"/>
      <c r="D15" s="212"/>
      <c r="F15" s="97" t="s">
        <v>81</v>
      </c>
      <c r="G15" s="8">
        <f>(365-SUM(H3:H14))/365</f>
        <v>0.74794520547945209</v>
      </c>
    </row>
    <row r="16" spans="1:15" x14ac:dyDescent="0.25">
      <c r="A16" s="211"/>
      <c r="B16" s="212"/>
      <c r="C16" s="212"/>
      <c r="D16" s="212"/>
      <c r="F16" s="107"/>
      <c r="G16" s="8"/>
    </row>
    <row r="17" spans="1:14" x14ac:dyDescent="0.25">
      <c r="A17" s="211"/>
      <c r="B17" s="212"/>
      <c r="C17" s="212"/>
      <c r="D17" s="212"/>
      <c r="F17" s="107"/>
      <c r="G17" s="8"/>
    </row>
    <row r="19" spans="1:14" x14ac:dyDescent="0.25">
      <c r="A19" s="163" t="s">
        <v>82</v>
      </c>
      <c r="B19" s="209" t="s">
        <v>83</v>
      </c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</row>
    <row r="20" spans="1:14" x14ac:dyDescent="0.25">
      <c r="A20" s="163"/>
      <c r="B20" s="163" t="s">
        <v>84</v>
      </c>
      <c r="C20" s="163"/>
      <c r="D20" s="163"/>
      <c r="E20" s="163"/>
      <c r="F20" s="163"/>
      <c r="G20" s="163"/>
      <c r="H20" s="163"/>
      <c r="I20" s="163" t="s">
        <v>160</v>
      </c>
      <c r="J20" s="163"/>
      <c r="K20" s="163"/>
      <c r="L20" s="163" t="s">
        <v>161</v>
      </c>
      <c r="M20" s="163"/>
      <c r="N20" s="163"/>
    </row>
    <row r="21" spans="1:14" x14ac:dyDescent="0.25">
      <c r="A21" s="163"/>
      <c r="B21" s="39" t="s">
        <v>2</v>
      </c>
      <c r="C21" s="39" t="s">
        <v>35</v>
      </c>
      <c r="D21" s="39" t="s">
        <v>87</v>
      </c>
      <c r="E21" s="39" t="s">
        <v>88</v>
      </c>
      <c r="F21" s="39" t="s">
        <v>89</v>
      </c>
      <c r="G21" s="39" t="s">
        <v>4</v>
      </c>
      <c r="H21" s="39" t="s">
        <v>85</v>
      </c>
      <c r="I21" s="94" t="s">
        <v>2</v>
      </c>
      <c r="J21" s="94" t="s">
        <v>35</v>
      </c>
      <c r="K21" s="94" t="s">
        <v>87</v>
      </c>
      <c r="L21" s="94" t="s">
        <v>2</v>
      </c>
      <c r="M21" s="94" t="s">
        <v>35</v>
      </c>
      <c r="N21" s="94" t="s">
        <v>87</v>
      </c>
    </row>
    <row r="22" spans="1:14" x14ac:dyDescent="0.25">
      <c r="A22" s="88" t="s">
        <v>86</v>
      </c>
      <c r="B22" s="148">
        <v>0.17489827604766656</v>
      </c>
      <c r="C22" s="148">
        <v>0.17489827604766656</v>
      </c>
      <c r="D22" s="148">
        <v>0.17489827604766656</v>
      </c>
      <c r="E22" s="148">
        <v>5.4345140567386743</v>
      </c>
      <c r="F22" s="148">
        <v>0.21032135261668511</v>
      </c>
      <c r="G22" s="148">
        <v>1.0383730075038093</v>
      </c>
      <c r="H22" s="148">
        <v>0.24766340643796464</v>
      </c>
      <c r="I22" s="149">
        <v>6.7633804693835883E-2</v>
      </c>
      <c r="J22" s="149">
        <v>5.1332470377789451E-2</v>
      </c>
      <c r="K22" s="149">
        <v>2.7520218195668727E-2</v>
      </c>
      <c r="L22" s="149">
        <v>6.3494136177677976E-2</v>
      </c>
      <c r="M22" s="149">
        <v>3.1747068088838988E-2</v>
      </c>
      <c r="N22" s="149">
        <v>1.7137767759244575E-2</v>
      </c>
    </row>
    <row r="23" spans="1:14" x14ac:dyDescent="0.25">
      <c r="A23" s="106"/>
      <c r="B23" s="106"/>
      <c r="C23" s="106"/>
      <c r="D23" s="106"/>
      <c r="E23" s="106"/>
      <c r="F23" s="106"/>
      <c r="G23" s="106"/>
      <c r="H23" s="106"/>
    </row>
    <row r="24" spans="1:14" x14ac:dyDescent="0.25">
      <c r="A24" s="90"/>
      <c r="B24" s="90"/>
      <c r="C24" s="90"/>
      <c r="D24" s="90"/>
      <c r="E24" s="90"/>
      <c r="F24" s="90"/>
      <c r="G24" s="91"/>
      <c r="H24" s="90"/>
    </row>
    <row r="25" spans="1:14" x14ac:dyDescent="0.25">
      <c r="H25" s="89"/>
    </row>
    <row r="26" spans="1:14" x14ac:dyDescent="0.25">
      <c r="H26" s="89"/>
    </row>
  </sheetData>
  <sheetProtection password="B056" sheet="1" objects="1" scenarios="1"/>
  <mergeCells count="13">
    <mergeCell ref="F1:J1"/>
    <mergeCell ref="A10:A17"/>
    <mergeCell ref="A2:D2"/>
    <mergeCell ref="A3:D3"/>
    <mergeCell ref="A4:A5"/>
    <mergeCell ref="B4:D4"/>
    <mergeCell ref="B10:D11"/>
    <mergeCell ref="B12:D17"/>
    <mergeCell ref="I20:K20"/>
    <mergeCell ref="L20:N20"/>
    <mergeCell ref="A19:A21"/>
    <mergeCell ref="B20:H20"/>
    <mergeCell ref="B19:N1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"/>
  <sheetViews>
    <sheetView workbookViewId="0">
      <selection activeCell="K23" sqref="K23"/>
    </sheetView>
  </sheetViews>
  <sheetFormatPr defaultRowHeight="15" x14ac:dyDescent="0.25"/>
  <cols>
    <col min="1" max="1" width="27.28515625" bestFit="1" customWidth="1"/>
    <col min="2" max="2" width="15.7109375" customWidth="1"/>
    <col min="3" max="3" width="13.42578125" customWidth="1"/>
    <col min="4" max="4" width="16.28515625" customWidth="1"/>
    <col min="5" max="5" width="13.85546875" customWidth="1"/>
    <col min="6" max="6" width="13.28515625" customWidth="1"/>
    <col min="7" max="7" width="11.140625" customWidth="1"/>
    <col min="8" max="8" width="12" customWidth="1"/>
    <col min="9" max="9" width="10.85546875" customWidth="1"/>
    <col min="11" max="11" width="10.28515625" bestFit="1" customWidth="1"/>
  </cols>
  <sheetData>
    <row r="1" spans="1:14" ht="22.5" customHeight="1" x14ac:dyDescent="0.25">
      <c r="A1" s="213" t="s">
        <v>0</v>
      </c>
      <c r="B1" s="219" t="s">
        <v>252</v>
      </c>
      <c r="C1" s="219" t="s">
        <v>253</v>
      </c>
      <c r="D1" s="214" t="s">
        <v>100</v>
      </c>
      <c r="E1" s="217" t="s">
        <v>230</v>
      </c>
      <c r="F1" s="218"/>
      <c r="G1" s="218"/>
      <c r="H1" s="213" t="s">
        <v>217</v>
      </c>
      <c r="I1" s="215" t="s">
        <v>1</v>
      </c>
      <c r="J1" s="216"/>
      <c r="K1" s="216"/>
    </row>
    <row r="2" spans="1:14" x14ac:dyDescent="0.25">
      <c r="A2" s="213"/>
      <c r="B2" s="219"/>
      <c r="C2" s="219"/>
      <c r="D2" s="214"/>
      <c r="E2" s="51" t="s">
        <v>34</v>
      </c>
      <c r="F2" s="51" t="s">
        <v>3</v>
      </c>
      <c r="G2" s="127" t="s">
        <v>123</v>
      </c>
      <c r="H2" s="213"/>
      <c r="I2" s="51" t="s">
        <v>34</v>
      </c>
      <c r="J2" s="51" t="s">
        <v>3</v>
      </c>
      <c r="K2" s="51" t="s">
        <v>123</v>
      </c>
    </row>
    <row r="3" spans="1:14" x14ac:dyDescent="0.25">
      <c r="A3" s="144" t="s">
        <v>101</v>
      </c>
      <c r="B3" s="28">
        <v>-20.170235999999999</v>
      </c>
      <c r="C3" s="28">
        <v>-40.358280000000001</v>
      </c>
      <c r="D3" s="55">
        <f>Dados!B15*Dados!B20</f>
        <v>648</v>
      </c>
      <c r="E3" s="60">
        <f>'FE-Perfuração e Detonação'!C6</f>
        <v>0.59</v>
      </c>
      <c r="F3" s="60">
        <f>'FE-Perfuração e Detonação'!D6</f>
        <v>0.31</v>
      </c>
      <c r="G3" s="60">
        <f>0.03*E3</f>
        <v>1.7699999999999997E-2</v>
      </c>
      <c r="H3" s="28">
        <v>74</v>
      </c>
      <c r="I3" s="150">
        <f>D3*E3*(1-H3/100)/8760</f>
        <v>1.1347397260273973E-2</v>
      </c>
      <c r="J3" s="150">
        <f>F3*D3*(1-H3/100)/8760</f>
        <v>5.9621917808219179E-3</v>
      </c>
      <c r="K3" s="77">
        <f>G3*D3*(1-H3/100)/8760</f>
        <v>3.4042191780821911E-4</v>
      </c>
    </row>
    <row r="4" spans="1:14" x14ac:dyDescent="0.25">
      <c r="A4" s="172" t="s">
        <v>246</v>
      </c>
      <c r="B4" s="173"/>
      <c r="C4" s="173"/>
      <c r="D4" s="173"/>
      <c r="E4" s="173"/>
      <c r="F4" s="173"/>
      <c r="G4" s="173"/>
      <c r="H4" s="173"/>
      <c r="I4" s="14">
        <f>SUM(I3)</f>
        <v>1.1347397260273973E-2</v>
      </c>
      <c r="J4" s="14">
        <f>SUM(J3)</f>
        <v>5.9621917808219179E-3</v>
      </c>
      <c r="K4" s="14">
        <f>SUM(K3)</f>
        <v>3.4042191780821911E-4</v>
      </c>
    </row>
    <row r="6" spans="1:14" ht="15" customHeight="1" x14ac:dyDescent="0.25">
      <c r="A6" s="213" t="s">
        <v>0</v>
      </c>
      <c r="B6" s="219" t="s">
        <v>252</v>
      </c>
      <c r="C6" s="219" t="s">
        <v>253</v>
      </c>
      <c r="D6" s="214" t="s">
        <v>231</v>
      </c>
      <c r="E6" s="220" t="s">
        <v>99</v>
      </c>
      <c r="F6" s="214" t="s">
        <v>232</v>
      </c>
      <c r="G6" s="214"/>
      <c r="H6" s="222" t="s">
        <v>1</v>
      </c>
      <c r="I6" s="223"/>
      <c r="J6" s="223"/>
      <c r="K6" s="223"/>
      <c r="L6" s="223"/>
      <c r="M6" s="223"/>
      <c r="N6" s="223"/>
    </row>
    <row r="7" spans="1:14" ht="24.75" customHeight="1" x14ac:dyDescent="0.25">
      <c r="A7" s="213"/>
      <c r="B7" s="219"/>
      <c r="C7" s="219"/>
      <c r="D7" s="214"/>
      <c r="E7" s="221"/>
      <c r="F7" s="129" t="s">
        <v>182</v>
      </c>
      <c r="G7" s="129" t="s">
        <v>219</v>
      </c>
      <c r="H7" s="51" t="s">
        <v>34</v>
      </c>
      <c r="I7" s="51" t="s">
        <v>61</v>
      </c>
      <c r="J7" s="51" t="s">
        <v>62</v>
      </c>
      <c r="K7" s="116" t="s">
        <v>188</v>
      </c>
      <c r="L7" s="116" t="s">
        <v>189</v>
      </c>
      <c r="M7" s="51" t="s">
        <v>4</v>
      </c>
      <c r="N7" s="128" t="s">
        <v>249</v>
      </c>
    </row>
    <row r="8" spans="1:14" x14ac:dyDescent="0.25">
      <c r="A8" s="151" t="s">
        <v>221</v>
      </c>
      <c r="B8" s="28">
        <v>-20.170235999999999</v>
      </c>
      <c r="C8" s="28">
        <v>-40.358280000000001</v>
      </c>
      <c r="D8" s="52">
        <f>Dados!B17</f>
        <v>270</v>
      </c>
      <c r="E8" s="52">
        <f>Dados!B20</f>
        <v>12</v>
      </c>
      <c r="F8" s="53">
        <f>(Dados!B19*Dados!B20/1000)/2</f>
        <v>18</v>
      </c>
      <c r="G8" s="53">
        <f>(Dados!B19*Dados!B20/1000)/2</f>
        <v>18</v>
      </c>
      <c r="H8" s="152">
        <f>0.00022*(D8^1.5)*$E$8/8760</f>
        <v>1.3370432842112409E-3</v>
      </c>
      <c r="I8" s="82">
        <f>0.52*0.00022*(D8^1.5)*$E$8/8760</f>
        <v>6.9526250778984531E-4</v>
      </c>
      <c r="J8" s="153">
        <f>0.03*0.00022*(D8^1.5)*$E$8/8760</f>
        <v>4.0111298526337232E-5</v>
      </c>
      <c r="K8" s="92">
        <f>F8*'FE-Perfuração e Detonação'!$C$20/8760</f>
        <v>1.643835616438356E-2</v>
      </c>
      <c r="L8" s="152">
        <f>F8*'FE-Perfuração e Detonação'!$D$20/8760</f>
        <v>2.054794520547945E-3</v>
      </c>
      <c r="M8" s="92">
        <f>((F8*'FE-Perfuração e Detonação'!$B$20)+(G8*'FE-Perfuração e Detonação'!$B$21))/8760</f>
        <v>0.88767123287671235</v>
      </c>
      <c r="N8" s="92">
        <f>G8*'FE-Perfuração e Detonação'!$E$21/8760</f>
        <v>0.12534246575342467</v>
      </c>
    </row>
    <row r="9" spans="1:14" x14ac:dyDescent="0.25">
      <c r="A9" s="173" t="s">
        <v>247</v>
      </c>
      <c r="B9" s="173"/>
      <c r="C9" s="173"/>
      <c r="D9" s="173"/>
      <c r="E9" s="173"/>
      <c r="F9" s="173"/>
      <c r="G9" s="173"/>
      <c r="H9" s="14">
        <f t="shared" ref="H9:N9" si="0">SUM(H8)</f>
        <v>1.3370432842112409E-3</v>
      </c>
      <c r="I9" s="14">
        <f t="shared" si="0"/>
        <v>6.9526250778984531E-4</v>
      </c>
      <c r="J9" s="14">
        <f t="shared" si="0"/>
        <v>4.0111298526337232E-5</v>
      </c>
      <c r="K9" s="14">
        <f t="shared" si="0"/>
        <v>1.643835616438356E-2</v>
      </c>
      <c r="L9" s="14">
        <f t="shared" si="0"/>
        <v>2.054794520547945E-3</v>
      </c>
      <c r="M9" s="14">
        <f t="shared" si="0"/>
        <v>0.88767123287671235</v>
      </c>
      <c r="N9" s="14">
        <f t="shared" si="0"/>
        <v>0.12534246575342467</v>
      </c>
    </row>
    <row r="10" spans="1:14" x14ac:dyDescent="0.25">
      <c r="A10" s="2" t="s">
        <v>234</v>
      </c>
      <c r="J10" s="87"/>
      <c r="K10" s="87"/>
      <c r="L10" s="87"/>
      <c r="M10" s="87"/>
    </row>
    <row r="11" spans="1:14" x14ac:dyDescent="0.25">
      <c r="A11" s="2" t="s">
        <v>233</v>
      </c>
    </row>
    <row r="12" spans="1:14" x14ac:dyDescent="0.25">
      <c r="A12" s="2" t="s">
        <v>228</v>
      </c>
      <c r="G12" s="136"/>
      <c r="H12" s="137"/>
      <c r="I12" s="137"/>
      <c r="J12" s="137"/>
      <c r="M12" s="134"/>
    </row>
    <row r="13" spans="1:14" x14ac:dyDescent="0.25">
      <c r="A13" s="30"/>
      <c r="G13" s="135"/>
      <c r="H13" s="135"/>
      <c r="I13" s="135"/>
      <c r="J13" s="105"/>
      <c r="K13" s="105"/>
      <c r="L13" s="105"/>
      <c r="M13" s="105"/>
    </row>
    <row r="14" spans="1:14" x14ac:dyDescent="0.25">
      <c r="A14" s="30"/>
      <c r="G14" s="102"/>
      <c r="H14" s="92"/>
      <c r="I14" s="92"/>
      <c r="J14" s="6"/>
      <c r="K14" s="6"/>
      <c r="L14" s="6"/>
      <c r="M14" s="6"/>
    </row>
    <row r="15" spans="1:14" x14ac:dyDescent="0.25">
      <c r="H15" s="46"/>
    </row>
  </sheetData>
  <sheetProtection password="B056" sheet="1" objects="1" scenarios="1"/>
  <mergeCells count="16">
    <mergeCell ref="A9:G9"/>
    <mergeCell ref="A1:A2"/>
    <mergeCell ref="D1:D2"/>
    <mergeCell ref="I1:K1"/>
    <mergeCell ref="E1:G1"/>
    <mergeCell ref="A6:A7"/>
    <mergeCell ref="D6:D7"/>
    <mergeCell ref="B1:B2"/>
    <mergeCell ref="C1:C2"/>
    <mergeCell ref="H1:H2"/>
    <mergeCell ref="A4:H4"/>
    <mergeCell ref="B6:B7"/>
    <mergeCell ref="C6:C7"/>
    <mergeCell ref="E6:E7"/>
    <mergeCell ref="F6:G6"/>
    <mergeCell ref="H6:N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"/>
  <sheetViews>
    <sheetView workbookViewId="0">
      <selection activeCell="F16" sqref="F16"/>
    </sheetView>
  </sheetViews>
  <sheetFormatPr defaultRowHeight="15" customHeight="1" x14ac:dyDescent="0.2"/>
  <cols>
    <col min="1" max="1" width="33.85546875" style="1" customWidth="1"/>
    <col min="2" max="2" width="19.28515625" style="1" customWidth="1"/>
    <col min="3" max="3" width="23.7109375" style="1" bestFit="1" customWidth="1"/>
    <col min="4" max="7" width="13.7109375" style="1" customWidth="1"/>
    <col min="8" max="8" width="15.140625" style="1" customWidth="1"/>
    <col min="9" max="14" width="8.7109375" style="1" customWidth="1"/>
    <col min="15" max="15" width="10.42578125" style="1" bestFit="1" customWidth="1"/>
    <col min="16" max="16384" width="9.140625" style="1"/>
  </cols>
  <sheetData>
    <row r="1" spans="1:15" ht="15" customHeight="1" x14ac:dyDescent="0.2">
      <c r="A1" s="224" t="s">
        <v>0</v>
      </c>
      <c r="B1" s="224" t="s">
        <v>16</v>
      </c>
      <c r="C1" s="224" t="s">
        <v>17</v>
      </c>
      <c r="D1" s="219" t="s">
        <v>252</v>
      </c>
      <c r="E1" s="219" t="s">
        <v>253</v>
      </c>
      <c r="F1" s="224" t="s">
        <v>18</v>
      </c>
      <c r="G1" s="224" t="s">
        <v>19</v>
      </c>
      <c r="H1" s="228" t="s">
        <v>235</v>
      </c>
      <c r="I1" s="226" t="s">
        <v>1</v>
      </c>
      <c r="J1" s="227"/>
      <c r="K1" s="227"/>
      <c r="L1" s="227"/>
      <c r="M1" s="227"/>
      <c r="N1" s="227"/>
      <c r="O1" s="227"/>
    </row>
    <row r="2" spans="1:15" ht="15" customHeight="1" x14ac:dyDescent="0.2">
      <c r="A2" s="225"/>
      <c r="B2" s="225"/>
      <c r="C2" s="225"/>
      <c r="D2" s="219"/>
      <c r="E2" s="219"/>
      <c r="F2" s="225"/>
      <c r="G2" s="225"/>
      <c r="H2" s="229"/>
      <c r="I2" s="5" t="s">
        <v>2</v>
      </c>
      <c r="J2" s="5" t="s">
        <v>3</v>
      </c>
      <c r="K2" s="5" t="s">
        <v>20</v>
      </c>
      <c r="L2" s="5" t="s">
        <v>5</v>
      </c>
      <c r="M2" s="5" t="s">
        <v>6</v>
      </c>
      <c r="N2" s="5" t="s">
        <v>4</v>
      </c>
      <c r="O2" s="5" t="s">
        <v>249</v>
      </c>
    </row>
    <row r="3" spans="1:15" ht="15" customHeight="1" x14ac:dyDescent="0.2">
      <c r="A3" s="3" t="s">
        <v>166</v>
      </c>
      <c r="B3" s="9">
        <v>223.95</v>
      </c>
      <c r="C3" s="3" t="s">
        <v>30</v>
      </c>
      <c r="D3" s="28">
        <v>-20.170235999999999</v>
      </c>
      <c r="E3" s="28">
        <v>-40.358280000000001</v>
      </c>
      <c r="F3" s="6">
        <v>1</v>
      </c>
      <c r="G3" s="9">
        <f>2200/365</f>
        <v>6.0273972602739727</v>
      </c>
      <c r="H3" s="9" t="s">
        <v>149</v>
      </c>
      <c r="I3" s="82">
        <f>(INDEX(FE_Equip,MATCH($C3,Pot_Equip,0),2))*F3*G3/(24)</f>
        <v>7.7881082903007229E-3</v>
      </c>
      <c r="J3" s="82">
        <f>I3</f>
        <v>7.7881082903007229E-3</v>
      </c>
      <c r="K3" s="82">
        <f>I3</f>
        <v>7.7881082903007229E-3</v>
      </c>
      <c r="L3" s="82">
        <f>(INDEX(FE_Equip,MATCH($C3,Pot_Equip,0),3))*F3*G3/(24)</f>
        <v>0.21020081713894065</v>
      </c>
      <c r="M3" s="82">
        <f>(INDEX(FE_Equip,MATCH($C3,Pot_Equip,0),4))*F3*G3/(24)</f>
        <v>1.9095055802015998E-4</v>
      </c>
      <c r="N3" s="82">
        <f>(INDEX(FE_Equip,MATCH($C3,Pot_Equip,0),5))*F3*G3/(24)</f>
        <v>5.6496431498165495E-2</v>
      </c>
      <c r="O3" s="82">
        <f>(INDEX(FE_Equip,MATCH($C3,Pot_Equip,0),6))*F3*G3/(24)</f>
        <v>2.0287562410668425E-2</v>
      </c>
    </row>
    <row r="4" spans="1:15" ht="15" customHeight="1" x14ac:dyDescent="0.2">
      <c r="A4" s="3" t="s">
        <v>166</v>
      </c>
      <c r="B4" s="9">
        <v>170.31</v>
      </c>
      <c r="C4" s="3" t="s">
        <v>29</v>
      </c>
      <c r="D4" s="28">
        <v>-20.170235999999999</v>
      </c>
      <c r="E4" s="28">
        <v>-40.358280000000001</v>
      </c>
      <c r="F4" s="6">
        <v>1</v>
      </c>
      <c r="G4" s="9">
        <f>1800/365</f>
        <v>4.9315068493150687</v>
      </c>
      <c r="H4" s="9" t="s">
        <v>149</v>
      </c>
      <c r="I4" s="82">
        <f>(INDEX(FE_Equip,MATCH($C4,Pot_Equip,0),2))*F4*G4/(24)</f>
        <v>7.1658351092282373E-3</v>
      </c>
      <c r="J4" s="82">
        <f t="shared" ref="J4:J5" si="0">I4</f>
        <v>7.1658351092282373E-3</v>
      </c>
      <c r="K4" s="82">
        <f t="shared" ref="K4:K5" si="1">I4</f>
        <v>7.1658351092282373E-3</v>
      </c>
      <c r="L4" s="82">
        <f>(INDEX(FE_Equip,MATCH($C4,Pot_Equip,0),3))*F4*G4/(24)</f>
        <v>0.12908016691538649</v>
      </c>
      <c r="M4" s="82">
        <f>(INDEX(FE_Equip,MATCH($C4,Pot_Equip,0),4))*F4*G4/(24)</f>
        <v>1.1149308655084456E-4</v>
      </c>
      <c r="N4" s="82">
        <f>(INDEX(FE_Equip,MATCH($C4,Pot_Equip,0),5))*F4*G4/(24)</f>
        <v>5.9884281495181192E-2</v>
      </c>
      <c r="O4" s="82">
        <f>(INDEX(FE_Equip,MATCH($C4,Pot_Equip,0),6))*F4*G4/(24)</f>
        <v>1.6398696563184354E-2</v>
      </c>
    </row>
    <row r="5" spans="1:15" ht="15" customHeight="1" x14ac:dyDescent="0.2">
      <c r="A5" s="3" t="s">
        <v>42</v>
      </c>
      <c r="B5" s="9">
        <v>187.74</v>
      </c>
      <c r="C5" s="3" t="s">
        <v>95</v>
      </c>
      <c r="D5" s="28">
        <v>-20.170235999999999</v>
      </c>
      <c r="E5" s="28">
        <v>-40.358280000000001</v>
      </c>
      <c r="F5" s="6">
        <v>1</v>
      </c>
      <c r="G5" s="9">
        <f>1800/365</f>
        <v>4.9315068493150687</v>
      </c>
      <c r="H5" s="9" t="s">
        <v>149</v>
      </c>
      <c r="I5" s="82">
        <f>(INDEX(FE_Equip,MATCH($C5,Pot_Equip,0),2))*F5*G5/(24)</f>
        <v>5.9770742371936724E-3</v>
      </c>
      <c r="J5" s="82">
        <f t="shared" si="0"/>
        <v>5.9770742371936724E-3</v>
      </c>
      <c r="K5" s="82">
        <f t="shared" si="1"/>
        <v>5.9770742371936724E-3</v>
      </c>
      <c r="L5" s="82">
        <f>(INDEX(FE_Equip,MATCH($C5,Pot_Equip,0),3))*F5*G5/(24)</f>
        <v>0.17297682384949242</v>
      </c>
      <c r="M5" s="82">
        <f>(INDEX(FE_Equip,MATCH($C5,Pot_Equip,0),4))*F5*G5/(24)</f>
        <v>1.6641108959930908E-4</v>
      </c>
      <c r="N5" s="82">
        <f>(INDEX(FE_Equip,MATCH($C5,Pot_Equip,0),5))*F5*G5/(24)</f>
        <v>4.3265431320285014E-2</v>
      </c>
      <c r="O5" s="82">
        <f>(INDEX(FE_Equip,MATCH($C5,Pot_Equip,0),6))*F5*G5/(24)</f>
        <v>1.6084470145089378E-2</v>
      </c>
    </row>
    <row r="6" spans="1:15" ht="15" customHeight="1" x14ac:dyDescent="0.2">
      <c r="A6" s="3" t="s">
        <v>167</v>
      </c>
      <c r="B6" s="9">
        <v>214.56</v>
      </c>
      <c r="C6" s="3" t="s">
        <v>175</v>
      </c>
      <c r="D6" s="28">
        <v>-20.170235999999999</v>
      </c>
      <c r="E6" s="28">
        <v>-40.358280000000001</v>
      </c>
      <c r="F6" s="6">
        <v>1</v>
      </c>
      <c r="G6" s="9">
        <f>1400/365</f>
        <v>3.8356164383561642</v>
      </c>
      <c r="H6" s="9" t="s">
        <v>149</v>
      </c>
      <c r="I6" s="82">
        <f>(INDEX(FE_Equip,MATCH($C6,Pot_Equip,0),2))*F6*G6/(24)</f>
        <v>4.0344298352112248E-3</v>
      </c>
      <c r="J6" s="82">
        <f>I6</f>
        <v>4.0344298352112248E-3</v>
      </c>
      <c r="K6" s="82">
        <f>I6</f>
        <v>4.0344298352112248E-3</v>
      </c>
      <c r="L6" s="82">
        <f>(INDEX(FE_Equip,MATCH($C6,Pot_Equip,0),3))*F6*G6/(24)</f>
        <v>0.11600512067287527</v>
      </c>
      <c r="M6" s="82">
        <f>(INDEX(FE_Equip,MATCH($C6,Pot_Equip,0),4))*F6*G6/(24)</f>
        <v>1.0703051377268183E-4</v>
      </c>
      <c r="N6" s="82">
        <f>(INDEX(FE_Equip,MATCH($C6,Pot_Equip,0),5))*F6*G6/(24)</f>
        <v>2.9509959442906342E-2</v>
      </c>
      <c r="O6" s="82">
        <f>(INDEX(FE_Equip,MATCH($C6,Pot_Equip,0),6))*F6*G6/(24)</f>
        <v>1.0576455308735876E-2</v>
      </c>
    </row>
    <row r="7" spans="1:15" ht="15" customHeight="1" x14ac:dyDescent="0.2">
      <c r="A7" s="2" t="s">
        <v>168</v>
      </c>
      <c r="B7" s="28">
        <v>270</v>
      </c>
      <c r="C7" s="28" t="s">
        <v>149</v>
      </c>
      <c r="D7" s="28">
        <v>-20.170235999999999</v>
      </c>
      <c r="E7" s="28">
        <v>-40.358280000000001</v>
      </c>
      <c r="F7" s="28">
        <v>1</v>
      </c>
      <c r="G7" s="126">
        <f>1000/365</f>
        <v>2.7397260273972601</v>
      </c>
      <c r="H7" s="28">
        <v>20</v>
      </c>
      <c r="I7" s="13">
        <f>('FE-Maq e Equip'!F42/'FE-Maq e Equip'!B42)*'FE-Maq e Equip'!B40*(H7*G7/24)</f>
        <v>4.9935604730125282E-4</v>
      </c>
      <c r="J7" s="13">
        <f>I7</f>
        <v>4.9935604730125282E-4</v>
      </c>
      <c r="K7" s="13">
        <f>I7</f>
        <v>4.9935604730125282E-4</v>
      </c>
      <c r="L7" s="13">
        <f>('FE-Maq e Equip'!E42/'FE-Maq e Equip'!B42)*'FE-Maq e Equip'!B40*(H7*G7/24)</f>
        <v>3.8616867657963544E-2</v>
      </c>
      <c r="M7" s="13">
        <f>('FE-Maq e Equip'!B40*(H7*G7/24))*('FE-Maq e Equip'!B41/10^6)*(64/32)</f>
        <v>1.9474885844748861E-3</v>
      </c>
      <c r="N7" s="13">
        <f>('FE-Maq e Equip'!D42/'FE-Maq e Equip'!B42)*'FE-Maq e Equip'!B40*(H7*G7/24)</f>
        <v>4.9103344651289854E-3</v>
      </c>
      <c r="O7" s="13">
        <f>('FE-Maq e Equip'!C42/'FE-Maq e Equip'!B42)*'FE-Maq e Equip'!B40*(H7*G7/24)</f>
        <v>1.16516411036959E-3</v>
      </c>
    </row>
    <row r="8" spans="1:15" ht="15" customHeight="1" x14ac:dyDescent="0.2">
      <c r="A8" s="161" t="s">
        <v>248</v>
      </c>
      <c r="B8" s="161"/>
      <c r="C8" s="161"/>
      <c r="D8" s="161"/>
      <c r="E8" s="161"/>
      <c r="F8" s="161"/>
      <c r="G8" s="161"/>
      <c r="H8" s="161"/>
      <c r="I8" s="14">
        <f>SUM(I3:I7)</f>
        <v>2.5464803519235111E-2</v>
      </c>
      <c r="J8" s="14">
        <f t="shared" ref="J8:O8" si="2">SUM(J3:J7)</f>
        <v>2.5464803519235111E-2</v>
      </c>
      <c r="K8" s="14">
        <f t="shared" si="2"/>
        <v>2.5464803519235111E-2</v>
      </c>
      <c r="L8" s="14">
        <f t="shared" si="2"/>
        <v>0.66687979623465843</v>
      </c>
      <c r="M8" s="14">
        <f t="shared" si="2"/>
        <v>2.5233738324178818E-3</v>
      </c>
      <c r="N8" s="14">
        <f t="shared" si="2"/>
        <v>0.19406643822166703</v>
      </c>
      <c r="O8" s="14">
        <f t="shared" si="2"/>
        <v>6.4512348538047617E-2</v>
      </c>
    </row>
    <row r="9" spans="1:15" ht="15" customHeight="1" x14ac:dyDescent="0.25">
      <c r="A9" s="44"/>
      <c r="B9" s="44"/>
      <c r="C9" s="44"/>
      <c r="D9" s="44"/>
      <c r="E9" s="44"/>
      <c r="F9" s="44"/>
    </row>
  </sheetData>
  <sheetProtection password="B056" sheet="1" objects="1" scenarios="1"/>
  <mergeCells count="10">
    <mergeCell ref="A8:H8"/>
    <mergeCell ref="G1:G2"/>
    <mergeCell ref="I1:O1"/>
    <mergeCell ref="A1:A2"/>
    <mergeCell ref="B1:B2"/>
    <mergeCell ref="C1:C2"/>
    <mergeCell ref="F1:F2"/>
    <mergeCell ref="D1:D2"/>
    <mergeCell ref="E1:E2"/>
    <mergeCell ref="H1:H2"/>
  </mergeCells>
  <dataValidations count="1">
    <dataValidation type="list" allowBlank="1" showInputMessage="1" showErrorMessage="1" sqref="C3:C6">
      <formula1>Pot_Equip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"/>
  <sheetViews>
    <sheetView workbookViewId="0">
      <selection activeCell="C31" sqref="C31"/>
    </sheetView>
  </sheetViews>
  <sheetFormatPr defaultRowHeight="15" x14ac:dyDescent="0.25"/>
  <cols>
    <col min="1" max="1" width="32.42578125" bestFit="1" customWidth="1"/>
    <col min="2" max="2" width="19.7109375" bestFit="1" customWidth="1"/>
    <col min="3" max="3" width="19.7109375" customWidth="1"/>
    <col min="4" max="5" width="18.28515625" customWidth="1"/>
    <col min="6" max="6" width="18" customWidth="1"/>
    <col min="7" max="7" width="16" customWidth="1"/>
    <col min="8" max="13" width="11" customWidth="1"/>
  </cols>
  <sheetData>
    <row r="1" spans="1:14" ht="15" customHeight="1" x14ac:dyDescent="0.25">
      <c r="A1" s="213" t="s">
        <v>0</v>
      </c>
      <c r="B1" s="219" t="s">
        <v>252</v>
      </c>
      <c r="C1" s="219" t="s">
        <v>253</v>
      </c>
      <c r="D1" s="214" t="s">
        <v>223</v>
      </c>
      <c r="E1" s="220" t="s">
        <v>224</v>
      </c>
      <c r="F1" s="214" t="s">
        <v>117</v>
      </c>
      <c r="G1" s="214"/>
      <c r="H1" s="216" t="s">
        <v>225</v>
      </c>
      <c r="I1" s="216"/>
      <c r="J1" s="231"/>
      <c r="K1" s="215" t="s">
        <v>1</v>
      </c>
      <c r="L1" s="216"/>
      <c r="M1" s="231"/>
    </row>
    <row r="2" spans="1:14" x14ac:dyDescent="0.25">
      <c r="A2" s="213"/>
      <c r="B2" s="219"/>
      <c r="C2" s="219"/>
      <c r="D2" s="214"/>
      <c r="E2" s="221"/>
      <c r="F2" s="131" t="s">
        <v>24</v>
      </c>
      <c r="G2" s="131" t="s">
        <v>222</v>
      </c>
      <c r="H2" s="132" t="s">
        <v>34</v>
      </c>
      <c r="I2" s="32" t="s">
        <v>61</v>
      </c>
      <c r="J2" s="32" t="s">
        <v>62</v>
      </c>
      <c r="K2" s="32" t="s">
        <v>34</v>
      </c>
      <c r="L2" s="32" t="s">
        <v>61</v>
      </c>
      <c r="M2" s="32" t="s">
        <v>62</v>
      </c>
    </row>
    <row r="3" spans="1:14" x14ac:dyDescent="0.25">
      <c r="A3" s="17" t="s">
        <v>125</v>
      </c>
      <c r="B3" s="28">
        <v>-20.170235999999999</v>
      </c>
      <c r="C3" s="28">
        <v>-40.358280000000001</v>
      </c>
      <c r="D3" s="60">
        <f>Dados!C13</f>
        <v>25.097518264840183</v>
      </c>
      <c r="E3" s="55">
        <v>1</v>
      </c>
      <c r="F3" s="53" t="s">
        <v>149</v>
      </c>
      <c r="G3" s="53" t="s">
        <v>149</v>
      </c>
      <c r="H3" s="154">
        <f>'FE-Transferências'!$B$3*0.0016*(($B$20/2.2)^1.3)/(($E3/2)^1.4)</f>
        <v>7.2282377015546288E-3</v>
      </c>
      <c r="I3" s="154">
        <f>'FE-Transferências'!$C$3*0.0016*(($B$20/2.2)^1.3)/(($E3/2)^1.4)</f>
        <v>3.418761075059621E-3</v>
      </c>
      <c r="J3" s="154">
        <f>'FE-Transferências'!$D$3*0.0016*(($B$20/2.2)^1.3)/(($E3/2)^1.4)</f>
        <v>5.176981056518856E-4</v>
      </c>
      <c r="K3" s="155">
        <f>H3*$D3</f>
        <v>0.18141082773737371</v>
      </c>
      <c r="L3" s="155">
        <f>I3*$D3</f>
        <v>8.5802418524433502E-2</v>
      </c>
      <c r="M3" s="155">
        <f>J3*$D3</f>
        <v>1.2992937662271361E-2</v>
      </c>
    </row>
    <row r="4" spans="1:14" x14ac:dyDescent="0.25">
      <c r="A4" s="67" t="s">
        <v>137</v>
      </c>
      <c r="B4" s="123">
        <v>-20.17456</v>
      </c>
      <c r="C4" s="112">
        <v>-40.353982999999999</v>
      </c>
      <c r="D4" s="73">
        <f>Dados!C13</f>
        <v>25.097518264840183</v>
      </c>
      <c r="E4" s="55">
        <v>1</v>
      </c>
      <c r="F4" s="78" t="s">
        <v>226</v>
      </c>
      <c r="G4" s="78">
        <v>50</v>
      </c>
      <c r="H4" s="156">
        <f>'FE-Transferências'!$B$3*0.0016*(($B$20/2.2)^1.3)/(($E4/2)^1.4)</f>
        <v>7.2282377015546288E-3</v>
      </c>
      <c r="I4" s="154">
        <f>'FE-Transferências'!$C$3*0.0016*(($B$20/2.2)^1.3)/(($E4/2)^1.4)</f>
        <v>3.418761075059621E-3</v>
      </c>
      <c r="J4" s="154">
        <f>'FE-Transferências'!$D$3*0.0016*(($B$20/2.2)^1.3)/(($E4/2)^1.4)</f>
        <v>5.176981056518856E-4</v>
      </c>
      <c r="K4" s="155">
        <f>H4*$D4*(1-G4/100)</f>
        <v>9.0705413868686857E-2</v>
      </c>
      <c r="L4" s="155">
        <f>I4*$D4*(1-G4/100)</f>
        <v>4.2901209262216751E-2</v>
      </c>
      <c r="M4" s="155">
        <f>J4*$D4*(1-G4/100)</f>
        <v>6.4964688311356803E-3</v>
      </c>
    </row>
    <row r="5" spans="1:14" x14ac:dyDescent="0.25">
      <c r="A5" s="67" t="s">
        <v>197</v>
      </c>
      <c r="B5" s="28">
        <v>-20.173981999999999</v>
      </c>
      <c r="C5" s="28">
        <v>-40.353986999999996</v>
      </c>
      <c r="D5" s="73">
        <f>Dados!C13</f>
        <v>25.097518264840183</v>
      </c>
      <c r="E5" s="78">
        <v>1</v>
      </c>
      <c r="F5" s="78" t="s">
        <v>149</v>
      </c>
      <c r="G5" s="78" t="s">
        <v>149</v>
      </c>
      <c r="H5" s="156">
        <f>'FE-Transferências'!$B$3*0.0016*(($B$20/2.2)^1.3)/(($E5/2)^1.4)</f>
        <v>7.2282377015546288E-3</v>
      </c>
      <c r="I5" s="154">
        <f>'FE-Transferências'!$C$3*0.0016*(($B$20/2.2)^1.3)/(($E5/2)^1.4)</f>
        <v>3.418761075059621E-3</v>
      </c>
      <c r="J5" s="154">
        <f>'FE-Transferências'!$D$3*0.0016*(($B$20/2.2)^1.3)/(($E5/2)^1.4)</f>
        <v>5.176981056518856E-4</v>
      </c>
      <c r="K5" s="155">
        <f t="shared" ref="K5:K16" si="0">H5*$D5</f>
        <v>0.18141082773737371</v>
      </c>
      <c r="L5" s="155">
        <f t="shared" ref="L5:L16" si="1">I5*$D5</f>
        <v>8.5802418524433502E-2</v>
      </c>
      <c r="M5" s="155">
        <f t="shared" ref="M5:M16" si="2">J5*$D5</f>
        <v>1.2992937662271361E-2</v>
      </c>
    </row>
    <row r="6" spans="1:14" x14ac:dyDescent="0.25">
      <c r="A6" s="67" t="s">
        <v>198</v>
      </c>
      <c r="B6" s="28">
        <v>-20.174323999999999</v>
      </c>
      <c r="C6" s="28">
        <v>-40.353847999999999</v>
      </c>
      <c r="D6" s="73">
        <f>Dados!C13</f>
        <v>25.097518264840183</v>
      </c>
      <c r="E6" s="78">
        <v>1</v>
      </c>
      <c r="F6" s="78" t="s">
        <v>149</v>
      </c>
      <c r="G6" s="78" t="s">
        <v>149</v>
      </c>
      <c r="H6" s="156">
        <f>'FE-Transferências'!$B$3*0.0016*(($B$20/2.2)^1.3)/(($E6/2)^1.4)</f>
        <v>7.2282377015546288E-3</v>
      </c>
      <c r="I6" s="154">
        <f>'FE-Transferências'!$C$3*0.0016*(($B$20/2.2)^1.3)/(($E6/2)^1.4)</f>
        <v>3.418761075059621E-3</v>
      </c>
      <c r="J6" s="154">
        <f>'FE-Transferências'!$D$3*0.0016*(($B$20/2.2)^1.3)/(($E6/2)^1.4)</f>
        <v>5.176981056518856E-4</v>
      </c>
      <c r="K6" s="155">
        <f t="shared" ref="K6" si="3">H6*$D6</f>
        <v>0.18141082773737371</v>
      </c>
      <c r="L6" s="155">
        <f t="shared" ref="L6" si="4">I6*$D6</f>
        <v>8.5802418524433502E-2</v>
      </c>
      <c r="M6" s="155">
        <f t="shared" ref="M6" si="5">J6*$D6</f>
        <v>1.2992937662271361E-2</v>
      </c>
    </row>
    <row r="7" spans="1:14" x14ac:dyDescent="0.25">
      <c r="A7" s="67" t="s">
        <v>199</v>
      </c>
      <c r="B7" s="74">
        <v>-20.17388</v>
      </c>
      <c r="C7" s="28">
        <v>-40.353631</v>
      </c>
      <c r="D7" s="73">
        <f>Dados!C13</f>
        <v>25.097518264840183</v>
      </c>
      <c r="E7" s="78">
        <v>1</v>
      </c>
      <c r="F7" s="78" t="s">
        <v>149</v>
      </c>
      <c r="G7" s="78" t="s">
        <v>149</v>
      </c>
      <c r="H7" s="156">
        <f>'FE-Transferências'!$B$3*0.0016*(($B$20/2.2)^1.3)/(($E7/2)^1.4)</f>
        <v>7.2282377015546288E-3</v>
      </c>
      <c r="I7" s="154">
        <f>'FE-Transferências'!$C$3*0.0016*(($B$20/2.2)^1.3)/(($E7/2)^1.4)</f>
        <v>3.418761075059621E-3</v>
      </c>
      <c r="J7" s="154">
        <f>'FE-Transferências'!$D$3*0.0016*(($B$20/2.2)^1.3)/(($E7/2)^1.4)</f>
        <v>5.176981056518856E-4</v>
      </c>
      <c r="K7" s="155">
        <f t="shared" si="0"/>
        <v>0.18141082773737371</v>
      </c>
      <c r="L7" s="155">
        <f t="shared" si="1"/>
        <v>8.5802418524433502E-2</v>
      </c>
      <c r="M7" s="155">
        <f t="shared" si="2"/>
        <v>1.2992937662271361E-2</v>
      </c>
      <c r="N7" s="30"/>
    </row>
    <row r="8" spans="1:14" x14ac:dyDescent="0.25">
      <c r="A8" s="67" t="s">
        <v>201</v>
      </c>
      <c r="B8" s="74">
        <v>-20.173524</v>
      </c>
      <c r="C8" s="28">
        <v>-40.353437999999997</v>
      </c>
      <c r="D8" s="73">
        <f>Dados!C13</f>
        <v>25.097518264840183</v>
      </c>
      <c r="E8" s="78">
        <v>1</v>
      </c>
      <c r="F8" s="78" t="s">
        <v>149</v>
      </c>
      <c r="G8" s="78" t="s">
        <v>149</v>
      </c>
      <c r="H8" s="156">
        <f>'FE-Transferências'!$B$3*0.0016*(($B$20/2.2)^1.3)/(($E8/2)^1.4)</f>
        <v>7.2282377015546288E-3</v>
      </c>
      <c r="I8" s="154">
        <f>'FE-Transferências'!$C$3*0.0016*(($B$20/2.2)^1.3)/(($E8/2)^1.4)</f>
        <v>3.418761075059621E-3</v>
      </c>
      <c r="J8" s="154">
        <f>'FE-Transferências'!$D$3*0.0016*(($B$20/2.2)^1.3)/(($E8/2)^1.4)</f>
        <v>5.176981056518856E-4</v>
      </c>
      <c r="K8" s="155">
        <f t="shared" ref="K8" si="6">H8*$D8</f>
        <v>0.18141082773737371</v>
      </c>
      <c r="L8" s="155">
        <f t="shared" ref="L8" si="7">I8*$D8</f>
        <v>8.5802418524433502E-2</v>
      </c>
      <c r="M8" s="155">
        <f t="shared" ref="M8" si="8">J8*$D8</f>
        <v>1.2992937662271361E-2</v>
      </c>
      <c r="N8" s="30"/>
    </row>
    <row r="9" spans="1:14" x14ac:dyDescent="0.25">
      <c r="A9" s="67" t="s">
        <v>200</v>
      </c>
      <c r="B9" s="28">
        <v>-20.174166</v>
      </c>
      <c r="C9" s="28">
        <v>-40.353644000000003</v>
      </c>
      <c r="D9" s="73">
        <f>Dados!C13</f>
        <v>25.097518264840183</v>
      </c>
      <c r="E9" s="78">
        <v>1</v>
      </c>
      <c r="F9" s="78" t="s">
        <v>149</v>
      </c>
      <c r="G9" s="78" t="s">
        <v>149</v>
      </c>
      <c r="H9" s="156">
        <f>'FE-Transferências'!$B$3*0.0016*(($B$20/2.2)^1.3)/(($E9/2)^1.4)</f>
        <v>7.2282377015546288E-3</v>
      </c>
      <c r="I9" s="154">
        <f>'FE-Transferências'!$C$3*0.0016*(($B$20/2.2)^1.3)/(($E9/2)^1.4)</f>
        <v>3.418761075059621E-3</v>
      </c>
      <c r="J9" s="154">
        <f>'FE-Transferências'!$D$3*0.0016*(($B$20/2.2)^1.3)/(($E9/2)^1.4)</f>
        <v>5.176981056518856E-4</v>
      </c>
      <c r="K9" s="155">
        <f t="shared" ref="K9" si="9">H9*$D9</f>
        <v>0.18141082773737371</v>
      </c>
      <c r="L9" s="155">
        <f t="shared" ref="L9" si="10">I9*$D9</f>
        <v>8.5802418524433502E-2</v>
      </c>
      <c r="M9" s="155">
        <f t="shared" ref="M9" si="11">J9*$D9</f>
        <v>1.2992937662271361E-2</v>
      </c>
      <c r="N9" s="30"/>
    </row>
    <row r="10" spans="1:14" x14ac:dyDescent="0.25">
      <c r="A10" s="67" t="s">
        <v>212</v>
      </c>
      <c r="B10" s="28">
        <v>-20.174517000000002</v>
      </c>
      <c r="C10" s="28">
        <v>-40.353800999999997</v>
      </c>
      <c r="D10" s="73">
        <f>SUM('Emissão Britagem e Peneiramento'!D4:D5)</f>
        <v>27.074036529680363</v>
      </c>
      <c r="E10" s="78">
        <v>1</v>
      </c>
      <c r="F10" s="78" t="s">
        <v>226</v>
      </c>
      <c r="G10" s="78">
        <v>50</v>
      </c>
      <c r="H10" s="156">
        <f>'FE-Transferências'!$B$3*0.0016*(($B$20/2.2)^1.3)/(($E10/2)^1.4)</f>
        <v>7.2282377015546288E-3</v>
      </c>
      <c r="I10" s="154">
        <f>'FE-Transferências'!$C$3*0.0016*(($B$20/2.2)^1.3)/(($E10/2)^1.4)</f>
        <v>3.418761075059621E-3</v>
      </c>
      <c r="J10" s="154">
        <f>'FE-Transferências'!$D$3*0.0016*(($B$20/2.2)^1.3)/(($E10/2)^1.4)</f>
        <v>5.176981056518856E-4</v>
      </c>
      <c r="K10" s="155">
        <f>H10*$D10*(1-G10/100)</f>
        <v>9.7848785788551426E-2</v>
      </c>
      <c r="L10" s="155">
        <f>I10*$D10*(1-G10/100)</f>
        <v>4.6279831116206746E-2</v>
      </c>
      <c r="M10" s="155">
        <f>J10*$D10*(1-G10/100)</f>
        <v>7.0080887118827376E-3</v>
      </c>
      <c r="N10" s="30"/>
    </row>
    <row r="11" spans="1:14" x14ac:dyDescent="0.25">
      <c r="A11" s="67" t="s">
        <v>213</v>
      </c>
      <c r="B11" s="28">
        <v>-20.174330999999999</v>
      </c>
      <c r="C11" s="28">
        <v>-40.353282</v>
      </c>
      <c r="D11" s="73">
        <f>'Emissão Britagem e Peneiramento'!D10</f>
        <v>16.770535388127854</v>
      </c>
      <c r="E11" s="78">
        <v>1</v>
      </c>
      <c r="F11" s="78" t="s">
        <v>226</v>
      </c>
      <c r="G11" s="78">
        <v>50</v>
      </c>
      <c r="H11" s="156">
        <f>'FE-Transferências'!$B$3*0.0016*(($B$20/2.2)^1.3)/(($E11/2)^1.4)</f>
        <v>7.2282377015546288E-3</v>
      </c>
      <c r="I11" s="154">
        <f>'FE-Transferências'!$C$3*0.0016*(($B$20/2.2)^1.3)/(($E11/2)^1.4)</f>
        <v>3.418761075059621E-3</v>
      </c>
      <c r="J11" s="154">
        <f>'FE-Transferências'!$D$3*0.0016*(($B$20/2.2)^1.3)/(($E11/2)^1.4)</f>
        <v>5.176981056518856E-4</v>
      </c>
      <c r="K11" s="155">
        <f t="shared" ref="K11:K12" si="12">H11*$D11*(1-G11/100)</f>
        <v>6.0610708083860924E-2</v>
      </c>
      <c r="L11" s="155">
        <f t="shared" ref="L11:L12" si="13">I11*$D11*(1-G11/100)</f>
        <v>2.8667226796420701E-2</v>
      </c>
      <c r="M11" s="155">
        <f>J11*$D11*(1-G11/100)</f>
        <v>4.34103720060085E-3</v>
      </c>
      <c r="N11" s="30"/>
    </row>
    <row r="12" spans="1:14" x14ac:dyDescent="0.25">
      <c r="A12" s="67" t="s">
        <v>214</v>
      </c>
      <c r="B12" s="28">
        <v>-20.174208</v>
      </c>
      <c r="C12" s="28">
        <v>-40.352879000000001</v>
      </c>
      <c r="D12" s="73">
        <f>'Emissão Britagem e Peneiramento'!D11</f>
        <v>10.303501141552511</v>
      </c>
      <c r="E12" s="78">
        <v>1</v>
      </c>
      <c r="F12" s="78" t="s">
        <v>226</v>
      </c>
      <c r="G12" s="78">
        <v>50</v>
      </c>
      <c r="H12" s="156">
        <f>'FE-Transferências'!$B$3*0.0016*(($B$20/2.2)^1.3)/(($E12/2)^1.4)</f>
        <v>7.2282377015546288E-3</v>
      </c>
      <c r="I12" s="154">
        <f>'FE-Transferências'!$C$3*0.0016*(($B$20/2.2)^1.3)/(($E12/2)^1.4)</f>
        <v>3.418761075059621E-3</v>
      </c>
      <c r="J12" s="154">
        <f>'FE-Transferências'!$D$3*0.0016*(($B$20/2.2)^1.3)/(($E12/2)^1.4)</f>
        <v>5.176981056518856E-4</v>
      </c>
      <c r="K12" s="155">
        <f t="shared" si="12"/>
        <v>3.7238077704690509E-2</v>
      </c>
      <c r="L12" s="155">
        <f t="shared" si="13"/>
        <v>1.7612604319786049E-2</v>
      </c>
      <c r="M12" s="155">
        <f>J12*$D12*(1-G12/100)</f>
        <v>2.6670515112818876E-3</v>
      </c>
      <c r="N12" s="30"/>
    </row>
    <row r="13" spans="1:14" x14ac:dyDescent="0.25">
      <c r="A13" s="67" t="s">
        <v>202</v>
      </c>
      <c r="B13" s="28">
        <v>-20.174140999999999</v>
      </c>
      <c r="C13" s="28">
        <v>-40.353281000000003</v>
      </c>
      <c r="D13" s="73">
        <f>Dados!C9</f>
        <v>6.3490319634703196</v>
      </c>
      <c r="E13" s="78">
        <v>1</v>
      </c>
      <c r="F13" s="78" t="s">
        <v>149</v>
      </c>
      <c r="G13" s="78" t="s">
        <v>149</v>
      </c>
      <c r="H13" s="156">
        <f>'FE-Transferências'!$B$3*0.0016*(($B$20/2.2)^1.3)/(($E13/2)^1.4)</f>
        <v>7.2282377015546288E-3</v>
      </c>
      <c r="I13" s="154">
        <f>'FE-Transferências'!$C$3*0.0016*(($B$20/2.2)^1.3)/(($E13/2)^1.4)</f>
        <v>3.418761075059621E-3</v>
      </c>
      <c r="J13" s="154">
        <f>'FE-Transferências'!$D$3*0.0016*(($B$20/2.2)^1.3)/(($E13/2)^1.4)</f>
        <v>5.176981056518856E-4</v>
      </c>
      <c r="K13" s="155">
        <f t="shared" ref="K13" si="14">H13*$D13</f>
        <v>4.5892312206731574E-2</v>
      </c>
      <c r="L13" s="155">
        <f t="shared" ref="L13" si="15">I13*$D13</f>
        <v>2.1705823341021686E-2</v>
      </c>
      <c r="M13" s="155">
        <f t="shared" ref="M13" si="16">J13*$D13</f>
        <v>3.2868818202118561E-3</v>
      </c>
      <c r="N13" s="30"/>
    </row>
    <row r="14" spans="1:14" x14ac:dyDescent="0.25">
      <c r="A14" s="67" t="s">
        <v>204</v>
      </c>
      <c r="B14" s="74">
        <v>-20.174157999999998</v>
      </c>
      <c r="C14" s="74">
        <v>-40.35351</v>
      </c>
      <c r="D14" s="73">
        <f>Dados!C10</f>
        <v>0.11800228310502284</v>
      </c>
      <c r="E14" s="78">
        <v>1</v>
      </c>
      <c r="F14" s="78" t="s">
        <v>149</v>
      </c>
      <c r="G14" s="78" t="s">
        <v>149</v>
      </c>
      <c r="H14" s="156">
        <f>'FE-Transferências'!$B$3*0.0016*(($B$20/2.2)^1.3)/(($E14/2)^1.4)</f>
        <v>7.2282377015546288E-3</v>
      </c>
      <c r="I14" s="154">
        <f>'FE-Transferências'!$C$3*0.0016*(($B$20/2.2)^1.3)/(($E14/2)^1.4)</f>
        <v>3.418761075059621E-3</v>
      </c>
      <c r="J14" s="154">
        <f>'FE-Transferências'!$D$3*0.0016*(($B$20/2.2)^1.3)/(($E14/2)^1.4)</f>
        <v>5.176981056518856E-4</v>
      </c>
      <c r="K14" s="155">
        <f t="shared" si="0"/>
        <v>8.5294855160924891E-4</v>
      </c>
      <c r="L14" s="155">
        <f t="shared" si="1"/>
        <v>4.0342161224761762E-4</v>
      </c>
      <c r="M14" s="155">
        <f t="shared" si="2"/>
        <v>6.1089558426067822E-5</v>
      </c>
      <c r="N14" s="30"/>
    </row>
    <row r="15" spans="1:14" x14ac:dyDescent="0.25">
      <c r="A15" s="67" t="s">
        <v>203</v>
      </c>
      <c r="B15" s="74">
        <v>-20.174083</v>
      </c>
      <c r="C15" s="28">
        <v>-40.352609999999999</v>
      </c>
      <c r="D15" s="73">
        <f>Dados!C7</f>
        <v>4.4468915525114152</v>
      </c>
      <c r="E15" s="78">
        <v>1</v>
      </c>
      <c r="F15" s="78" t="s">
        <v>149</v>
      </c>
      <c r="G15" s="78" t="s">
        <v>149</v>
      </c>
      <c r="H15" s="156">
        <f>'FE-Transferências'!$B$3*0.0016*(($B$20/2.2)^1.3)/(($E15/2)^1.4)</f>
        <v>7.2282377015546288E-3</v>
      </c>
      <c r="I15" s="154">
        <f>'FE-Transferências'!$C$3*0.0016*(($B$20/2.2)^1.3)/(($E15/2)^1.4)</f>
        <v>3.418761075059621E-3</v>
      </c>
      <c r="J15" s="154">
        <f>'FE-Transferências'!$D$3*0.0016*(($B$20/2.2)^1.3)/(($E15/2)^1.4)</f>
        <v>5.176981056518856E-4</v>
      </c>
      <c r="K15" s="155">
        <f t="shared" ref="K15" si="17">H15*$D15</f>
        <v>3.2143189174587805E-2</v>
      </c>
      <c r="L15" s="155">
        <f t="shared" ref="L15" si="18">I15*$D15</f>
        <v>1.5202859744737474E-2</v>
      </c>
      <c r="M15" s="155">
        <f t="shared" ref="M15" si="19">J15*$D15</f>
        <v>2.3021473327745324E-3</v>
      </c>
      <c r="N15" s="30"/>
    </row>
    <row r="16" spans="1:14" x14ac:dyDescent="0.25">
      <c r="A16" s="67" t="s">
        <v>215</v>
      </c>
      <c r="B16" s="74">
        <v>-20.174009000000002</v>
      </c>
      <c r="C16" s="28">
        <v>-40.352887000000003</v>
      </c>
      <c r="D16" s="73">
        <f>Dados!C8</f>
        <v>5.8566095890410956</v>
      </c>
      <c r="E16" s="78">
        <v>1</v>
      </c>
      <c r="F16" s="78" t="s">
        <v>149</v>
      </c>
      <c r="G16" s="78" t="s">
        <v>149</v>
      </c>
      <c r="H16" s="156">
        <f>'FE-Transferências'!$B$3*0.0016*(($B$20/2.2)^1.3)/(($E16/2)^1.4)</f>
        <v>7.2282377015546288E-3</v>
      </c>
      <c r="I16" s="154">
        <f>'FE-Transferências'!$C$3*0.0016*(($B$20/2.2)^1.3)/(($E16/2)^1.4)</f>
        <v>3.418761075059621E-3</v>
      </c>
      <c r="J16" s="154">
        <f>'FE-Transferências'!$D$3*0.0016*(($B$20/2.2)^1.3)/(($E16/2)^1.4)</f>
        <v>5.176981056518856E-4</v>
      </c>
      <c r="K16" s="155">
        <f t="shared" si="0"/>
        <v>4.2332966234793205E-2</v>
      </c>
      <c r="L16" s="155">
        <f t="shared" si="1"/>
        <v>2.0022348894834622E-2</v>
      </c>
      <c r="M16" s="155">
        <f t="shared" si="2"/>
        <v>3.0319556897892433E-3</v>
      </c>
      <c r="N16" s="30"/>
    </row>
    <row r="17" spans="1:14" x14ac:dyDescent="0.25">
      <c r="A17" s="67" t="s">
        <v>216</v>
      </c>
      <c r="B17" s="74">
        <v>-20.173811000000001</v>
      </c>
      <c r="C17" s="28">
        <v>-40.353214999999999</v>
      </c>
      <c r="D17" s="73">
        <f>Dados!C13</f>
        <v>25.097518264840183</v>
      </c>
      <c r="E17" s="78">
        <v>1</v>
      </c>
      <c r="F17" s="78" t="s">
        <v>149</v>
      </c>
      <c r="G17" s="78" t="s">
        <v>149</v>
      </c>
      <c r="H17" s="156">
        <f>'FE-Transferências'!$B$3*0.0016*(($B$20/2.2)^1.3)/(($E17/2)^1.4)</f>
        <v>7.2282377015546288E-3</v>
      </c>
      <c r="I17" s="154">
        <f>'FE-Transferências'!$C$3*0.0016*(($B$20/2.2)^1.3)/(($E17/2)^1.4)</f>
        <v>3.418761075059621E-3</v>
      </c>
      <c r="J17" s="154">
        <f>'FE-Transferências'!$D$3*0.0016*(($B$20/2.2)^1.3)/(($E17/2)^1.4)</f>
        <v>5.176981056518856E-4</v>
      </c>
      <c r="K17" s="155">
        <f t="shared" ref="K17" si="20">H17*$D17</f>
        <v>0.18141082773737371</v>
      </c>
      <c r="L17" s="155">
        <f t="shared" ref="L17" si="21">I17*$D17</f>
        <v>8.5802418524433502E-2</v>
      </c>
      <c r="M17" s="155">
        <f t="shared" ref="M17" si="22">J17*$D17</f>
        <v>1.2992937662271361E-2</v>
      </c>
      <c r="N17" s="30"/>
    </row>
    <row r="18" spans="1:14" x14ac:dyDescent="0.25">
      <c r="A18" s="230" t="s">
        <v>41</v>
      </c>
      <c r="B18" s="230"/>
      <c r="C18" s="230"/>
      <c r="D18" s="230"/>
      <c r="E18" s="230"/>
      <c r="F18" s="230"/>
      <c r="G18" s="230"/>
      <c r="H18" s="230"/>
      <c r="I18" s="230"/>
      <c r="J18" s="230"/>
      <c r="K18" s="27">
        <f>SUM(K3:K17)</f>
        <v>1.6775001957751279</v>
      </c>
      <c r="L18" s="27">
        <f t="shared" ref="L18:M18" si="23">SUM(L3:L17)</f>
        <v>0.79341225475850619</v>
      </c>
      <c r="M18" s="27">
        <f t="shared" si="23"/>
        <v>0.12014528429200239</v>
      </c>
      <c r="N18" s="18"/>
    </row>
    <row r="19" spans="1:14" x14ac:dyDescent="0.25">
      <c r="C19" s="30"/>
      <c r="D19" s="30"/>
      <c r="E19" s="30"/>
      <c r="F19" s="30"/>
      <c r="G19" s="30"/>
    </row>
    <row r="20" spans="1:14" x14ac:dyDescent="0.25">
      <c r="A20" s="29" t="s">
        <v>40</v>
      </c>
      <c r="B20" s="157">
        <v>4.1937865160171146</v>
      </c>
      <c r="D20" s="46"/>
    </row>
    <row r="22" spans="1:14" x14ac:dyDescent="0.25">
      <c r="A22" s="1"/>
    </row>
    <row r="24" spans="1:14" x14ac:dyDescent="0.25">
      <c r="A24" s="30"/>
    </row>
  </sheetData>
  <sheetProtection password="B056" sheet="1" objects="1" scenarios="1"/>
  <mergeCells count="9">
    <mergeCell ref="A18:J18"/>
    <mergeCell ref="A1:A2"/>
    <mergeCell ref="D1:D2"/>
    <mergeCell ref="E1:E2"/>
    <mergeCell ref="K1:M1"/>
    <mergeCell ref="H1:J1"/>
    <mergeCell ref="B1:B2"/>
    <mergeCell ref="C1:C2"/>
    <mergeCell ref="F1:G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2</vt:i4>
      </vt:variant>
    </vt:vector>
  </HeadingPairs>
  <TitlesOfParts>
    <vt:vector size="14" baseType="lpstr">
      <vt:lpstr>Dados</vt:lpstr>
      <vt:lpstr>FE-Perfuração e Detonação</vt:lpstr>
      <vt:lpstr>FE-Maq e Equip</vt:lpstr>
      <vt:lpstr>FE-Transferências</vt:lpstr>
      <vt:lpstr>FE-Britagem e Peneiramento</vt:lpstr>
      <vt:lpstr>FE-Vias</vt:lpstr>
      <vt:lpstr>Emissão Perfuração e Detonação</vt:lpstr>
      <vt:lpstr>Emissão Maq e Equip</vt:lpstr>
      <vt:lpstr>Emissão Transferências</vt:lpstr>
      <vt:lpstr>Emissão Britagem e Peneiramento</vt:lpstr>
      <vt:lpstr>Emissão Vias </vt:lpstr>
      <vt:lpstr>Resumo</vt:lpstr>
      <vt:lpstr>FE_Equip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2016-12-13T12:13:55Z</dcterms:created>
  <dcterms:modified xsi:type="dcterms:W3CDTF">2019-06-07T11:58:16Z</dcterms:modified>
</cp:coreProperties>
</file>