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ncesa\"/>
    </mc:Choice>
  </mc:AlternateContent>
  <bookViews>
    <workbookView xWindow="0" yWindow="75" windowWidth="9435" windowHeight="7935" tabRatio="817"/>
  </bookViews>
  <sheets>
    <sheet name="Dados" sheetId="21" r:id="rId1"/>
    <sheet name="FE-Fab Cerâmica" sheetId="24" r:id="rId2"/>
    <sheet name="FE-Combustão" sheetId="10" r:id="rId3"/>
    <sheet name="FE-Maq e Equip" sheetId="17" r:id="rId4"/>
    <sheet name="Emissão Chaminés" sheetId="9" r:id="rId5"/>
    <sheet name="Emissão Maq e Equip" sheetId="14" r:id="rId6"/>
    <sheet name="Emissão Transferências" sheetId="18" r:id="rId7"/>
    <sheet name="Resumo" sheetId="25" r:id="rId8"/>
  </sheets>
  <externalReferences>
    <externalReference r:id="rId9"/>
  </externalReferences>
  <definedNames>
    <definedName name="Ind_Silte">[1]FatorEmis_Vias!$I$12:$I$21</definedName>
    <definedName name="Info_Caminhões">[1]Dados!$A$7:$A$17</definedName>
    <definedName name="Tabela_Caminhões">[1]Dados!$A$7:$C$17</definedName>
    <definedName name="Tabela_Fator_Veic">[1]FatorEmis_Vias!$A$4:$G$16</definedName>
    <definedName name="Tabela_Silte">[1]FatorEmis_Vias!$I$12:$O$21</definedName>
    <definedName name="Tipo_Veic">[1]FatorEmis_Vias!$A$4:$A$16</definedName>
  </definedNames>
  <calcPr calcId="152511"/>
</workbook>
</file>

<file path=xl/calcChain.xml><?xml version="1.0" encoding="utf-8"?>
<calcChain xmlns="http://schemas.openxmlformats.org/spreadsheetml/2006/main">
  <c r="O4" i="14" l="1"/>
  <c r="O3" i="14"/>
  <c r="Z23" i="9"/>
  <c r="Z22" i="9"/>
  <c r="Z21" i="9"/>
  <c r="Z20" i="9"/>
  <c r="Y23" i="9"/>
  <c r="Y22" i="9"/>
  <c r="Y21" i="9"/>
  <c r="Y20" i="9"/>
  <c r="X23" i="9"/>
  <c r="X22" i="9"/>
  <c r="X21" i="9"/>
  <c r="X20" i="9"/>
  <c r="W23" i="9"/>
  <c r="W22" i="9"/>
  <c r="W21" i="9"/>
  <c r="W20" i="9"/>
  <c r="V19" i="9"/>
  <c r="U19" i="9"/>
  <c r="U20" i="9"/>
  <c r="U11" i="9"/>
  <c r="U10" i="9"/>
  <c r="T21" i="9"/>
  <c r="T22" i="9"/>
  <c r="T20" i="9"/>
  <c r="T19" i="9"/>
  <c r="T18" i="9"/>
  <c r="T17" i="9"/>
  <c r="T16" i="9"/>
  <c r="T15" i="9"/>
  <c r="T12" i="9"/>
  <c r="T11" i="9"/>
  <c r="T10" i="9"/>
  <c r="K7" i="18" l="1"/>
  <c r="L7" i="18"/>
  <c r="J7" i="18"/>
  <c r="C5" i="25" l="1"/>
  <c r="D5" i="25"/>
  <c r="E5" i="25"/>
  <c r="F5" i="25"/>
  <c r="G5" i="25"/>
  <c r="H5" i="25"/>
  <c r="B5" i="25"/>
  <c r="G12" i="9" l="1"/>
  <c r="G15" i="9"/>
  <c r="G16" i="9"/>
  <c r="G17" i="9"/>
  <c r="G18" i="9"/>
  <c r="G19" i="9"/>
  <c r="B28" i="21" l="1"/>
  <c r="B22" i="21"/>
  <c r="H6" i="18" l="1"/>
  <c r="G6" i="18"/>
  <c r="S23" i="9"/>
  <c r="R23" i="9"/>
  <c r="P23" i="9"/>
  <c r="Q23" i="9"/>
  <c r="O23" i="9"/>
  <c r="T23" i="9" s="1"/>
  <c r="S22" i="9"/>
  <c r="R22" i="9"/>
  <c r="P22" i="9"/>
  <c r="Q22" i="9"/>
  <c r="O22" i="9"/>
  <c r="G10" i="9"/>
  <c r="B6" i="9"/>
  <c r="B23" i="21"/>
  <c r="A28" i="21" s="1"/>
  <c r="A29" i="21"/>
  <c r="B29" i="21" l="1"/>
  <c r="B30" i="24"/>
  <c r="I6" i="18"/>
  <c r="G11" i="9"/>
  <c r="U17" i="9" l="1"/>
  <c r="V17" i="9"/>
  <c r="N21" i="9"/>
  <c r="M21" i="9"/>
  <c r="K21" i="9"/>
  <c r="L21" i="9"/>
  <c r="J21" i="9"/>
  <c r="N20" i="9"/>
  <c r="M20" i="9"/>
  <c r="K20" i="9"/>
  <c r="L20" i="9"/>
  <c r="J20" i="9"/>
  <c r="V20" i="9" l="1"/>
  <c r="V10" i="9"/>
  <c r="Y24" i="9"/>
  <c r="G4" i="25" s="1"/>
  <c r="V21" i="9"/>
  <c r="U21" i="9"/>
  <c r="X24" i="9" l="1"/>
  <c r="F4" i="25" s="1"/>
  <c r="W24" i="9"/>
  <c r="E4" i="25" s="1"/>
  <c r="Z24" i="9"/>
  <c r="H4" i="25" s="1"/>
  <c r="V23" i="9"/>
  <c r="U23" i="9"/>
  <c r="V22" i="9"/>
  <c r="U22" i="9"/>
  <c r="C14" i="10"/>
  <c r="C13" i="10"/>
  <c r="C12" i="10"/>
  <c r="D6" i="10"/>
  <c r="D5" i="10"/>
  <c r="B28" i="24"/>
  <c r="C20" i="24" s="1"/>
  <c r="I20" i="24"/>
  <c r="G20" i="24"/>
  <c r="E20" i="24"/>
  <c r="C15" i="24"/>
  <c r="C14" i="24"/>
  <c r="C12" i="24"/>
  <c r="C11" i="24"/>
  <c r="C10" i="24"/>
  <c r="C9" i="24"/>
  <c r="C7" i="24"/>
  <c r="C6" i="24"/>
  <c r="C5" i="24"/>
  <c r="V18" i="9" l="1"/>
  <c r="U18" i="9"/>
  <c r="U16" i="9"/>
  <c r="V16" i="9"/>
  <c r="U15" i="9"/>
  <c r="V15" i="9"/>
  <c r="H4" i="14"/>
  <c r="H3" i="14"/>
  <c r="G3" i="14" l="1"/>
  <c r="F6" i="18" l="1"/>
  <c r="B13" i="21"/>
  <c r="B1" i="18" s="1"/>
  <c r="D6" i="18" l="1"/>
  <c r="J6" i="18" s="1"/>
  <c r="B6" i="25" s="1"/>
  <c r="L3" i="14" l="1"/>
  <c r="S3" i="14" s="1"/>
  <c r="K3" i="14"/>
  <c r="R3" i="14" s="1"/>
  <c r="M3" i="14"/>
  <c r="T3" i="14" s="1"/>
  <c r="N3" i="14"/>
  <c r="U3" i="14" s="1"/>
  <c r="J3" i="14"/>
  <c r="L4" i="14"/>
  <c r="S4" i="14" s="1"/>
  <c r="K4" i="14"/>
  <c r="R4" i="14" s="1"/>
  <c r="M4" i="14"/>
  <c r="T4" i="14" s="1"/>
  <c r="N4" i="14"/>
  <c r="U4" i="14" s="1"/>
  <c r="J4" i="14"/>
  <c r="O5" i="14" l="1"/>
  <c r="L6" i="18"/>
  <c r="K6" i="18"/>
  <c r="C6" i="25" l="1"/>
  <c r="D6" i="25"/>
  <c r="B3" i="9"/>
  <c r="B5" i="9" s="1"/>
  <c r="U5" i="14" l="1"/>
  <c r="H8" i="25" s="1"/>
  <c r="T5" i="14"/>
  <c r="G8" i="25" s="1"/>
  <c r="R5" i="14" l="1"/>
  <c r="E8" i="25" s="1"/>
  <c r="S5" i="14"/>
  <c r="F8" i="25" s="1"/>
  <c r="P4" i="14"/>
  <c r="P3" i="14" l="1"/>
  <c r="P5" i="14" s="1"/>
  <c r="Q3" i="14" l="1"/>
  <c r="Q4" i="14"/>
  <c r="Q5" i="14" l="1"/>
  <c r="V12" i="9" l="1"/>
  <c r="U12" i="9"/>
  <c r="T24" i="9" l="1"/>
  <c r="B4" i="25" l="1"/>
  <c r="B8" i="25" s="1"/>
  <c r="U24" i="9"/>
  <c r="V11" i="9"/>
  <c r="V24" i="9" s="1"/>
  <c r="C4" i="25" l="1"/>
  <c r="C8" i="25" s="1"/>
  <c r="D8" i="25"/>
  <c r="D4" i="25"/>
</calcChain>
</file>

<file path=xl/comments1.xml><?xml version="1.0" encoding="utf-8"?>
<comments xmlns="http://schemas.openxmlformats.org/spreadsheetml/2006/main">
  <authors>
    <author>Andrielly Moutinho Knupp</author>
  </authors>
  <commentList>
    <comment ref="A27" authorId="0" shapeId="0">
      <text>
        <r>
          <rPr>
            <sz val="9"/>
            <color indexed="81"/>
            <rFont val="Segoe UI"/>
            <family val="2"/>
          </rPr>
          <t>http://sites.petrobras.com.br/minisite/premiotecnologia/pdf/TecnologiaGas_GasNatural_Motores.pdf</t>
        </r>
      </text>
    </comment>
    <comment ref="A29" authorId="0" shapeId="0">
      <text>
        <r>
          <rPr>
            <sz val="9"/>
            <color indexed="81"/>
            <rFont val="Segoe UI"/>
            <family val="2"/>
          </rPr>
          <t>Teor Máximo de Enxofre no Gás Natural: Resolução ANP 16/2008
http://www.scgas.com.br/uploads/editores/20100720165420.pdf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Andrielly Moutinho Knupp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15 ºC e 1 atm
</t>
        </r>
        <r>
          <rPr>
            <sz val="9"/>
            <color indexed="81"/>
            <rFont val="Tahoma"/>
            <family val="2"/>
          </rPr>
          <t xml:space="preserve">
fator de conversão de lb/106 sfc para kg/106 m³ = 16
</t>
        </r>
      </text>
    </comment>
    <comment ref="B5" authorId="1" shapeId="0">
      <text>
        <r>
          <rPr>
            <sz val="9"/>
            <color indexed="81"/>
            <rFont val="Segoe UI"/>
            <family val="2"/>
          </rPr>
          <t>Expresso como NO2</t>
        </r>
      </text>
    </comment>
    <comment ref="C11" authorId="1" shapeId="0">
      <text>
        <r>
          <rPr>
            <sz val="9"/>
            <color indexed="81"/>
            <rFont val="Segoe UI"/>
            <family val="2"/>
          </rPr>
          <t>15 ºC e 1 atm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fator de conversão de lb/106 sfc para kg/106 m³ = 16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Tatiane Jardim Morais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http://sites.petrobras.com.br/minisite/premiotecnologia/pdf/TecnologiaGas_GasNatural_Motores.pdf</t>
        </r>
      </text>
    </comment>
    <comment ref="A4" authorId="0" shapeId="0">
      <text>
        <r>
          <rPr>
            <sz val="9"/>
            <color indexed="81"/>
            <rFont val="Segoe UI"/>
            <family val="2"/>
          </rPr>
          <t>Teor Máximo de Enxofre no Gás Natural: Resolução ANP 16/2008
http://nxt.anp.gov.br/NXT/gateway.dll/leg/resolucoes_anp/2008/junho/ranp%2016%20-%202008.xml?f=templates$fn=document-frame.htm$3.0$q=$x=$nc=4315</t>
        </r>
      </text>
    </comment>
    <comment ref="F8" authorId="1" shapeId="0">
      <text>
        <r>
          <rPr>
            <sz val="9"/>
            <color indexed="81"/>
            <rFont val="Segoe UI"/>
            <family val="2"/>
          </rPr>
          <t xml:space="preserve">Média das vazões da captação de pó dos equipamentos da Biancogres.
</t>
        </r>
      </text>
    </comment>
    <comment ref="H8" authorId="1" shapeId="0">
      <text>
        <r>
          <rPr>
            <sz val="9"/>
            <color indexed="81"/>
            <rFont val="Segoe UI"/>
            <family val="2"/>
          </rPr>
          <t xml:space="preserve">Por falta de informação, o consumo de GN da Incesa foi baseado na proporção da produção de cerâmica em relação a produção de cerâmica da Biancogres.
</t>
        </r>
      </text>
    </comment>
    <comment ref="I8" authorId="1" shapeId="0">
      <text>
        <r>
          <rPr>
            <sz val="9"/>
            <color indexed="81"/>
            <rFont val="Segoe UI"/>
            <family val="2"/>
          </rPr>
          <t xml:space="preserve">Concentração retirada da pag 121 item 3.3.6.1 do documento de referência da Comissão Européia: Ceramic Manufacturing Industry (2007).
</t>
        </r>
      </text>
    </comment>
  </commentList>
</comments>
</file>

<file path=xl/comments4.xml><?xml version="1.0" encoding="utf-8"?>
<comments xmlns="http://schemas.openxmlformats.org/spreadsheetml/2006/main">
  <authors>
    <author>Tatiane Jardim Morais</author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da Velocidade do vento para o ano de 2015 - Aeroporto de Vitória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 xml:space="preserve">Usado a mesma umidade dos materiais da Biancogres Cerâmicas
</t>
        </r>
      </text>
    </comment>
    <comment ref="E6" authorId="0" shapeId="0">
      <text>
        <r>
          <rPr>
            <sz val="9"/>
            <color indexed="81"/>
            <rFont val="Segoe UI"/>
            <family val="2"/>
          </rPr>
          <t>WRAP (2006) - Fugitive Dust Handbook</t>
        </r>
      </text>
    </comment>
    <comment ref="A15" authorId="1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<sst xmlns="http://schemas.openxmlformats.org/spreadsheetml/2006/main" count="410" uniqueCount="163">
  <si>
    <t>Processo</t>
  </si>
  <si>
    <t>Filtro Manga</t>
  </si>
  <si>
    <t>Forno 01</t>
  </si>
  <si>
    <t>Forno 02</t>
  </si>
  <si>
    <t>Secador 1</t>
  </si>
  <si>
    <t>Secador 3</t>
  </si>
  <si>
    <t>CO</t>
  </si>
  <si>
    <t>NOx</t>
  </si>
  <si>
    <t>COV</t>
  </si>
  <si>
    <t>Fonte Emissora</t>
  </si>
  <si>
    <t>Pollutant</t>
  </si>
  <si>
    <t>VOC</t>
  </si>
  <si>
    <r>
      <t>(lb/10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scf)</t>
    </r>
  </si>
  <si>
    <t>PM (Total)</t>
  </si>
  <si>
    <t>Densidade absoluta do ar [kg/m³]</t>
  </si>
  <si>
    <t>Densidade do GN [kg/m³]</t>
  </si>
  <si>
    <r>
      <t>kg/10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>m³</t>
    </r>
  </si>
  <si>
    <t>Uncontrolled</t>
  </si>
  <si>
    <t>Teor máximo de enxofre no GN [mg/m³]</t>
  </si>
  <si>
    <t>Densidade relativa Gás Natural [%]</t>
  </si>
  <si>
    <t>Classificação dos fatores de emissão</t>
  </si>
  <si>
    <t>Horas/dia</t>
  </si>
  <si>
    <t>Tractors/Loaders/Backhoes</t>
  </si>
  <si>
    <t>Equipamentos - Escapamento</t>
  </si>
  <si>
    <t>Quantidade Equipamentos</t>
  </si>
  <si>
    <t>Equipment</t>
  </si>
  <si>
    <t>MaxHP</t>
  </si>
  <si>
    <t>ROG</t>
  </si>
  <si>
    <t>NOX</t>
  </si>
  <si>
    <t>SOX</t>
  </si>
  <si>
    <t>PM</t>
  </si>
  <si>
    <t>CO2</t>
  </si>
  <si>
    <t>CH4</t>
  </si>
  <si>
    <t>Tractors/Loaders/Backhoes Composite</t>
  </si>
  <si>
    <t>(AP42) Table 1.4-1 - Emission Factors for NOx and CO from Natural Gas Combustion</t>
  </si>
  <si>
    <t>(AP42) Table 1.4-2 - Emission Factors for Criteria Pollutants and GHG from natural gas combustion</t>
  </si>
  <si>
    <t>Taxa de Emissão [kg/h]</t>
  </si>
  <si>
    <t>Pá carregadeira L90f volvo</t>
  </si>
  <si>
    <t>AP-42 (EPA, 1998): https://www3.epa.gov/ttn/chief/ap42/ch01/final/c01s04.pdf</t>
  </si>
  <si>
    <t>Emission Factor Rating</t>
  </si>
  <si>
    <t>A</t>
  </si>
  <si>
    <t>B</t>
  </si>
  <si>
    <t>D</t>
  </si>
  <si>
    <t>C</t>
  </si>
  <si>
    <r>
      <t>(lb/10</t>
    </r>
    <r>
      <rPr>
        <vertAlign val="superscript"/>
        <sz val="8"/>
        <rFont val="Arial"/>
        <family val="2"/>
      </rPr>
      <t xml:space="preserve">6 </t>
    </r>
    <r>
      <rPr>
        <sz val="8"/>
        <rFont val="Arial"/>
        <family val="2"/>
      </rPr>
      <t>scf)</t>
    </r>
  </si>
  <si>
    <r>
      <t>kg/10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>m³</t>
    </r>
  </si>
  <si>
    <t>Teor de Enxofre (%)</t>
  </si>
  <si>
    <t>Fator de Emissão [kg/h]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</si>
  <si>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</si>
  <si>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</si>
  <si>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Referência: AQMD (2016) - http://www.aqmd.gov/home/regulations/ceqa/air-quality-analysis-handbook/off-road-mobile-source-emission-factors</t>
  </si>
  <si>
    <t>Ano de Referência: 2007</t>
  </si>
  <si>
    <t>Quantidade Movimentada (t/ano)</t>
  </si>
  <si>
    <t>Velocidade do Vento (m/s)</t>
  </si>
  <si>
    <t>Quantidade Movimentada (t/h)</t>
  </si>
  <si>
    <t>Eficiência de Controle (%)</t>
  </si>
  <si>
    <t>Umidade do Material (%)</t>
  </si>
  <si>
    <t>Fator de Emissão [kg/t]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</si>
  <si>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</si>
  <si>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</si>
  <si>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TR - Carreg/Descarreg. Pilhas</t>
  </si>
  <si>
    <t>Referências: AP-42 (USEPA, 2006) - https://www3.epa.gov/ttn/chief/ap42/ch13/final/c13s0204.pdf</t>
  </si>
  <si>
    <t>Aerodynamic Particle Size Multiplier (k) For Equation 1</t>
  </si>
  <si>
    <r>
      <t xml:space="preserve">&lt; 30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</si>
  <si>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10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</si>
  <si>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2.5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</si>
  <si>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t>Equação Geral:</t>
  </si>
  <si>
    <t>Onde:
E - emissão
k - particle size multiplier (dimensionless)
U - mean wind speed, meters per second (m/s) (miles per hour [mph]) 
M - material moisture content (%)</t>
  </si>
  <si>
    <t>Modelo</t>
  </si>
  <si>
    <t>Volvo L90f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</si>
  <si>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</si>
  <si>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</si>
  <si>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</si>
  <si>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Taxas de Emissão [kg/h]</t>
  </si>
  <si>
    <t>Concentração de MP [mg/Nm³]</t>
  </si>
  <si>
    <t>Consumo GN  [m³/h]</t>
  </si>
  <si>
    <t>Small Boilers (&lt;100)</t>
  </si>
  <si>
    <r>
      <t>SO</t>
    </r>
    <r>
      <rPr>
        <vertAlign val="subscript"/>
        <sz val="8"/>
        <color theme="1"/>
        <rFont val="Arial"/>
        <family val="2"/>
      </rPr>
      <t>2</t>
    </r>
  </si>
  <si>
    <t>Trator</t>
  </si>
  <si>
    <t>Newroland TL95</t>
  </si>
  <si>
    <t>Consumo de Combustível [L/h]</t>
  </si>
  <si>
    <t>Captação de pó Prensas 01</t>
  </si>
  <si>
    <t>Captação de pó Prensas 02</t>
  </si>
  <si>
    <t>Captação de pó Sist. Granulação 01</t>
  </si>
  <si>
    <t>Captação de pó Sist. Granulação 02</t>
  </si>
  <si>
    <t>Captação de pó Leito Fluidizado LB</t>
  </si>
  <si>
    <t>Captação de pó Moinho Verdes</t>
  </si>
  <si>
    <t>Captação de pó Moinho FL Smith 01</t>
  </si>
  <si>
    <t xml:space="preserve">Captação de pó Secador FL Smith </t>
  </si>
  <si>
    <t xml:space="preserve">Captação de pó Osepa 750 FL Smith </t>
  </si>
  <si>
    <t xml:space="preserve">Captação de pó Osepa 250 Furlan </t>
  </si>
  <si>
    <t>Descrição</t>
  </si>
  <si>
    <t>Brasitália</t>
  </si>
  <si>
    <t>CCP AM</t>
  </si>
  <si>
    <t>PH7</t>
  </si>
  <si>
    <t>Talco</t>
  </si>
  <si>
    <t>Argila Campo Grande</t>
  </si>
  <si>
    <t>Total (t/ano)</t>
  </si>
  <si>
    <t>Consumo de Matéria Prima Mineral 2015</t>
  </si>
  <si>
    <t>Total</t>
  </si>
  <si>
    <t>Fator de Emissão Fabricação de Cerâmica [kg/t]</t>
  </si>
  <si>
    <r>
      <t>Fator de Emissão GN [kg/10</t>
    </r>
    <r>
      <rPr>
        <b/>
        <vertAlign val="superscript"/>
        <sz val="8"/>
        <color theme="0"/>
        <rFont val="Arial"/>
        <family val="2"/>
      </rPr>
      <t>6</t>
    </r>
    <r>
      <rPr>
        <b/>
        <sz val="8"/>
        <color theme="0"/>
        <rFont val="Arial"/>
        <family val="2"/>
      </rPr>
      <t>m³]</t>
    </r>
  </si>
  <si>
    <t>Table 11.7-1 - EMISSION FACTORS FOR CERAMIC PRODUCTS MANUFACTURING OPERATIONS</t>
  </si>
  <si>
    <t>Source</t>
  </si>
  <si>
    <t>Filterable PM (lb/ton)</t>
  </si>
  <si>
    <t>Filterable PM (kg/t)</t>
  </si>
  <si>
    <t>Comminution - Raw material crushing and screening with fabric filter</t>
  </si>
  <si>
    <t>Dryer</t>
  </si>
  <si>
    <t>E</t>
  </si>
  <si>
    <t>Cooler</t>
  </si>
  <si>
    <t>Granulation - natural gas - fired spray dryer</t>
  </si>
  <si>
    <t>with fabric filter</t>
  </si>
  <si>
    <t>with venturi scrubber</t>
  </si>
  <si>
    <t>Firing - natural gas - fired kiln</t>
  </si>
  <si>
    <t>Refiring - natural gas - fired kiln</t>
  </si>
  <si>
    <t>Ceramic glaze spray booth</t>
  </si>
  <si>
    <t>uncontrolled</t>
  </si>
  <si>
    <t>with wet scrubber</t>
  </si>
  <si>
    <t>Table 11.7-2 - EMISSION FACTORS FOR GASEOUS POLLUTANT EMISSIONS FROM CERAMIC PRODUCTS MANUFACTURING - Emission Factor Rating E</t>
  </si>
  <si>
    <t>Source Category</t>
  </si>
  <si>
    <r>
      <t>NO</t>
    </r>
    <r>
      <rPr>
        <vertAlign val="subscript"/>
        <sz val="8"/>
        <color theme="1"/>
        <rFont val="Arial"/>
        <family val="2"/>
      </rPr>
      <t>X</t>
    </r>
  </si>
  <si>
    <t xml:space="preserve">CO </t>
  </si>
  <si>
    <t>(lb/ton)</t>
  </si>
  <si>
    <t>(kg/t)</t>
  </si>
  <si>
    <t>9,5S</t>
  </si>
  <si>
    <r>
      <rPr>
        <vertAlign val="superscript"/>
        <sz val="8"/>
        <color theme="1"/>
        <rFont val="Arial"/>
        <family val="2"/>
      </rPr>
      <t xml:space="preserve"> a</t>
    </r>
    <r>
      <rPr>
        <sz val="8"/>
        <color theme="1"/>
        <rFont val="Arial"/>
        <family val="2"/>
      </rPr>
      <t xml:space="preserve"> For facilities using raw material with a sulfur content greater than 0.07 percent. The variable S represents the raw material sulfur content (percent). For facilities using raw material with a sulfur content less than or equal to 0.07 percent, use 9.5 S lb/ton to estimate emissions. Emissions of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are dependent on the sulfur content of the raw material and the fuel used to fire the kiln.</t>
    </r>
  </si>
  <si>
    <t>Cálculo do percentual de enxofre no Gás Natural</t>
  </si>
  <si>
    <t>[kg/m³]</t>
  </si>
  <si>
    <t>%</t>
  </si>
  <si>
    <t>mg/m³</t>
  </si>
  <si>
    <t>Teor de Enxofre em Percentual</t>
  </si>
  <si>
    <t>Fonte: https://www3.epa.gov/ttn/chief/ap42/ch01/final/c01s04.pdf</t>
  </si>
  <si>
    <t>Secador 2</t>
  </si>
  <si>
    <t>Fonte Emissora (Biancogres)</t>
  </si>
  <si>
    <t>Consumo de GN  [m³/h]</t>
  </si>
  <si>
    <t>Produção Biancogrês [t/h]</t>
  </si>
  <si>
    <t>Produção Incesa (t/h)</t>
  </si>
  <si>
    <t>Secador</t>
  </si>
  <si>
    <t>Tractors/Loaders/Backhoes 120HP</t>
  </si>
  <si>
    <t>Tractors/Loaders/Backhoes 175HP</t>
  </si>
  <si>
    <t>Produção 2015 (t/h)</t>
  </si>
  <si>
    <t>Dados da Empresa Biancogres Cerâmicas</t>
  </si>
  <si>
    <t>Proporção de consumo de GN Biancogres/Incesa</t>
  </si>
  <si>
    <t>Produção (t/h)</t>
  </si>
  <si>
    <t>Consumo (m³/h)</t>
  </si>
  <si>
    <t>Fonte</t>
  </si>
  <si>
    <t>-</t>
  </si>
  <si>
    <t>Chaminés</t>
  </si>
  <si>
    <t>Equipamentos</t>
  </si>
  <si>
    <t>Transferências</t>
  </si>
  <si>
    <t>Pilhas</t>
  </si>
  <si>
    <t>Horário de Funcionamento (h/dia):</t>
  </si>
  <si>
    <t>Produção Mensal 2015 (t/mês):</t>
  </si>
  <si>
    <t>Fonte: Informações enviadas pelo empreendimento através dos Ofícios IEMA N° 114/2017 e 035/2018</t>
  </si>
  <si>
    <t>Fonte: AP-42 (EPA, 1996): https://www3.epa.gov/ttn/chief/ap42/ch11/final/c11s07.pdf</t>
  </si>
  <si>
    <t xml:space="preserve">Nota: Os sistemas de captação de pó de granulação 1 e 2 e captação de pó do leito fluidizado LB são um filtro só. </t>
  </si>
  <si>
    <t>Vazão [m³/h]</t>
  </si>
  <si>
    <t>Vazão [Nm³/h]</t>
  </si>
  <si>
    <t>TOTAL</t>
  </si>
  <si>
    <t>Potência [HP]</t>
  </si>
  <si>
    <t>Temperatura [ºC]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</si>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</sst>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"/>
    <numFmt numFmtId="166" formatCode="#,##0.0"/>
    <numFmt numFmtId="167" formatCode="0.000"/>
    <numFmt numFmtId="168" formatCode="[&gt;0.005]#,##0.00;&quot;&lt; 0,01&quot;"/>
    <numFmt numFmtId="169" formatCode="#,##0.000"/>
    <numFmt numFmtId="170" formatCode="0.000000"/>
    <numFmt numFmtId="171" formatCode="#,##0.000000"/>
  </numFmts>
  <fonts count="2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color theme="1"/>
      <name val="Arial"/>
      <family val="2"/>
    </font>
    <font>
      <sz val="11"/>
      <name val="ＭＳ Ｐゴシック"/>
      <family val="2"/>
      <charset val="128"/>
    </font>
    <font>
      <sz val="8"/>
      <name val="Arial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vertAlign val="superscript"/>
      <sz val="8"/>
      <name val="Arial"/>
      <family val="2"/>
    </font>
    <font>
      <sz val="11"/>
      <color theme="1"/>
      <name val="Arial"/>
      <family val="2"/>
    </font>
    <font>
      <b/>
      <vertAlign val="subscript"/>
      <sz val="8"/>
      <color theme="0"/>
      <name val="Arial"/>
      <family val="2"/>
    </font>
    <font>
      <sz val="8"/>
      <color theme="1"/>
      <name val="Calibri"/>
      <family val="2"/>
    </font>
    <font>
      <b/>
      <i/>
      <sz val="8"/>
      <color theme="1"/>
      <name val="Arial"/>
      <family val="2"/>
    </font>
    <font>
      <b/>
      <vertAlign val="superscript"/>
      <sz val="8"/>
      <color theme="0"/>
      <name val="Arial"/>
      <family val="2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5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6795556505021"/>
      </bottom>
      <diagonal/>
    </border>
    <border>
      <left style="thin">
        <color rgb="FFD9D9D9"/>
      </left>
      <right style="thin">
        <color theme="0" tint="-0.14996795556505021"/>
      </right>
      <top style="thin">
        <color rgb="FFD9D9D9"/>
      </top>
      <bottom/>
      <diagonal/>
    </border>
    <border>
      <left style="thin">
        <color rgb="FFD9D9D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rgb="FFD9D9D9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rgb="FFD9D9D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rgb="FFD9D9D9"/>
      </bottom>
      <diagonal/>
    </border>
    <border>
      <left style="thin">
        <color theme="0" tint="-0.14996795556505021"/>
      </left>
      <right style="thin">
        <color rgb="FFD9D9D9"/>
      </right>
      <top style="thin">
        <color theme="0" tint="-0.14996795556505021"/>
      </top>
      <bottom style="thin">
        <color rgb="FFD9D9D9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thin">
        <color rgb="FFD9D9D9"/>
      </right>
      <top/>
      <bottom/>
      <diagonal/>
    </border>
    <border>
      <left style="thin">
        <color theme="0" tint="-0.14996795556505021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3">
    <xf numFmtId="0" fontId="0" fillId="0" borderId="0"/>
    <xf numFmtId="0" fontId="5" fillId="0" borderId="0"/>
    <xf numFmtId="0" fontId="21" fillId="0" borderId="0" applyNumberFormat="0" applyFill="0" applyBorder="0" applyAlignment="0" applyProtection="0"/>
  </cellStyleXfs>
  <cellXfs count="241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1" fontId="6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6" fontId="1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4" fontId="1" fillId="0" borderId="0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6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Fill="1" applyBorder="1" applyAlignment="1">
      <alignment horizontal="left" vertical="center"/>
    </xf>
    <xf numFmtId="3" fontId="6" fillId="0" borderId="12" xfId="0" applyNumberFormat="1" applyFont="1" applyFill="1" applyBorder="1" applyAlignment="1">
      <alignment horizontal="center" vertical="center"/>
    </xf>
    <xf numFmtId="4" fontId="6" fillId="0" borderId="12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65" fontId="6" fillId="0" borderId="21" xfId="0" applyNumberFormat="1" applyFont="1" applyFill="1" applyBorder="1" applyAlignment="1">
      <alignment horizontal="center" vertical="center"/>
    </xf>
    <xf numFmtId="164" fontId="6" fillId="0" borderId="21" xfId="0" applyNumberFormat="1" applyFont="1" applyFill="1" applyBorder="1" applyAlignment="1">
      <alignment horizontal="center" vertical="center"/>
    </xf>
    <xf numFmtId="1" fontId="6" fillId="0" borderId="21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6" fillId="0" borderId="12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/>
    </xf>
    <xf numFmtId="0" fontId="8" fillId="0" borderId="0" xfId="0" applyFont="1"/>
    <xf numFmtId="4" fontId="6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 applyProtection="1">
      <alignment vertical="center"/>
    </xf>
    <xf numFmtId="4" fontId="1" fillId="0" borderId="0" xfId="0" applyNumberFormat="1" applyFont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 vertical="center"/>
    </xf>
    <xf numFmtId="165" fontId="6" fillId="0" borderId="1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166" fontId="6" fillId="0" borderId="1" xfId="0" applyNumberFormat="1" applyFont="1" applyFill="1" applyBorder="1" applyAlignment="1">
      <alignment horizontal="center" vertical="center"/>
    </xf>
    <xf numFmtId="170" fontId="6" fillId="0" borderId="1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6" fontId="6" fillId="0" borderId="1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164" fontId="1" fillId="0" borderId="0" xfId="0" applyNumberFormat="1" applyFont="1" applyAlignment="1">
      <alignment horizontal="left" vertical="center"/>
    </xf>
    <xf numFmtId="0" fontId="9" fillId="2" borderId="12" xfId="0" applyFont="1" applyFill="1" applyBorder="1" applyAlignment="1">
      <alignment horizontal="center" vertical="center" wrapText="1"/>
    </xf>
    <xf numFmtId="171" fontId="6" fillId="0" borderId="12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22" fillId="0" borderId="0" xfId="2" applyFont="1"/>
    <xf numFmtId="167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vertical="center" wrapText="1"/>
    </xf>
    <xf numFmtId="170" fontId="1" fillId="0" borderId="0" xfId="0" applyNumberFormat="1" applyFont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166" fontId="23" fillId="3" borderId="12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8" fontId="6" fillId="0" borderId="12" xfId="0" applyNumberFormat="1" applyFont="1" applyFill="1" applyBorder="1" applyAlignment="1">
      <alignment horizontal="center" vertical="center"/>
    </xf>
    <xf numFmtId="166" fontId="6" fillId="0" borderId="13" xfId="0" applyNumberFormat="1" applyFont="1" applyFill="1" applyBorder="1" applyAlignment="1">
      <alignment horizontal="center" vertical="center"/>
    </xf>
    <xf numFmtId="4" fontId="1" fillId="0" borderId="12" xfId="0" applyNumberFormat="1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7" fontId="1" fillId="0" borderId="0" xfId="0" applyNumberFormat="1" applyFont="1" applyAlignment="1">
      <alignment vertical="center"/>
    </xf>
    <xf numFmtId="168" fontId="6" fillId="0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4" fillId="0" borderId="0" xfId="0" applyFont="1"/>
    <xf numFmtId="168" fontId="6" fillId="0" borderId="13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" fontId="1" fillId="0" borderId="12" xfId="0" applyNumberFormat="1" applyFont="1" applyFill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167" fontId="1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" fontId="6" fillId="4" borderId="21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vertical="center"/>
    </xf>
    <xf numFmtId="0" fontId="6" fillId="0" borderId="28" xfId="0" applyFont="1" applyFill="1" applyBorder="1" applyAlignment="1">
      <alignment horizontal="center" vertical="center"/>
    </xf>
    <xf numFmtId="165" fontId="6" fillId="0" borderId="28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2" fontId="6" fillId="4" borderId="2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9" fontId="6" fillId="0" borderId="1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" fontId="6" fillId="4" borderId="42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8" fontId="6" fillId="4" borderId="10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8" fillId="3" borderId="11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3" fontId="6" fillId="0" borderId="13" xfId="0" applyNumberFormat="1" applyFont="1" applyFill="1" applyBorder="1" applyAlignment="1">
      <alignment horizontal="center" vertical="center"/>
    </xf>
    <xf numFmtId="3" fontId="6" fillId="0" borderId="43" xfId="0" applyNumberFormat="1" applyFont="1" applyFill="1" applyBorder="1" applyAlignment="1">
      <alignment horizontal="center" vertical="center"/>
    </xf>
    <xf numFmtId="3" fontId="6" fillId="0" borderId="26" xfId="0" applyNumberFormat="1" applyFont="1" applyFill="1" applyBorder="1" applyAlignment="1">
      <alignment horizontal="center" vertical="center"/>
    </xf>
    <xf numFmtId="166" fontId="6" fillId="0" borderId="44" xfId="0" applyNumberFormat="1" applyFont="1" applyFill="1" applyBorder="1" applyAlignment="1">
      <alignment horizontal="center" vertical="center"/>
    </xf>
    <xf numFmtId="166" fontId="6" fillId="0" borderId="45" xfId="0" applyNumberFormat="1" applyFont="1" applyFill="1" applyBorder="1" applyAlignment="1">
      <alignment horizontal="center" vertical="center"/>
    </xf>
    <xf numFmtId="166" fontId="6" fillId="0" borderId="46" xfId="0" applyNumberFormat="1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 wrapText="1"/>
    </xf>
    <xf numFmtId="0" fontId="9" fillId="2" borderId="48" xfId="0" applyFont="1" applyFill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168" fontId="6" fillId="0" borderId="13" xfId="0" applyNumberFormat="1" applyFont="1" applyFill="1" applyBorder="1" applyAlignment="1">
      <alignment horizontal="center" vertical="center"/>
    </xf>
    <xf numFmtId="168" fontId="6" fillId="0" borderId="43" xfId="0" applyNumberFormat="1" applyFont="1" applyFill="1" applyBorder="1" applyAlignment="1">
      <alignment horizontal="center" vertical="center"/>
    </xf>
    <xf numFmtId="168" fontId="6" fillId="0" borderId="26" xfId="0" applyNumberFormat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 wrapText="1"/>
    </xf>
    <xf numFmtId="0" fontId="9" fillId="2" borderId="34" xfId="1" applyFont="1" applyFill="1" applyBorder="1" applyAlignment="1">
      <alignment horizontal="center" vertical="center" wrapText="1"/>
    </xf>
    <xf numFmtId="0" fontId="9" fillId="2" borderId="35" xfId="1" applyFont="1" applyFill="1" applyBorder="1" applyAlignment="1">
      <alignment horizontal="center" vertical="center" wrapText="1"/>
    </xf>
    <xf numFmtId="0" fontId="9" fillId="2" borderId="36" xfId="1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57" xfId="0" applyNumberFormat="1" applyFont="1" applyFill="1" applyBorder="1" applyAlignment="1" applyProtection="1">
      <alignment horizontal="center" vertical="center" wrapText="1"/>
    </xf>
    <xf numFmtId="4" fontId="6" fillId="4" borderId="54" xfId="0" applyNumberFormat="1" applyFont="1" applyFill="1" applyBorder="1" applyAlignment="1">
      <alignment horizontal="center" vertical="center"/>
    </xf>
    <xf numFmtId="4" fontId="6" fillId="4" borderId="55" xfId="0" applyNumberFormat="1" applyFont="1" applyFill="1" applyBorder="1" applyAlignment="1">
      <alignment horizontal="center" vertical="center"/>
    </xf>
    <xf numFmtId="4" fontId="6" fillId="4" borderId="56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 applyProtection="1">
      <alignment horizontal="center" vertical="center" wrapText="1"/>
    </xf>
    <xf numFmtId="0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53" xfId="0" applyNumberFormat="1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CE6F1"/>
      <color rgb="FF00FF00"/>
      <color rgb="FFD9D9D9"/>
      <color rgb="FF4F81BD"/>
      <color rgb="FF3366FF"/>
      <color rgb="FF0066FF"/>
      <color rgb="FF0066CC"/>
      <color rgb="FFFF66FF"/>
      <color rgb="FFCC00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15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3633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3633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14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VLI/PRJ1401148-Programas%20QAr/06-Invent&#225;rio/6-4_Unidades%20Operacionais_FCA/Terminal%20de%20Araguari/Memorial_Araguari_F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orEmis_Grãos"/>
      <sheetName val="FatorEmis_Vias"/>
      <sheetName val="FatorEmiss_Equip"/>
      <sheetName val="FatorLoco_Carreg"/>
      <sheetName val="Dados"/>
      <sheetName val="TR's"/>
      <sheetName val="Fontes Pontuais"/>
      <sheetName val="Carreg-Descarg"/>
      <sheetName val="Equipamentos"/>
      <sheetName val="Vias"/>
      <sheetName val="Loco-Parada"/>
      <sheetName val="Bloco - Total"/>
    </sheetNames>
    <sheetDataSet>
      <sheetData sheetId="0"/>
      <sheetData sheetId="1">
        <row r="4">
          <cell r="A4" t="str">
            <v>Tubo de escapamento</v>
          </cell>
          <cell r="G4">
            <v>0</v>
          </cell>
        </row>
        <row r="5">
          <cell r="A5" t="str">
            <v xml:space="preserve">     Gasolina C</v>
          </cell>
          <cell r="B5">
            <v>0.08</v>
          </cell>
          <cell r="C5">
            <v>7.0000000000000007E-2</v>
          </cell>
          <cell r="D5">
            <v>0.75</v>
          </cell>
          <cell r="E5">
            <v>11.4</v>
          </cell>
          <cell r="F5">
            <v>1.17</v>
          </cell>
          <cell r="G5" t="str">
            <v>-</v>
          </cell>
        </row>
        <row r="6">
          <cell r="A6" t="str">
            <v xml:space="preserve">     Álcool</v>
          </cell>
          <cell r="B6" t="str">
            <v>-</v>
          </cell>
          <cell r="C6" t="str">
            <v>-</v>
          </cell>
          <cell r="D6">
            <v>1.3</v>
          </cell>
          <cell r="E6">
            <v>20.100000000000001</v>
          </cell>
          <cell r="F6">
            <v>2.17</v>
          </cell>
          <cell r="G6" t="str">
            <v>-</v>
          </cell>
        </row>
        <row r="7">
          <cell r="A7" t="str">
            <v xml:space="preserve">     Flex (álcool)</v>
          </cell>
          <cell r="B7" t="str">
            <v>-</v>
          </cell>
          <cell r="C7" t="str">
            <v>-</v>
          </cell>
          <cell r="D7">
            <v>0.06</v>
          </cell>
          <cell r="E7">
            <v>0.62</v>
          </cell>
          <cell r="F7">
            <v>0.1</v>
          </cell>
          <cell r="G7" t="str">
            <v>-</v>
          </cell>
        </row>
        <row r="8">
          <cell r="A8" t="str">
            <v xml:space="preserve">     Diesel</v>
          </cell>
          <cell r="B8">
            <v>0.47</v>
          </cell>
          <cell r="C8">
            <v>0.13</v>
          </cell>
          <cell r="D8">
            <v>9.81</v>
          </cell>
          <cell r="E8">
            <v>13.4</v>
          </cell>
          <cell r="F8">
            <v>2.0499999999999998</v>
          </cell>
          <cell r="G8">
            <v>285</v>
          </cell>
        </row>
        <row r="9">
          <cell r="A9" t="str">
            <v xml:space="preserve">     Táxi</v>
          </cell>
          <cell r="B9" t="str">
            <v>-</v>
          </cell>
          <cell r="C9" t="str">
            <v>-</v>
          </cell>
          <cell r="D9">
            <v>0.9</v>
          </cell>
          <cell r="E9">
            <v>0.8</v>
          </cell>
          <cell r="F9">
            <v>0.44</v>
          </cell>
          <cell r="G9">
            <v>0</v>
          </cell>
        </row>
        <row r="10">
          <cell r="A10" t="str">
            <v xml:space="preserve">     Motocicletas e similiares</v>
          </cell>
          <cell r="B10">
            <v>0.05</v>
          </cell>
          <cell r="C10">
            <v>0.02</v>
          </cell>
          <cell r="D10">
            <v>0.12</v>
          </cell>
          <cell r="E10">
            <v>10.4</v>
          </cell>
          <cell r="F10">
            <v>1.41</v>
          </cell>
          <cell r="G10">
            <v>0</v>
          </cell>
        </row>
        <row r="11">
          <cell r="A11" t="str">
            <v>Emissão do carter evaporativa</v>
          </cell>
          <cell r="G11">
            <v>0</v>
          </cell>
        </row>
        <row r="12">
          <cell r="A12" t="str">
            <v xml:space="preserve">     Gasolina C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>
            <v>2</v>
          </cell>
          <cell r="G12" t="str">
            <v>-</v>
          </cell>
          <cell r="I12" t="str">
            <v>Copper smelting</v>
          </cell>
          <cell r="J12">
            <v>1</v>
          </cell>
          <cell r="K12">
            <v>3</v>
          </cell>
          <cell r="L12" t="str">
            <v>15,4-21,7</v>
          </cell>
          <cell r="M12">
            <v>19</v>
          </cell>
          <cell r="N12" t="str">
            <v>188-400</v>
          </cell>
          <cell r="O12">
            <v>292</v>
          </cell>
        </row>
        <row r="13">
          <cell r="A13" t="str">
            <v xml:space="preserve">     Álcool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1.5</v>
          </cell>
          <cell r="G13" t="str">
            <v>-</v>
          </cell>
          <cell r="I13" t="str">
            <v>Iron and steel production</v>
          </cell>
          <cell r="J13">
            <v>9</v>
          </cell>
          <cell r="K13">
            <v>48</v>
          </cell>
          <cell r="L13" t="str">
            <v>1,1-35,7</v>
          </cell>
          <cell r="M13">
            <v>12.5</v>
          </cell>
          <cell r="N13" t="str">
            <v>0,09-79</v>
          </cell>
          <cell r="O13">
            <v>9.6999999999999993</v>
          </cell>
        </row>
        <row r="14">
          <cell r="A14" t="str">
            <v xml:space="preserve">     Motocicletas e similiares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>
            <v>1.2</v>
          </cell>
          <cell r="G14" t="str">
            <v>-</v>
          </cell>
          <cell r="I14" t="str">
            <v>Asphalt batching</v>
          </cell>
          <cell r="J14">
            <v>1</v>
          </cell>
          <cell r="K14">
            <v>3</v>
          </cell>
          <cell r="L14" t="str">
            <v>2,6-4,6</v>
          </cell>
          <cell r="M14">
            <v>3.3</v>
          </cell>
          <cell r="N14" t="str">
            <v>76-193</v>
          </cell>
          <cell r="O14">
            <v>120</v>
          </cell>
        </row>
        <row r="15">
          <cell r="A15" t="str">
            <v>Pneus</v>
          </cell>
          <cell r="G15">
            <v>0</v>
          </cell>
          <cell r="I15" t="str">
            <v>Concrete batching</v>
          </cell>
          <cell r="J15">
            <v>1</v>
          </cell>
          <cell r="K15">
            <v>3</v>
          </cell>
          <cell r="L15" t="str">
            <v>5,2-6,0</v>
          </cell>
          <cell r="M15">
            <v>5.5</v>
          </cell>
          <cell r="N15" t="str">
            <v>11,0-12,0</v>
          </cell>
          <cell r="O15">
            <v>12</v>
          </cell>
        </row>
        <row r="16">
          <cell r="A16" t="str">
            <v xml:space="preserve">     Todos os tipos</v>
          </cell>
          <cell r="B16">
            <v>7.0000000000000007E-2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I16" t="str">
            <v>Sand and gravel processing</v>
          </cell>
          <cell r="J16">
            <v>1</v>
          </cell>
          <cell r="K16">
            <v>3</v>
          </cell>
          <cell r="L16" t="str">
            <v>6,4-7,9</v>
          </cell>
          <cell r="M16">
            <v>7.1</v>
          </cell>
          <cell r="N16" t="str">
            <v>53-95</v>
          </cell>
          <cell r="O16">
            <v>70</v>
          </cell>
        </row>
        <row r="17">
          <cell r="I17" t="str">
            <v>Municipal solid waste landfill</v>
          </cell>
          <cell r="J17">
            <v>2</v>
          </cell>
          <cell r="K17">
            <v>7</v>
          </cell>
          <cell r="L17" t="str">
            <v>-</v>
          </cell>
          <cell r="M17" t="str">
            <v>-</v>
          </cell>
          <cell r="N17" t="str">
            <v>1,1-32</v>
          </cell>
          <cell r="O17">
            <v>7.4</v>
          </cell>
        </row>
        <row r="18">
          <cell r="I18" t="str">
            <v>Quarry</v>
          </cell>
          <cell r="J18">
            <v>1</v>
          </cell>
          <cell r="K18">
            <v>6</v>
          </cell>
          <cell r="L18" t="str">
            <v>-</v>
          </cell>
          <cell r="M18" t="str">
            <v>-</v>
          </cell>
          <cell r="N18" t="str">
            <v>2,4-14</v>
          </cell>
          <cell r="O18">
            <v>8.1999999999999993</v>
          </cell>
        </row>
        <row r="19">
          <cell r="I19" t="str">
            <v>Corn wet mills</v>
          </cell>
          <cell r="J19">
            <v>3</v>
          </cell>
          <cell r="K19">
            <v>15</v>
          </cell>
          <cell r="L19" t="str">
            <v>-</v>
          </cell>
          <cell r="M19" t="str">
            <v>-</v>
          </cell>
          <cell r="N19" t="str">
            <v>0,05-2,9</v>
          </cell>
          <cell r="O19">
            <v>1.1000000000000001</v>
          </cell>
        </row>
        <row r="20">
          <cell r="I20" t="str">
            <v>Vias mais sujas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-</v>
          </cell>
          <cell r="O20">
            <v>5.5</v>
          </cell>
        </row>
        <row r="21">
          <cell r="I21" t="str">
            <v>Vias menos sujas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-</v>
          </cell>
          <cell r="O21">
            <v>1.1000000000000001</v>
          </cell>
        </row>
      </sheetData>
      <sheetData sheetId="2"/>
      <sheetData sheetId="3"/>
      <sheetData sheetId="4">
        <row r="7">
          <cell r="A7" t="str">
            <v>Carreta LS - Grãos</v>
          </cell>
          <cell r="B7">
            <v>32</v>
          </cell>
          <cell r="C7" t="str">
            <v>NA</v>
          </cell>
        </row>
        <row r="8">
          <cell r="A8" t="str">
            <v>Rodotren - Grãos</v>
          </cell>
          <cell r="B8">
            <v>50</v>
          </cell>
          <cell r="C8" t="str">
            <v>NA</v>
          </cell>
        </row>
        <row r="9">
          <cell r="A9" t="str">
            <v>Bitren - Grãos</v>
          </cell>
          <cell r="B9">
            <v>37</v>
          </cell>
          <cell r="C9" t="str">
            <v>NA</v>
          </cell>
        </row>
        <row r="10">
          <cell r="A10" t="str">
            <v>Média - Grãos</v>
          </cell>
          <cell r="B10">
            <v>39.666666666666664</v>
          </cell>
          <cell r="C10">
            <v>330</v>
          </cell>
        </row>
        <row r="11">
          <cell r="A11" t="str">
            <v>Bicaçamba - Fertil</v>
          </cell>
          <cell r="B11">
            <v>36</v>
          </cell>
          <cell r="C11" t="str">
            <v>NA</v>
          </cell>
        </row>
        <row r="12">
          <cell r="A12" t="str">
            <v>Rodotren - Fertil</v>
          </cell>
          <cell r="B12">
            <v>46</v>
          </cell>
          <cell r="C12" t="str">
            <v>NA</v>
          </cell>
        </row>
        <row r="13">
          <cell r="A13" t="str">
            <v>Caçamba LS - Fertil</v>
          </cell>
          <cell r="B13">
            <v>28</v>
          </cell>
          <cell r="C13" t="str">
            <v>NA</v>
          </cell>
        </row>
        <row r="14">
          <cell r="A14" t="str">
            <v>Simples - Fertil</v>
          </cell>
          <cell r="B14">
            <v>25</v>
          </cell>
          <cell r="C14" t="str">
            <v>NA</v>
          </cell>
        </row>
        <row r="15">
          <cell r="A15" t="str">
            <v>Média - Fertil</v>
          </cell>
          <cell r="B15">
            <v>33.75</v>
          </cell>
          <cell r="C15">
            <v>30</v>
          </cell>
        </row>
        <row r="16">
          <cell r="A16" t="str">
            <v>Dado fornecido func - Fertil</v>
          </cell>
          <cell r="B16" t="str">
            <v>NA</v>
          </cell>
          <cell r="C16">
            <v>29</v>
          </cell>
        </row>
        <row r="17">
          <cell r="A17" t="str">
            <v>Grãos + Fertil</v>
          </cell>
          <cell r="B17">
            <v>39.173611111111114</v>
          </cell>
          <cell r="C17">
            <v>360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115" zoomScaleNormal="115" workbookViewId="0"/>
  </sheetViews>
  <sheetFormatPr defaultRowHeight="15" customHeight="1"/>
  <cols>
    <col min="1" max="1" width="24.140625" style="1" customWidth="1"/>
    <col min="2" max="2" width="15.140625" style="1" customWidth="1"/>
    <col min="3" max="16384" width="9.140625" style="1"/>
  </cols>
  <sheetData>
    <row r="1" spans="1:2" ht="15" customHeight="1">
      <c r="A1" s="1" t="s">
        <v>153</v>
      </c>
    </row>
    <row r="3" spans="1:2" ht="15" customHeight="1">
      <c r="A3" s="1" t="s">
        <v>152</v>
      </c>
      <c r="B3" s="124">
        <v>22500</v>
      </c>
    </row>
    <row r="4" spans="1:2" ht="15" customHeight="1">
      <c r="A4" s="1" t="s">
        <v>151</v>
      </c>
      <c r="B4" s="42">
        <v>24</v>
      </c>
    </row>
    <row r="6" spans="1:2" ht="15" customHeight="1">
      <c r="A6" s="147" t="s">
        <v>98</v>
      </c>
      <c r="B6" s="148"/>
    </row>
    <row r="7" spans="1:2" ht="15" customHeight="1">
      <c r="A7" s="106" t="s">
        <v>91</v>
      </c>
      <c r="B7" s="104" t="s">
        <v>97</v>
      </c>
    </row>
    <row r="8" spans="1:2" ht="15" customHeight="1">
      <c r="A8" s="21" t="s">
        <v>92</v>
      </c>
      <c r="B8" s="123">
        <v>178836.12</v>
      </c>
    </row>
    <row r="9" spans="1:2" ht="15" customHeight="1">
      <c r="A9" s="21" t="s">
        <v>93</v>
      </c>
      <c r="B9" s="123">
        <v>71799.47</v>
      </c>
    </row>
    <row r="10" spans="1:2" ht="15" customHeight="1">
      <c r="A10" s="21" t="s">
        <v>94</v>
      </c>
      <c r="B10" s="123">
        <v>32149.47</v>
      </c>
    </row>
    <row r="11" spans="1:2" ht="15" customHeight="1">
      <c r="A11" s="21" t="s">
        <v>95</v>
      </c>
      <c r="B11" s="123">
        <v>3624.93</v>
      </c>
    </row>
    <row r="12" spans="1:2" ht="15" customHeight="1">
      <c r="A12" s="21" t="s">
        <v>96</v>
      </c>
      <c r="B12" s="123">
        <v>9240.0400000000009</v>
      </c>
    </row>
    <row r="13" spans="1:2" ht="15" customHeight="1">
      <c r="A13" s="21" t="s">
        <v>99</v>
      </c>
      <c r="B13" s="123">
        <f>SUM(B8:B12)</f>
        <v>295650.02999999997</v>
      </c>
    </row>
    <row r="16" spans="1:2" ht="15" customHeight="1">
      <c r="A16" s="147" t="s">
        <v>141</v>
      </c>
      <c r="B16" s="148"/>
    </row>
    <row r="17" spans="1:3" ht="23.25" customHeight="1">
      <c r="A17" s="106" t="s">
        <v>133</v>
      </c>
      <c r="B17" s="104" t="s">
        <v>134</v>
      </c>
    </row>
    <row r="18" spans="1:3" ht="15" customHeight="1">
      <c r="A18" s="36" t="s">
        <v>4</v>
      </c>
      <c r="B18" s="105">
        <v>161.97168949771691</v>
      </c>
    </row>
    <row r="19" spans="1:3" ht="15" customHeight="1">
      <c r="A19" s="36" t="s">
        <v>132</v>
      </c>
      <c r="B19" s="105">
        <v>102.82865296803654</v>
      </c>
    </row>
    <row r="20" spans="1:3" ht="15" customHeight="1">
      <c r="A20" s="36" t="s">
        <v>5</v>
      </c>
      <c r="B20" s="105">
        <v>160.08162100456622</v>
      </c>
    </row>
    <row r="21" spans="1:3" ht="15" customHeight="1">
      <c r="B21" s="42"/>
    </row>
    <row r="22" spans="1:3" ht="15" customHeight="1">
      <c r="A22" s="1" t="s">
        <v>136</v>
      </c>
      <c r="B22" s="42">
        <f>22500/(30*24)</f>
        <v>31.25</v>
      </c>
    </row>
    <row r="23" spans="1:3" ht="15" customHeight="1">
      <c r="A23" s="11" t="s">
        <v>135</v>
      </c>
      <c r="B23" s="125">
        <f>32121/(30*24)</f>
        <v>44.612499999999997</v>
      </c>
    </row>
    <row r="25" spans="1:3" ht="15" customHeight="1">
      <c r="A25" s="147" t="s">
        <v>142</v>
      </c>
      <c r="B25" s="148"/>
    </row>
    <row r="26" spans="1:3" ht="15" customHeight="1">
      <c r="A26" s="147" t="s">
        <v>137</v>
      </c>
      <c r="B26" s="148"/>
      <c r="C26" s="107"/>
    </row>
    <row r="27" spans="1:3" ht="15" customHeight="1">
      <c r="A27" s="104" t="s">
        <v>143</v>
      </c>
      <c r="B27" s="104" t="s">
        <v>144</v>
      </c>
    </row>
    <row r="28" spans="1:3" ht="15" customHeight="1">
      <c r="A28" s="110">
        <f>B23</f>
        <v>44.612499999999997</v>
      </c>
      <c r="B28" s="110">
        <f>SUM(B18:B20)</f>
        <v>424.88196347031965</v>
      </c>
    </row>
    <row r="29" spans="1:3" ht="15" customHeight="1">
      <c r="A29" s="110">
        <f>B22</f>
        <v>31.25</v>
      </c>
      <c r="B29" s="122">
        <f>(A29*B28)/A28</f>
        <v>297.61975586321074</v>
      </c>
    </row>
  </sheetData>
  <sheetProtection password="B056" sheet="1" objects="1" scenarios="1"/>
  <mergeCells count="4">
    <mergeCell ref="A26:B26"/>
    <mergeCell ref="A6:B6"/>
    <mergeCell ref="A16:B16"/>
    <mergeCell ref="A25:B2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workbookViewId="0">
      <selection activeCell="A2" sqref="A2"/>
    </sheetView>
  </sheetViews>
  <sheetFormatPr defaultRowHeight="15" customHeight="1"/>
  <cols>
    <col min="1" max="1" width="48.42578125" style="87" customWidth="1"/>
    <col min="2" max="3" width="9.5703125" style="87" bestFit="1" customWidth="1"/>
    <col min="4" max="4" width="10.140625" style="87" bestFit="1" customWidth="1"/>
    <col min="5" max="5" width="9.5703125" style="87" customWidth="1"/>
    <col min="6" max="6" width="8.42578125" style="87" bestFit="1" customWidth="1"/>
    <col min="7" max="7" width="8.28515625" style="87" customWidth="1"/>
    <col min="8" max="8" width="9" style="87" bestFit="1" customWidth="1"/>
    <col min="9" max="9" width="10.42578125" style="87" customWidth="1"/>
    <col min="10" max="11" width="9.5703125" style="87" bestFit="1" customWidth="1"/>
    <col min="12" max="12" width="8.140625" style="87" bestFit="1" customWidth="1"/>
    <col min="13" max="13" width="9.28515625" style="87" customWidth="1"/>
    <col min="14" max="14" width="9.7109375" style="87" customWidth="1"/>
    <col min="15" max="15" width="9.5703125" style="87" customWidth="1"/>
    <col min="16" max="16" width="9.42578125" style="87" customWidth="1"/>
    <col min="17" max="16384" width="9.140625" style="87"/>
  </cols>
  <sheetData>
    <row r="1" spans="1:6" ht="15" customHeight="1">
      <c r="A1" s="1" t="s">
        <v>154</v>
      </c>
    </row>
    <row r="3" spans="1:6" ht="15" customHeight="1">
      <c r="A3" s="150" t="s">
        <v>102</v>
      </c>
      <c r="B3" s="151"/>
      <c r="C3" s="151"/>
      <c r="D3" s="152"/>
      <c r="F3" s="88"/>
    </row>
    <row r="4" spans="1:6" ht="22.5">
      <c r="A4" s="65" t="s">
        <v>103</v>
      </c>
      <c r="B4" s="89" t="s">
        <v>104</v>
      </c>
      <c r="C4" s="89" t="s">
        <v>105</v>
      </c>
      <c r="D4" s="89" t="s">
        <v>39</v>
      </c>
      <c r="E4" s="90"/>
    </row>
    <row r="5" spans="1:6" ht="15" customHeight="1">
      <c r="A5" s="9" t="s">
        <v>106</v>
      </c>
      <c r="B5" s="91">
        <v>0.12</v>
      </c>
      <c r="C5" s="91">
        <f>B5*0.5</f>
        <v>0.06</v>
      </c>
      <c r="D5" s="10" t="s">
        <v>42</v>
      </c>
    </row>
    <row r="6" spans="1:6" ht="15" customHeight="1">
      <c r="A6" s="9" t="s">
        <v>107</v>
      </c>
      <c r="B6" s="91">
        <v>2.2999999999999998</v>
      </c>
      <c r="C6" s="91">
        <f t="shared" ref="C6:C15" si="0">B6*0.5</f>
        <v>1.1499999999999999</v>
      </c>
      <c r="D6" s="10" t="s">
        <v>108</v>
      </c>
    </row>
    <row r="7" spans="1:6" ht="15" customHeight="1">
      <c r="A7" s="9" t="s">
        <v>109</v>
      </c>
      <c r="B7" s="91">
        <v>0.11</v>
      </c>
      <c r="C7" s="91">
        <f t="shared" si="0"/>
        <v>5.5E-2</v>
      </c>
      <c r="D7" s="10" t="s">
        <v>108</v>
      </c>
    </row>
    <row r="8" spans="1:6" ht="15" customHeight="1">
      <c r="A8" s="9" t="s">
        <v>110</v>
      </c>
      <c r="B8" s="153"/>
      <c r="C8" s="154"/>
      <c r="D8" s="155"/>
    </row>
    <row r="9" spans="1:6" ht="15" customHeight="1">
      <c r="A9" s="9" t="s">
        <v>111</v>
      </c>
      <c r="B9" s="91">
        <v>0.06</v>
      </c>
      <c r="C9" s="92">
        <f t="shared" si="0"/>
        <v>0.03</v>
      </c>
      <c r="D9" s="10" t="s">
        <v>108</v>
      </c>
    </row>
    <row r="10" spans="1:6" ht="15" customHeight="1">
      <c r="A10" s="9" t="s">
        <v>112</v>
      </c>
      <c r="B10" s="91">
        <v>0.19</v>
      </c>
      <c r="C10" s="91">
        <f t="shared" si="0"/>
        <v>9.5000000000000001E-2</v>
      </c>
      <c r="D10" s="10" t="s">
        <v>42</v>
      </c>
    </row>
    <row r="11" spans="1:6" ht="15" customHeight="1">
      <c r="A11" s="9" t="s">
        <v>113</v>
      </c>
      <c r="B11" s="91">
        <v>0.49</v>
      </c>
      <c r="C11" s="91">
        <f>B11*0.5</f>
        <v>0.245</v>
      </c>
      <c r="D11" s="10" t="s">
        <v>42</v>
      </c>
    </row>
    <row r="12" spans="1:6" ht="15" customHeight="1">
      <c r="A12" s="9" t="s">
        <v>114</v>
      </c>
      <c r="B12" s="92">
        <v>6.7000000000000004E-2</v>
      </c>
      <c r="C12" s="91">
        <f t="shared" si="0"/>
        <v>3.3500000000000002E-2</v>
      </c>
      <c r="D12" s="10" t="s">
        <v>108</v>
      </c>
    </row>
    <row r="13" spans="1:6" ht="15" customHeight="1">
      <c r="A13" s="9" t="s">
        <v>115</v>
      </c>
      <c r="B13" s="156"/>
      <c r="C13" s="157"/>
      <c r="D13" s="158"/>
    </row>
    <row r="14" spans="1:6" ht="15" customHeight="1">
      <c r="A14" s="9" t="s">
        <v>116</v>
      </c>
      <c r="B14" s="91">
        <v>19</v>
      </c>
      <c r="C14" s="91">
        <f t="shared" si="0"/>
        <v>9.5</v>
      </c>
      <c r="D14" s="10" t="s">
        <v>108</v>
      </c>
    </row>
    <row r="15" spans="1:6" ht="15" customHeight="1">
      <c r="A15" s="9" t="s">
        <v>117</v>
      </c>
      <c r="B15" s="92">
        <v>1.8</v>
      </c>
      <c r="C15" s="91">
        <f t="shared" si="0"/>
        <v>0.9</v>
      </c>
      <c r="D15" s="10" t="s">
        <v>42</v>
      </c>
    </row>
    <row r="17" spans="1:16" ht="15" customHeight="1">
      <c r="A17" s="150" t="s">
        <v>118</v>
      </c>
      <c r="B17" s="151"/>
      <c r="C17" s="151"/>
      <c r="D17" s="151"/>
      <c r="E17" s="151"/>
      <c r="F17" s="151"/>
      <c r="G17" s="151"/>
      <c r="H17" s="151"/>
      <c r="I17" s="151"/>
    </row>
    <row r="18" spans="1:16" ht="15" customHeight="1">
      <c r="A18" s="159" t="s">
        <v>119</v>
      </c>
      <c r="B18" s="161" t="s">
        <v>77</v>
      </c>
      <c r="C18" s="161"/>
      <c r="D18" s="162" t="s">
        <v>120</v>
      </c>
      <c r="E18" s="162"/>
      <c r="F18" s="162" t="s">
        <v>121</v>
      </c>
      <c r="G18" s="162"/>
      <c r="H18" s="162" t="s">
        <v>8</v>
      </c>
      <c r="I18" s="162"/>
    </row>
    <row r="19" spans="1:16" ht="15" customHeight="1">
      <c r="A19" s="160"/>
      <c r="B19" s="89" t="s">
        <v>122</v>
      </c>
      <c r="C19" s="89" t="s">
        <v>123</v>
      </c>
      <c r="D19" s="89" t="s">
        <v>122</v>
      </c>
      <c r="E19" s="89" t="s">
        <v>123</v>
      </c>
      <c r="F19" s="89" t="s">
        <v>122</v>
      </c>
      <c r="G19" s="89" t="s">
        <v>123</v>
      </c>
      <c r="H19" s="89" t="s">
        <v>122</v>
      </c>
      <c r="I19" s="89" t="s">
        <v>123</v>
      </c>
    </row>
    <row r="20" spans="1:16" ht="15" customHeight="1">
      <c r="A20" s="40" t="s">
        <v>113</v>
      </c>
      <c r="B20" s="93" t="s">
        <v>124</v>
      </c>
      <c r="C20" s="93">
        <f>9.5*B30*0.5</f>
        <v>4.4475655430711615E-2</v>
      </c>
      <c r="D20" s="94">
        <v>0.54</v>
      </c>
      <c r="E20" s="93">
        <f>D20*0.5</f>
        <v>0.27</v>
      </c>
      <c r="F20" s="93">
        <v>3.3</v>
      </c>
      <c r="G20" s="93">
        <f>F20*0.5</f>
        <v>1.65</v>
      </c>
      <c r="H20" s="41">
        <v>0.43</v>
      </c>
      <c r="I20" s="93">
        <f>H20*0.5</f>
        <v>0.215</v>
      </c>
    </row>
    <row r="21" spans="1:16" ht="15" customHeight="1">
      <c r="A21" s="149" t="s">
        <v>125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</row>
    <row r="22" spans="1:16" ht="15" customHeight="1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</row>
    <row r="24" spans="1:16" ht="15" customHeight="1">
      <c r="A24" s="95"/>
    </row>
    <row r="25" spans="1:16" ht="15" customHeight="1">
      <c r="A25" s="150" t="s">
        <v>126</v>
      </c>
      <c r="B25" s="151"/>
      <c r="C25" s="151"/>
      <c r="D25" s="96"/>
    </row>
    <row r="26" spans="1:16" ht="15" customHeight="1">
      <c r="A26" s="21" t="s">
        <v>14</v>
      </c>
      <c r="B26" s="19">
        <v>1.2</v>
      </c>
      <c r="C26" s="128" t="s">
        <v>127</v>
      </c>
    </row>
    <row r="27" spans="1:16" ht="15" customHeight="1">
      <c r="A27" s="23" t="s">
        <v>19</v>
      </c>
      <c r="B27" s="24">
        <v>62.3</v>
      </c>
      <c r="C27" s="129" t="s">
        <v>128</v>
      </c>
    </row>
    <row r="28" spans="1:16" ht="15" customHeight="1">
      <c r="A28" s="11" t="s">
        <v>15</v>
      </c>
      <c r="B28" s="18">
        <f>B26*B27/100</f>
        <v>0.74759999999999993</v>
      </c>
      <c r="C28" s="130" t="s">
        <v>127</v>
      </c>
    </row>
    <row r="29" spans="1:16" ht="15" customHeight="1">
      <c r="A29" s="8" t="s">
        <v>18</v>
      </c>
      <c r="B29" s="97">
        <v>70</v>
      </c>
      <c r="C29" s="97" t="s">
        <v>129</v>
      </c>
    </row>
    <row r="30" spans="1:16" ht="15" customHeight="1">
      <c r="A30" s="126" t="s">
        <v>130</v>
      </c>
      <c r="B30" s="127">
        <f>((B29*10^-6)/B28)*100</f>
        <v>9.3632958801498131E-3</v>
      </c>
      <c r="C30" s="131" t="s">
        <v>128</v>
      </c>
    </row>
    <row r="31" spans="1:16" ht="15" customHeight="1">
      <c r="A31" s="1"/>
      <c r="B31" s="1"/>
      <c r="C31" s="1"/>
    </row>
    <row r="32" spans="1:16" ht="15" customHeight="1">
      <c r="A32" s="98"/>
      <c r="B32" s="98"/>
      <c r="C32" s="1"/>
    </row>
    <row r="33" spans="3:3" ht="15" customHeight="1">
      <c r="C33" s="1"/>
    </row>
  </sheetData>
  <sheetProtection password="B056" sheet="1" objects="1" scenarios="1"/>
  <mergeCells count="11">
    <mergeCell ref="A21:P22"/>
    <mergeCell ref="A25:C25"/>
    <mergeCell ref="A3:D3"/>
    <mergeCell ref="B8:D8"/>
    <mergeCell ref="B13:D13"/>
    <mergeCell ref="A17:I17"/>
    <mergeCell ref="A18:A19"/>
    <mergeCell ref="B18:C18"/>
    <mergeCell ref="D18:E18"/>
    <mergeCell ref="F18:G18"/>
    <mergeCell ref="H18:I18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workbookViewId="0">
      <selection activeCell="E15" sqref="E15"/>
    </sheetView>
  </sheetViews>
  <sheetFormatPr defaultRowHeight="15" customHeight="1"/>
  <cols>
    <col min="1" max="1" width="19.85546875" style="32" customWidth="1"/>
    <col min="2" max="2" width="14" style="32" customWidth="1"/>
    <col min="3" max="3" width="14.85546875" style="32" customWidth="1"/>
    <col min="4" max="4" width="20.28515625" style="32" customWidth="1"/>
    <col min="5" max="5" width="18" style="32" customWidth="1"/>
    <col min="6" max="7" width="16.28515625" style="32" customWidth="1"/>
    <col min="8" max="8" width="11.42578125" style="32" customWidth="1"/>
    <col min="9" max="9" width="12" style="32" customWidth="1"/>
    <col min="10" max="16384" width="9.140625" style="32"/>
  </cols>
  <sheetData>
    <row r="1" spans="1:9" ht="15" customHeight="1">
      <c r="A1" s="1" t="s">
        <v>38</v>
      </c>
    </row>
    <row r="2" spans="1:9" ht="18" customHeight="1">
      <c r="A2" s="161" t="s">
        <v>34</v>
      </c>
      <c r="B2" s="161"/>
      <c r="C2" s="161"/>
      <c r="D2" s="161"/>
      <c r="E2" s="161"/>
      <c r="I2" s="12"/>
    </row>
    <row r="3" spans="1:9" ht="15" customHeight="1">
      <c r="A3" s="163" t="s">
        <v>76</v>
      </c>
      <c r="B3" s="163"/>
      <c r="C3" s="163"/>
      <c r="D3" s="163"/>
      <c r="E3" s="163"/>
      <c r="I3" s="12"/>
    </row>
    <row r="4" spans="1:9" ht="15" customHeight="1">
      <c r="A4" s="163" t="s">
        <v>10</v>
      </c>
      <c r="B4" s="163"/>
      <c r="C4" s="79" t="s">
        <v>44</v>
      </c>
      <c r="D4" s="79" t="s">
        <v>45</v>
      </c>
      <c r="E4" s="99" t="s">
        <v>39</v>
      </c>
      <c r="I4" s="6"/>
    </row>
    <row r="5" spans="1:9" ht="15" customHeight="1">
      <c r="A5" s="164" t="s">
        <v>17</v>
      </c>
      <c r="B5" s="139" t="s">
        <v>7</v>
      </c>
      <c r="C5" s="5">
        <v>100</v>
      </c>
      <c r="D5" s="17">
        <f>16*C5</f>
        <v>1600</v>
      </c>
      <c r="E5" s="10" t="s">
        <v>41</v>
      </c>
      <c r="I5" s="12"/>
    </row>
    <row r="6" spans="1:9" ht="15" customHeight="1">
      <c r="A6" s="165"/>
      <c r="B6" s="139" t="s">
        <v>6</v>
      </c>
      <c r="C6" s="5">
        <v>84</v>
      </c>
      <c r="D6" s="17">
        <f>16*C6</f>
        <v>1344</v>
      </c>
      <c r="E6" s="10" t="s">
        <v>41</v>
      </c>
      <c r="I6" s="12"/>
    </row>
    <row r="7" spans="1:9" ht="18" customHeight="1">
      <c r="A7" s="1" t="s">
        <v>131</v>
      </c>
      <c r="E7" s="10"/>
      <c r="I7" s="12"/>
    </row>
    <row r="8" spans="1:9" ht="15" customHeight="1">
      <c r="A8" s="1"/>
      <c r="E8" s="10"/>
      <c r="I8" s="12"/>
    </row>
    <row r="9" spans="1:9" ht="15" customHeight="1">
      <c r="A9" s="1"/>
      <c r="E9" s="10"/>
      <c r="I9" s="12"/>
    </row>
    <row r="10" spans="1:9" ht="15" customHeight="1">
      <c r="A10" s="166" t="s">
        <v>35</v>
      </c>
      <c r="B10" s="166"/>
      <c r="C10" s="166"/>
      <c r="D10" s="167"/>
      <c r="E10" s="10"/>
      <c r="I10" s="6"/>
    </row>
    <row r="11" spans="1:9" ht="15" customHeight="1">
      <c r="A11" s="100" t="s">
        <v>10</v>
      </c>
      <c r="B11" s="101" t="s">
        <v>12</v>
      </c>
      <c r="C11" s="101" t="s">
        <v>16</v>
      </c>
      <c r="D11" s="102" t="s">
        <v>39</v>
      </c>
      <c r="E11" s="10"/>
      <c r="I11" s="12"/>
    </row>
    <row r="12" spans="1:9" ht="15" customHeight="1">
      <c r="A12" s="7" t="s">
        <v>77</v>
      </c>
      <c r="B12" s="6">
        <v>0.6</v>
      </c>
      <c r="C12" s="12">
        <f t="shared" ref="C12:C14" si="0">16*B12</f>
        <v>9.6</v>
      </c>
      <c r="D12" s="42" t="s">
        <v>40</v>
      </c>
      <c r="E12" s="10"/>
    </row>
    <row r="13" spans="1:9" ht="15" customHeight="1">
      <c r="A13" s="7" t="s">
        <v>11</v>
      </c>
      <c r="B13" s="6">
        <v>5.5</v>
      </c>
      <c r="C13" s="12">
        <f t="shared" si="0"/>
        <v>88</v>
      </c>
      <c r="D13" s="42" t="s">
        <v>43</v>
      </c>
      <c r="E13" s="10"/>
    </row>
    <row r="14" spans="1:9" ht="15" customHeight="1">
      <c r="A14" s="7" t="s">
        <v>13</v>
      </c>
      <c r="B14" s="6">
        <v>7.6</v>
      </c>
      <c r="C14" s="12">
        <f t="shared" si="0"/>
        <v>121.6</v>
      </c>
      <c r="D14" s="42" t="s">
        <v>42</v>
      </c>
      <c r="E14" s="10"/>
    </row>
    <row r="15" spans="1:9" ht="15" customHeight="1">
      <c r="A15" s="7"/>
      <c r="B15" s="6"/>
      <c r="C15" s="6"/>
      <c r="D15" s="42"/>
      <c r="E15" s="10"/>
    </row>
    <row r="16" spans="1:9" ht="15" customHeight="1">
      <c r="A16" s="40"/>
      <c r="B16" s="41"/>
      <c r="C16" s="41"/>
      <c r="D16" s="41"/>
      <c r="E16" s="41"/>
    </row>
    <row r="24" spans="1:7" ht="15" customHeight="1">
      <c r="A24" s="67"/>
      <c r="B24" s="66"/>
      <c r="C24" s="66"/>
      <c r="D24" s="66"/>
      <c r="E24" s="68"/>
    </row>
    <row r="25" spans="1:7" ht="15" customHeight="1">
      <c r="A25" s="69"/>
      <c r="B25" s="8"/>
      <c r="C25" s="8"/>
      <c r="D25" s="8"/>
      <c r="E25" s="70"/>
      <c r="F25" s="13"/>
      <c r="G25" s="13"/>
    </row>
    <row r="26" spans="1:7" ht="15" customHeight="1">
      <c r="A26" s="8"/>
      <c r="B26" s="8"/>
      <c r="C26" s="8"/>
      <c r="D26" s="8"/>
      <c r="E26" s="8"/>
      <c r="F26" s="14"/>
      <c r="G26" s="14"/>
    </row>
    <row r="27" spans="1:7" ht="15" customHeight="1">
      <c r="A27" s="8"/>
      <c r="B27" s="8"/>
      <c r="C27" s="8"/>
      <c r="D27" s="8"/>
      <c r="E27" s="8"/>
      <c r="F27" s="15"/>
      <c r="G27" s="15"/>
    </row>
    <row r="28" spans="1:7" ht="15" customHeight="1">
      <c r="A28" s="1"/>
      <c r="B28" s="1"/>
      <c r="C28" s="1"/>
      <c r="D28" s="1"/>
      <c r="E28" s="1"/>
      <c r="F28" s="16"/>
      <c r="G28" s="16"/>
    </row>
  </sheetData>
  <sheetProtection password="B056" sheet="1" objects="1" scenarios="1"/>
  <mergeCells count="5">
    <mergeCell ref="A2:E2"/>
    <mergeCell ref="A3:E3"/>
    <mergeCell ref="A4:B4"/>
    <mergeCell ref="A5:A6"/>
    <mergeCell ref="A10:D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workbookViewId="0">
      <selection activeCell="L8" sqref="L8"/>
    </sheetView>
  </sheetViews>
  <sheetFormatPr defaultRowHeight="15"/>
  <cols>
    <col min="1" max="1" width="34.140625" style="53" customWidth="1"/>
    <col min="2" max="9" width="9.140625" style="53"/>
    <col min="14" max="16384" width="9.140625" style="53"/>
  </cols>
  <sheetData>
    <row r="1" spans="1:13">
      <c r="A1" s="1" t="s">
        <v>50</v>
      </c>
    </row>
    <row r="2" spans="1:13">
      <c r="A2" s="1" t="s">
        <v>51</v>
      </c>
    </row>
    <row r="3" spans="1:13">
      <c r="A3" s="171" t="s">
        <v>25</v>
      </c>
      <c r="B3" s="168" t="s">
        <v>47</v>
      </c>
      <c r="C3" s="169"/>
      <c r="D3" s="169"/>
      <c r="E3" s="169"/>
      <c r="F3" s="169"/>
      <c r="G3" s="169"/>
      <c r="H3" s="169"/>
      <c r="I3" s="170"/>
    </row>
    <row r="4" spans="1:13">
      <c r="A4" s="172"/>
      <c r="B4" s="137" t="s">
        <v>26</v>
      </c>
      <c r="C4" s="138" t="s">
        <v>30</v>
      </c>
      <c r="D4" s="138" t="s">
        <v>29</v>
      </c>
      <c r="E4" s="138" t="s">
        <v>28</v>
      </c>
      <c r="F4" s="138" t="s">
        <v>6</v>
      </c>
      <c r="G4" s="138" t="s">
        <v>27</v>
      </c>
      <c r="H4" s="138" t="s">
        <v>31</v>
      </c>
      <c r="I4" s="138" t="s">
        <v>32</v>
      </c>
    </row>
    <row r="5" spans="1:13">
      <c r="A5" s="181" t="s">
        <v>22</v>
      </c>
      <c r="B5" s="45">
        <v>25</v>
      </c>
      <c r="C5" s="46">
        <v>4.2993834112443046E-3</v>
      </c>
      <c r="D5" s="46">
        <v>9.1296666664729092E-5</v>
      </c>
      <c r="E5" s="46">
        <v>6.5440342513322841E-2</v>
      </c>
      <c r="F5" s="46">
        <v>3.3633537377302694E-2</v>
      </c>
      <c r="G5" s="46">
        <v>1.1508495299417196E-2</v>
      </c>
      <c r="H5" s="47">
        <v>7.1954542544480447</v>
      </c>
      <c r="I5" s="46">
        <v>1.0383929582217567E-3</v>
      </c>
      <c r="J5" s="53"/>
      <c r="K5" s="53"/>
      <c r="L5" s="53"/>
      <c r="M5" s="53"/>
    </row>
    <row r="6" spans="1:13">
      <c r="A6" s="182"/>
      <c r="B6" s="45">
        <v>50</v>
      </c>
      <c r="C6" s="46">
        <v>1.7631372893573291E-2</v>
      </c>
      <c r="D6" s="46">
        <v>1.7794989554385782E-4</v>
      </c>
      <c r="E6" s="46">
        <v>0.14903250407403665</v>
      </c>
      <c r="F6" s="46">
        <v>0.18074298616110065</v>
      </c>
      <c r="G6" s="46">
        <v>7.6387078761989774E-2</v>
      </c>
      <c r="H6" s="47">
        <v>13.765214572120632</v>
      </c>
      <c r="I6" s="46">
        <v>6.8922839284147877E-3</v>
      </c>
      <c r="J6" s="53"/>
      <c r="K6" s="53"/>
      <c r="L6" s="53"/>
      <c r="M6" s="53"/>
    </row>
    <row r="7" spans="1:13">
      <c r="A7" s="182"/>
      <c r="B7" s="45">
        <v>120</v>
      </c>
      <c r="C7" s="46">
        <v>2.8793678975626062E-2</v>
      </c>
      <c r="D7" s="46">
        <v>2.7523820811752497E-4</v>
      </c>
      <c r="E7" s="46">
        <v>0.31658054663341589</v>
      </c>
      <c r="F7" s="46">
        <v>0.17000606424242778</v>
      </c>
      <c r="G7" s="46">
        <v>5.347757660811845E-2</v>
      </c>
      <c r="H7" s="47">
        <v>23.46343734007862</v>
      </c>
      <c r="I7" s="46">
        <v>4.8251946526192422E-3</v>
      </c>
      <c r="J7" s="53"/>
      <c r="K7" s="53"/>
      <c r="L7" s="53"/>
      <c r="M7" s="53"/>
    </row>
    <row r="8" spans="1:13">
      <c r="A8" s="182"/>
      <c r="B8" s="45">
        <v>175</v>
      </c>
      <c r="C8" s="46">
        <v>3.0494211856921132E-2</v>
      </c>
      <c r="D8" s="46">
        <v>5.1744770686997182E-4</v>
      </c>
      <c r="E8" s="46">
        <v>0.5481767178539948</v>
      </c>
      <c r="F8" s="46">
        <v>0.26843480692719468</v>
      </c>
      <c r="G8" s="46">
        <v>6.8627595472196185E-2</v>
      </c>
      <c r="H8" s="48">
        <v>45.988333064299916</v>
      </c>
      <c r="I8" s="46">
        <v>6.1921566825205547E-3</v>
      </c>
      <c r="J8" s="53"/>
      <c r="K8" s="53"/>
      <c r="L8" s="53"/>
      <c r="M8" s="53"/>
    </row>
    <row r="9" spans="1:13">
      <c r="A9" s="182"/>
      <c r="B9" s="45">
        <v>250</v>
      </c>
      <c r="C9" s="46">
        <v>2.9155277207407175E-2</v>
      </c>
      <c r="D9" s="46">
        <v>8.7649295057503588E-4</v>
      </c>
      <c r="E9" s="46">
        <v>0.87589260205192598</v>
      </c>
      <c r="F9" s="46">
        <v>0.21389122874888331</v>
      </c>
      <c r="G9" s="46">
        <v>7.7732271856787244E-2</v>
      </c>
      <c r="H9" s="48">
        <v>77.898614616801964</v>
      </c>
      <c r="I9" s="46">
        <v>7.0136590139017923E-3</v>
      </c>
      <c r="J9" s="53"/>
      <c r="K9" s="53"/>
      <c r="L9" s="53"/>
      <c r="M9" s="53"/>
    </row>
    <row r="10" spans="1:13">
      <c r="A10" s="182"/>
      <c r="B10" s="45">
        <v>500</v>
      </c>
      <c r="C10" s="46">
        <v>5.3371382581919348E-2</v>
      </c>
      <c r="D10" s="46">
        <v>1.7600257158411894E-3</v>
      </c>
      <c r="E10" s="46">
        <v>1.5318521928885238</v>
      </c>
      <c r="F10" s="46">
        <v>0.46619627890952509</v>
      </c>
      <c r="G10" s="46">
        <v>0.13941759834531142</v>
      </c>
      <c r="H10" s="48">
        <v>156.42290018391407</v>
      </c>
      <c r="I10" s="46">
        <v>1.2579426235098116E-2</v>
      </c>
      <c r="J10" s="53"/>
      <c r="K10" s="53"/>
      <c r="L10" s="53"/>
      <c r="M10" s="53"/>
    </row>
    <row r="11" spans="1:13">
      <c r="A11" s="183"/>
      <c r="B11" s="45">
        <v>750</v>
      </c>
      <c r="C11" s="46">
        <v>8.1348741656060763E-2</v>
      </c>
      <c r="D11" s="46">
        <v>2.6400393448571999E-3</v>
      </c>
      <c r="E11" s="46">
        <v>2.375581129318924</v>
      </c>
      <c r="F11" s="46">
        <v>0.69718233698749976</v>
      </c>
      <c r="G11" s="46">
        <v>0.21267838343155268</v>
      </c>
      <c r="H11" s="48">
        <v>234.63438258015915</v>
      </c>
      <c r="I11" s="46">
        <v>1.9189631928703061E-2</v>
      </c>
      <c r="J11" s="53"/>
      <c r="K11" s="53"/>
      <c r="L11" s="53"/>
      <c r="M11" s="53"/>
    </row>
    <row r="12" spans="1:13">
      <c r="A12" s="134" t="s">
        <v>33</v>
      </c>
      <c r="B12" s="135"/>
      <c r="C12" s="136">
        <v>2.8996101994216584E-2</v>
      </c>
      <c r="D12" s="136">
        <v>3.5159903488017939E-4</v>
      </c>
      <c r="E12" s="136">
        <v>0.37663356210363147</v>
      </c>
      <c r="F12" s="136">
        <v>0.18787735830615651</v>
      </c>
      <c r="G12" s="136">
        <v>5.9282609352764803E-2</v>
      </c>
      <c r="H12" s="136">
        <v>30.303160334307702</v>
      </c>
      <c r="I12" s="136">
        <v>5.3489736642256874E-3</v>
      </c>
      <c r="J12" s="53"/>
      <c r="K12" s="53"/>
      <c r="L12" s="53"/>
      <c r="M12" s="53"/>
    </row>
    <row r="13" spans="1:13">
      <c r="J13" s="53"/>
      <c r="K13" s="53"/>
      <c r="L13" s="53"/>
      <c r="M13" s="53"/>
    </row>
    <row r="14" spans="1:13">
      <c r="J14" s="53"/>
      <c r="K14" s="53"/>
      <c r="L14" s="53"/>
      <c r="M14" s="53"/>
    </row>
    <row r="15" spans="1:13">
      <c r="A15" s="178" t="s">
        <v>66</v>
      </c>
      <c r="B15" s="173"/>
      <c r="C15" s="173"/>
      <c r="D15" s="173"/>
      <c r="E15" s="173"/>
      <c r="F15" s="173"/>
      <c r="J15" s="53"/>
      <c r="K15" s="53"/>
      <c r="L15" s="53"/>
      <c r="M15" s="53"/>
    </row>
    <row r="16" spans="1:13">
      <c r="A16" s="179"/>
      <c r="B16" s="174"/>
      <c r="C16" s="174"/>
      <c r="D16" s="174"/>
      <c r="E16" s="174"/>
      <c r="F16" s="174"/>
      <c r="J16" s="53"/>
      <c r="K16" s="53"/>
      <c r="L16" s="53"/>
      <c r="M16" s="53"/>
    </row>
    <row r="17" spans="1:13">
      <c r="A17" s="179"/>
      <c r="B17" s="174"/>
      <c r="C17" s="174"/>
      <c r="D17" s="174"/>
      <c r="E17" s="174"/>
      <c r="F17" s="174"/>
      <c r="J17" s="53"/>
      <c r="K17" s="53"/>
      <c r="L17" s="53"/>
      <c r="M17" s="53"/>
    </row>
    <row r="18" spans="1:13">
      <c r="A18" s="179"/>
      <c r="B18" s="175" t="s">
        <v>70</v>
      </c>
      <c r="C18" s="175"/>
      <c r="D18" s="175"/>
      <c r="E18" s="175"/>
      <c r="F18" s="175"/>
      <c r="J18" s="53"/>
      <c r="K18" s="53"/>
      <c r="L18" s="53"/>
      <c r="M18" s="53"/>
    </row>
    <row r="19" spans="1:13">
      <c r="A19" s="179"/>
      <c r="B19" s="176"/>
      <c r="C19" s="176"/>
      <c r="D19" s="176"/>
      <c r="E19" s="176"/>
      <c r="F19" s="176"/>
      <c r="J19" s="53"/>
      <c r="K19" s="53"/>
      <c r="L19" s="53"/>
      <c r="M19" s="53"/>
    </row>
    <row r="20" spans="1:13">
      <c r="A20" s="179"/>
      <c r="B20" s="176"/>
      <c r="C20" s="176"/>
      <c r="D20" s="176"/>
      <c r="E20" s="176"/>
      <c r="F20" s="176"/>
      <c r="J20" s="53"/>
      <c r="K20" s="53"/>
      <c r="L20" s="53"/>
      <c r="M20" s="53"/>
    </row>
    <row r="21" spans="1:13">
      <c r="A21" s="180"/>
      <c r="B21" s="177"/>
      <c r="C21" s="177"/>
      <c r="D21" s="177"/>
      <c r="E21" s="177"/>
      <c r="F21" s="177"/>
      <c r="J21" s="53"/>
      <c r="K21" s="53"/>
      <c r="L21" s="53"/>
      <c r="M21" s="53"/>
    </row>
    <row r="22" spans="1:13">
      <c r="J22" s="53"/>
      <c r="K22" s="53"/>
      <c r="L22" s="53"/>
      <c r="M22" s="53"/>
    </row>
    <row r="23" spans="1:13">
      <c r="A23" s="1" t="s">
        <v>71</v>
      </c>
      <c r="J23" s="53"/>
      <c r="K23" s="53"/>
      <c r="L23" s="53"/>
      <c r="M23" s="53"/>
    </row>
    <row r="24" spans="1:13">
      <c r="A24" s="1" t="s">
        <v>72</v>
      </c>
      <c r="J24" s="53"/>
      <c r="K24" s="53"/>
      <c r="L24" s="53"/>
      <c r="M24" s="53"/>
    </row>
    <row r="25" spans="1:13">
      <c r="J25" s="53"/>
      <c r="K25" s="53"/>
      <c r="L25" s="53"/>
      <c r="M25" s="53"/>
    </row>
    <row r="26" spans="1:13">
      <c r="J26" s="53"/>
      <c r="K26" s="53"/>
      <c r="L26" s="53"/>
      <c r="M26" s="53"/>
    </row>
    <row r="27" spans="1:13">
      <c r="J27" s="53"/>
      <c r="K27" s="53"/>
      <c r="L27" s="53"/>
      <c r="M27" s="53"/>
    </row>
    <row r="28" spans="1:13">
      <c r="J28" s="53"/>
      <c r="K28" s="53"/>
      <c r="L28" s="53"/>
      <c r="M28" s="53"/>
    </row>
    <row r="29" spans="1:13">
      <c r="J29" s="53"/>
      <c r="K29" s="53"/>
      <c r="L29" s="53"/>
      <c r="M29" s="53"/>
    </row>
    <row r="30" spans="1:13">
      <c r="J30" s="53"/>
      <c r="K30" s="53"/>
      <c r="L30" s="53"/>
      <c r="M30" s="53"/>
    </row>
    <row r="31" spans="1:13">
      <c r="J31" s="53"/>
      <c r="K31" s="53"/>
      <c r="L31" s="53"/>
      <c r="M31" s="53"/>
    </row>
    <row r="32" spans="1:13">
      <c r="J32" s="53"/>
      <c r="K32" s="53"/>
      <c r="L32" s="53"/>
      <c r="M32" s="53"/>
    </row>
    <row r="33" spans="10:13">
      <c r="J33" s="53"/>
      <c r="K33" s="53"/>
      <c r="L33" s="53"/>
      <c r="M33" s="53"/>
    </row>
    <row r="34" spans="10:13">
      <c r="J34" s="53"/>
      <c r="K34" s="53"/>
      <c r="L34" s="53"/>
      <c r="M34" s="53"/>
    </row>
    <row r="35" spans="10:13">
      <c r="J35" s="53"/>
      <c r="K35" s="53"/>
      <c r="L35" s="53"/>
      <c r="M35" s="53"/>
    </row>
    <row r="36" spans="10:13">
      <c r="J36" s="53"/>
      <c r="K36" s="53"/>
      <c r="L36" s="53"/>
      <c r="M36" s="53"/>
    </row>
    <row r="37" spans="10:13">
      <c r="J37" s="53"/>
      <c r="K37" s="53"/>
      <c r="L37" s="53"/>
      <c r="M37" s="53"/>
    </row>
    <row r="38" spans="10:13">
      <c r="J38" s="53"/>
      <c r="K38" s="53"/>
      <c r="L38" s="53"/>
      <c r="M38" s="53"/>
    </row>
    <row r="39" spans="10:13">
      <c r="J39" s="53"/>
      <c r="K39" s="53"/>
      <c r="L39" s="53"/>
      <c r="M39" s="53"/>
    </row>
    <row r="40" spans="10:13">
      <c r="J40" s="53"/>
      <c r="K40" s="53"/>
      <c r="L40" s="53"/>
      <c r="M40" s="53"/>
    </row>
    <row r="41" spans="10:13">
      <c r="J41" s="53"/>
      <c r="K41" s="53"/>
      <c r="L41" s="53"/>
      <c r="M41" s="53"/>
    </row>
    <row r="42" spans="10:13">
      <c r="J42" s="53"/>
      <c r="K42" s="53"/>
      <c r="L42" s="53"/>
      <c r="M42" s="53"/>
    </row>
    <row r="43" spans="10:13">
      <c r="J43" s="53"/>
      <c r="K43" s="53"/>
      <c r="L43" s="53"/>
      <c r="M43" s="53"/>
    </row>
    <row r="44" spans="10:13">
      <c r="J44" s="53"/>
      <c r="K44" s="53"/>
      <c r="L44" s="53"/>
      <c r="M44" s="53"/>
    </row>
    <row r="45" spans="10:13">
      <c r="J45" s="53"/>
      <c r="K45" s="53"/>
      <c r="L45" s="53"/>
      <c r="M45" s="53"/>
    </row>
    <row r="46" spans="10:13">
      <c r="J46" s="53"/>
      <c r="K46" s="53"/>
      <c r="L46" s="53"/>
      <c r="M46" s="53"/>
    </row>
    <row r="47" spans="10:13">
      <c r="J47" s="53"/>
      <c r="K47" s="53"/>
      <c r="L47" s="53"/>
      <c r="M47" s="53"/>
    </row>
    <row r="48" spans="10:13">
      <c r="J48" s="53"/>
      <c r="K48" s="53"/>
      <c r="L48" s="53"/>
      <c r="M48" s="53"/>
    </row>
    <row r="49" spans="10:13">
      <c r="J49" s="53"/>
      <c r="K49" s="53"/>
      <c r="L49" s="53"/>
      <c r="M49" s="53"/>
    </row>
    <row r="50" spans="10:13">
      <c r="J50" s="53"/>
      <c r="K50" s="53"/>
      <c r="L50" s="53"/>
      <c r="M50" s="53"/>
    </row>
    <row r="51" spans="10:13">
      <c r="J51" s="53"/>
      <c r="K51" s="53"/>
      <c r="L51" s="53"/>
      <c r="M51" s="53"/>
    </row>
    <row r="52" spans="10:13">
      <c r="J52" s="53"/>
      <c r="K52" s="53"/>
      <c r="L52" s="53"/>
      <c r="M52" s="53"/>
    </row>
    <row r="53" spans="10:13">
      <c r="J53" s="53"/>
      <c r="K53" s="53"/>
      <c r="L53" s="53"/>
      <c r="M53" s="53"/>
    </row>
    <row r="54" spans="10:13">
      <c r="J54" s="53"/>
      <c r="K54" s="53"/>
      <c r="L54" s="53"/>
      <c r="M54" s="53"/>
    </row>
    <row r="55" spans="10:13">
      <c r="J55" s="53"/>
      <c r="K55" s="53"/>
      <c r="L55" s="53"/>
      <c r="M55" s="53"/>
    </row>
    <row r="56" spans="10:13">
      <c r="J56" s="53"/>
      <c r="K56" s="53"/>
      <c r="L56" s="53"/>
      <c r="M56" s="53"/>
    </row>
    <row r="57" spans="10:13">
      <c r="J57" s="53"/>
      <c r="K57" s="53"/>
      <c r="L57" s="53"/>
      <c r="M57" s="53"/>
    </row>
    <row r="58" spans="10:13">
      <c r="J58" s="53"/>
      <c r="K58" s="53"/>
      <c r="L58" s="53"/>
      <c r="M58" s="53"/>
    </row>
    <row r="59" spans="10:13">
      <c r="J59" s="53"/>
      <c r="K59" s="53"/>
      <c r="L59" s="53"/>
      <c r="M59" s="53"/>
    </row>
    <row r="60" spans="10:13">
      <c r="J60" s="53"/>
      <c r="K60" s="53"/>
      <c r="L60" s="53"/>
      <c r="M60" s="53"/>
    </row>
    <row r="61" spans="10:13">
      <c r="J61" s="53"/>
      <c r="K61" s="53"/>
      <c r="L61" s="53"/>
      <c r="M61" s="53"/>
    </row>
    <row r="62" spans="10:13">
      <c r="J62" s="53"/>
      <c r="K62" s="53"/>
      <c r="L62" s="53"/>
      <c r="M62" s="53"/>
    </row>
    <row r="63" spans="10:13">
      <c r="J63" s="53"/>
      <c r="K63" s="53"/>
      <c r="L63" s="53"/>
      <c r="M63" s="53"/>
    </row>
    <row r="64" spans="10:13">
      <c r="J64" s="53"/>
      <c r="K64" s="53"/>
      <c r="L64" s="53"/>
      <c r="M64" s="53"/>
    </row>
    <row r="65" spans="10:13">
      <c r="J65" s="53"/>
      <c r="K65" s="53"/>
      <c r="L65" s="53"/>
      <c r="M65" s="53"/>
    </row>
    <row r="66" spans="10:13">
      <c r="J66" s="53"/>
      <c r="K66" s="53"/>
      <c r="L66" s="53"/>
      <c r="M66" s="53"/>
    </row>
    <row r="67" spans="10:13">
      <c r="J67" s="53"/>
      <c r="K67" s="53"/>
      <c r="L67" s="53"/>
      <c r="M67" s="53"/>
    </row>
    <row r="68" spans="10:13">
      <c r="J68" s="53"/>
      <c r="K68" s="53"/>
      <c r="L68" s="53"/>
      <c r="M68" s="53"/>
    </row>
    <row r="69" spans="10:13">
      <c r="J69" s="53"/>
      <c r="K69" s="53"/>
      <c r="L69" s="53"/>
      <c r="M69" s="53"/>
    </row>
    <row r="70" spans="10:13">
      <c r="J70" s="53"/>
      <c r="K70" s="53"/>
      <c r="L70" s="53"/>
      <c r="M70" s="53"/>
    </row>
    <row r="71" spans="10:13">
      <c r="J71" s="53"/>
      <c r="K71" s="53"/>
      <c r="L71" s="53"/>
      <c r="M71" s="53"/>
    </row>
    <row r="72" spans="10:13">
      <c r="J72" s="53"/>
      <c r="K72" s="53"/>
      <c r="L72" s="53"/>
      <c r="M72" s="53"/>
    </row>
    <row r="73" spans="10:13">
      <c r="J73" s="53"/>
      <c r="K73" s="53"/>
      <c r="L73" s="53"/>
      <c r="M73" s="53"/>
    </row>
    <row r="74" spans="10:13">
      <c r="J74" s="53"/>
      <c r="K74" s="53"/>
      <c r="L74" s="53"/>
      <c r="M74" s="53"/>
    </row>
    <row r="75" spans="10:13">
      <c r="J75" s="53"/>
      <c r="K75" s="53"/>
      <c r="L75" s="53"/>
      <c r="M75" s="53"/>
    </row>
    <row r="76" spans="10:13">
      <c r="J76" s="53"/>
      <c r="K76" s="53"/>
      <c r="L76" s="53"/>
      <c r="M76" s="53"/>
    </row>
    <row r="77" spans="10:13">
      <c r="J77" s="53"/>
      <c r="K77" s="53"/>
      <c r="L77" s="53"/>
      <c r="M77" s="53"/>
    </row>
    <row r="78" spans="10:13">
      <c r="J78" s="53"/>
      <c r="K78" s="53"/>
      <c r="L78" s="53"/>
      <c r="M78" s="53"/>
    </row>
    <row r="79" spans="10:13">
      <c r="J79" s="53"/>
      <c r="K79" s="53"/>
      <c r="L79" s="53"/>
      <c r="M79" s="53"/>
    </row>
    <row r="80" spans="10:13">
      <c r="J80" s="53"/>
      <c r="K80" s="53"/>
      <c r="L80" s="53"/>
      <c r="M80" s="53"/>
    </row>
    <row r="81" spans="10:13">
      <c r="J81" s="53"/>
      <c r="K81" s="53"/>
      <c r="L81" s="53"/>
      <c r="M81" s="53"/>
    </row>
    <row r="82" spans="10:13">
      <c r="J82" s="53"/>
      <c r="K82" s="53"/>
      <c r="L82" s="53"/>
      <c r="M82" s="53"/>
    </row>
    <row r="83" spans="10:13">
      <c r="J83" s="53"/>
      <c r="K83" s="53"/>
      <c r="L83" s="53"/>
      <c r="M83" s="53"/>
    </row>
    <row r="84" spans="10:13">
      <c r="J84" s="53"/>
      <c r="K84" s="53"/>
      <c r="L84" s="53"/>
      <c r="M84" s="53"/>
    </row>
    <row r="85" spans="10:13">
      <c r="J85" s="53"/>
      <c r="K85" s="53"/>
      <c r="L85" s="53"/>
      <c r="M85" s="53"/>
    </row>
    <row r="86" spans="10:13">
      <c r="J86" s="53"/>
      <c r="K86" s="53"/>
      <c r="L86" s="53"/>
      <c r="M86" s="53"/>
    </row>
    <row r="87" spans="10:13">
      <c r="J87" s="53"/>
      <c r="K87" s="53"/>
      <c r="L87" s="53"/>
      <c r="M87" s="53"/>
    </row>
    <row r="88" spans="10:13">
      <c r="J88" s="53"/>
      <c r="K88" s="53"/>
      <c r="L88" s="53"/>
      <c r="M88" s="53"/>
    </row>
    <row r="89" spans="10:13">
      <c r="J89" s="53"/>
      <c r="K89" s="53"/>
      <c r="L89" s="53"/>
      <c r="M89" s="53"/>
    </row>
    <row r="90" spans="10:13">
      <c r="J90" s="53"/>
      <c r="K90" s="53"/>
      <c r="L90" s="53"/>
      <c r="M90" s="53"/>
    </row>
    <row r="91" spans="10:13">
      <c r="J91" s="53"/>
      <c r="K91" s="53"/>
      <c r="L91" s="53"/>
      <c r="M91" s="53"/>
    </row>
    <row r="92" spans="10:13">
      <c r="J92" s="53"/>
      <c r="K92" s="53"/>
      <c r="L92" s="53"/>
      <c r="M92" s="53"/>
    </row>
    <row r="93" spans="10:13">
      <c r="J93" s="53"/>
      <c r="K93" s="53"/>
      <c r="L93" s="53"/>
      <c r="M93" s="53"/>
    </row>
    <row r="94" spans="10:13">
      <c r="J94" s="53"/>
      <c r="K94" s="53"/>
      <c r="L94" s="53"/>
      <c r="M94" s="53"/>
    </row>
    <row r="95" spans="10:13">
      <c r="J95" s="53"/>
      <c r="K95" s="53"/>
      <c r="L95" s="53"/>
      <c r="M95" s="53"/>
    </row>
    <row r="96" spans="10:13">
      <c r="J96" s="53"/>
      <c r="K96" s="53"/>
      <c r="L96" s="53"/>
      <c r="M96" s="53"/>
    </row>
    <row r="97" spans="10:13">
      <c r="J97" s="53"/>
      <c r="K97" s="53"/>
      <c r="L97" s="53"/>
      <c r="M97" s="53"/>
    </row>
    <row r="98" spans="10:13">
      <c r="J98" s="53"/>
      <c r="K98" s="53"/>
      <c r="L98" s="53"/>
      <c r="M98" s="53"/>
    </row>
    <row r="99" spans="10:13">
      <c r="J99" s="53"/>
      <c r="K99" s="53"/>
      <c r="L99" s="53"/>
      <c r="M99" s="53"/>
    </row>
    <row r="100" spans="10:13">
      <c r="J100" s="53"/>
      <c r="K100" s="53"/>
      <c r="L100" s="53"/>
      <c r="M100" s="53"/>
    </row>
    <row r="101" spans="10:13">
      <c r="J101" s="53"/>
      <c r="K101" s="53"/>
      <c r="L101" s="53"/>
      <c r="M101" s="53"/>
    </row>
    <row r="102" spans="10:13">
      <c r="J102" s="53"/>
      <c r="K102" s="53"/>
      <c r="L102" s="53"/>
      <c r="M102" s="53"/>
    </row>
    <row r="103" spans="10:13">
      <c r="J103" s="53"/>
      <c r="K103" s="53"/>
      <c r="L103" s="53"/>
      <c r="M103" s="53"/>
    </row>
    <row r="104" spans="10:13">
      <c r="J104" s="53"/>
      <c r="K104" s="53"/>
      <c r="L104" s="53"/>
      <c r="M104" s="53"/>
    </row>
    <row r="105" spans="10:13">
      <c r="J105" s="53"/>
      <c r="K105" s="53"/>
      <c r="L105" s="53"/>
      <c r="M105" s="53"/>
    </row>
    <row r="106" spans="10:13">
      <c r="J106" s="53"/>
      <c r="K106" s="53"/>
      <c r="L106" s="53"/>
      <c r="M106" s="53"/>
    </row>
    <row r="107" spans="10:13">
      <c r="J107" s="53"/>
      <c r="K107" s="53"/>
      <c r="L107" s="53"/>
      <c r="M107" s="53"/>
    </row>
    <row r="108" spans="10:13">
      <c r="J108" s="53"/>
      <c r="K108" s="53"/>
      <c r="L108" s="53"/>
      <c r="M108" s="53"/>
    </row>
    <row r="109" spans="10:13">
      <c r="J109" s="53"/>
      <c r="K109" s="53"/>
      <c r="L109" s="53"/>
      <c r="M109" s="53"/>
    </row>
    <row r="110" spans="10:13">
      <c r="J110" s="53"/>
      <c r="K110" s="53"/>
      <c r="L110" s="53"/>
      <c r="M110" s="53"/>
    </row>
    <row r="111" spans="10:13">
      <c r="J111" s="53"/>
      <c r="K111" s="53"/>
      <c r="L111" s="53"/>
      <c r="M111" s="53"/>
    </row>
    <row r="112" spans="10:13">
      <c r="J112" s="53"/>
      <c r="K112" s="53"/>
      <c r="L112" s="53"/>
      <c r="M112" s="53"/>
    </row>
    <row r="113" spans="10:13">
      <c r="J113" s="53"/>
      <c r="K113" s="53"/>
      <c r="L113" s="53"/>
      <c r="M113" s="53"/>
    </row>
    <row r="114" spans="10:13">
      <c r="J114" s="53"/>
      <c r="K114" s="53"/>
      <c r="L114" s="53"/>
      <c r="M114" s="53"/>
    </row>
    <row r="115" spans="10:13">
      <c r="J115" s="53"/>
      <c r="K115" s="53"/>
      <c r="L115" s="53"/>
      <c r="M115" s="53"/>
    </row>
    <row r="116" spans="10:13">
      <c r="J116" s="53"/>
      <c r="K116" s="53"/>
      <c r="L116" s="53"/>
      <c r="M116" s="53"/>
    </row>
    <row r="117" spans="10:13">
      <c r="J117" s="53"/>
      <c r="K117" s="53"/>
      <c r="L117" s="53"/>
      <c r="M117" s="53"/>
    </row>
    <row r="118" spans="10:13">
      <c r="J118" s="53"/>
      <c r="K118" s="53"/>
      <c r="L118" s="53"/>
      <c r="M118" s="53"/>
    </row>
    <row r="119" spans="10:13">
      <c r="J119" s="53"/>
      <c r="K119" s="53"/>
      <c r="L119" s="53"/>
      <c r="M119" s="53"/>
    </row>
    <row r="120" spans="10:13">
      <c r="J120" s="53"/>
      <c r="K120" s="53"/>
      <c r="L120" s="53"/>
      <c r="M120" s="53"/>
    </row>
    <row r="121" spans="10:13">
      <c r="J121" s="53"/>
      <c r="K121" s="53"/>
      <c r="L121" s="53"/>
      <c r="M121" s="53"/>
    </row>
    <row r="122" spans="10:13">
      <c r="J122" s="53"/>
      <c r="K122" s="53"/>
      <c r="L122" s="53"/>
      <c r="M122" s="53"/>
    </row>
    <row r="123" spans="10:13">
      <c r="J123" s="53"/>
      <c r="K123" s="53"/>
      <c r="L123" s="53"/>
      <c r="M123" s="53"/>
    </row>
    <row r="124" spans="10:13">
      <c r="J124" s="53"/>
      <c r="K124" s="53"/>
      <c r="L124" s="53"/>
      <c r="M124" s="53"/>
    </row>
    <row r="125" spans="10:13">
      <c r="J125" s="53"/>
      <c r="K125" s="53"/>
      <c r="L125" s="53"/>
      <c r="M125" s="53"/>
    </row>
    <row r="126" spans="10:13">
      <c r="J126" s="53"/>
      <c r="K126" s="53"/>
      <c r="L126" s="53"/>
      <c r="M126" s="53"/>
    </row>
    <row r="127" spans="10:13">
      <c r="J127" s="53"/>
      <c r="K127" s="53"/>
      <c r="L127" s="53"/>
      <c r="M127" s="53"/>
    </row>
    <row r="128" spans="10:13">
      <c r="J128" s="53"/>
      <c r="K128" s="53"/>
      <c r="L128" s="53"/>
      <c r="M128" s="53"/>
    </row>
    <row r="129" spans="10:13">
      <c r="J129" s="53"/>
      <c r="K129" s="53"/>
      <c r="L129" s="53"/>
      <c r="M129" s="53"/>
    </row>
    <row r="130" spans="10:13">
      <c r="J130" s="53"/>
      <c r="K130" s="53"/>
      <c r="L130" s="53"/>
      <c r="M130" s="53"/>
    </row>
    <row r="131" spans="10:13">
      <c r="J131" s="53"/>
      <c r="K131" s="53"/>
      <c r="L131" s="53"/>
      <c r="M131" s="53"/>
    </row>
    <row r="132" spans="10:13">
      <c r="J132" s="53"/>
      <c r="K132" s="53"/>
      <c r="L132" s="53"/>
      <c r="M132" s="53"/>
    </row>
    <row r="133" spans="10:13">
      <c r="J133" s="53"/>
      <c r="K133" s="53"/>
      <c r="L133" s="53"/>
      <c r="M133" s="53"/>
    </row>
    <row r="134" spans="10:13">
      <c r="J134" s="53"/>
      <c r="K134" s="53"/>
      <c r="L134" s="53"/>
      <c r="M134" s="53"/>
    </row>
    <row r="135" spans="10:13">
      <c r="J135" s="53"/>
      <c r="K135" s="53"/>
      <c r="L135" s="53"/>
      <c r="M135" s="53"/>
    </row>
    <row r="136" spans="10:13">
      <c r="J136" s="53"/>
      <c r="K136" s="53"/>
      <c r="L136" s="53"/>
      <c r="M136" s="53"/>
    </row>
    <row r="137" spans="10:13">
      <c r="J137" s="53"/>
      <c r="K137" s="53"/>
      <c r="L137" s="53"/>
      <c r="M137" s="53"/>
    </row>
    <row r="138" spans="10:13">
      <c r="J138" s="53"/>
      <c r="K138" s="53"/>
      <c r="L138" s="53"/>
      <c r="M138" s="53"/>
    </row>
    <row r="139" spans="10:13">
      <c r="J139" s="53"/>
      <c r="K139" s="53"/>
      <c r="L139" s="53"/>
      <c r="M139" s="53"/>
    </row>
    <row r="140" spans="10:13">
      <c r="J140" s="53"/>
      <c r="K140" s="53"/>
      <c r="L140" s="53"/>
      <c r="M140" s="53"/>
    </row>
    <row r="141" spans="10:13">
      <c r="J141" s="53"/>
      <c r="K141" s="53"/>
      <c r="L141" s="53"/>
      <c r="M141" s="53"/>
    </row>
    <row r="142" spans="10:13">
      <c r="J142" s="53"/>
      <c r="K142" s="53"/>
      <c r="L142" s="53"/>
      <c r="M142" s="53"/>
    </row>
    <row r="143" spans="10:13">
      <c r="J143" s="53"/>
      <c r="K143" s="53"/>
      <c r="L143" s="53"/>
      <c r="M143" s="53"/>
    </row>
    <row r="144" spans="10:13">
      <c r="J144" s="53"/>
      <c r="K144" s="53"/>
      <c r="L144" s="53"/>
      <c r="M144" s="53"/>
    </row>
    <row r="145" spans="10:13">
      <c r="J145" s="53"/>
      <c r="K145" s="53"/>
      <c r="L145" s="53"/>
      <c r="M145" s="53"/>
    </row>
    <row r="146" spans="10:13">
      <c r="J146" s="53"/>
      <c r="K146" s="53"/>
      <c r="L146" s="53"/>
      <c r="M146" s="53"/>
    </row>
    <row r="147" spans="10:13">
      <c r="J147" s="53"/>
      <c r="K147" s="53"/>
      <c r="L147" s="53"/>
      <c r="M147" s="53"/>
    </row>
    <row r="148" spans="10:13">
      <c r="J148" s="53"/>
      <c r="K148" s="53"/>
      <c r="L148" s="53"/>
      <c r="M148" s="53"/>
    </row>
    <row r="149" spans="10:13">
      <c r="J149" s="53"/>
      <c r="K149" s="53"/>
      <c r="L149" s="53"/>
      <c r="M149" s="53"/>
    </row>
    <row r="150" spans="10:13">
      <c r="J150" s="53"/>
      <c r="K150" s="53"/>
      <c r="L150" s="53"/>
      <c r="M150" s="53"/>
    </row>
    <row r="151" spans="10:13">
      <c r="J151" s="53"/>
      <c r="K151" s="53"/>
      <c r="L151" s="53"/>
      <c r="M151" s="53"/>
    </row>
    <row r="152" spans="10:13">
      <c r="J152" s="53"/>
      <c r="K152" s="53"/>
      <c r="L152" s="53"/>
      <c r="M152" s="53"/>
    </row>
    <row r="153" spans="10:13">
      <c r="J153" s="53"/>
      <c r="K153" s="53"/>
      <c r="L153" s="53"/>
      <c r="M153" s="53"/>
    </row>
    <row r="154" spans="10:13">
      <c r="J154" s="53"/>
      <c r="K154" s="53"/>
      <c r="L154" s="53"/>
      <c r="M154" s="53"/>
    </row>
    <row r="155" spans="10:13">
      <c r="J155" s="53"/>
      <c r="K155" s="53"/>
      <c r="L155" s="53"/>
      <c r="M155" s="53"/>
    </row>
    <row r="156" spans="10:13">
      <c r="J156" s="53"/>
      <c r="K156" s="53"/>
      <c r="L156" s="53"/>
      <c r="M156" s="53"/>
    </row>
    <row r="157" spans="10:13">
      <c r="J157" s="53"/>
      <c r="K157" s="53"/>
      <c r="L157" s="53"/>
      <c r="M157" s="53"/>
    </row>
    <row r="158" spans="10:13">
      <c r="J158" s="53"/>
      <c r="K158" s="53"/>
      <c r="L158" s="53"/>
      <c r="M158" s="53"/>
    </row>
    <row r="159" spans="10:13">
      <c r="J159" s="53"/>
      <c r="K159" s="53"/>
      <c r="L159" s="53"/>
      <c r="M159" s="53"/>
    </row>
    <row r="160" spans="10:13">
      <c r="J160" s="53"/>
      <c r="K160" s="53"/>
      <c r="L160" s="53"/>
      <c r="M160" s="53"/>
    </row>
    <row r="161" spans="10:13">
      <c r="J161" s="53"/>
      <c r="K161" s="53"/>
      <c r="L161" s="53"/>
      <c r="M161" s="53"/>
    </row>
    <row r="162" spans="10:13">
      <c r="J162" s="53"/>
      <c r="K162" s="53"/>
      <c r="L162" s="53"/>
      <c r="M162" s="53"/>
    </row>
    <row r="163" spans="10:13">
      <c r="J163" s="53"/>
      <c r="K163" s="53"/>
      <c r="L163" s="53"/>
      <c r="M163" s="53"/>
    </row>
    <row r="164" spans="10:13">
      <c r="J164" s="53"/>
      <c r="K164" s="53"/>
      <c r="L164" s="53"/>
      <c r="M164" s="53"/>
    </row>
    <row r="165" spans="10:13">
      <c r="J165" s="53"/>
      <c r="K165" s="53"/>
      <c r="L165" s="53"/>
      <c r="M165" s="53"/>
    </row>
    <row r="166" spans="10:13">
      <c r="J166" s="53"/>
      <c r="K166" s="53"/>
      <c r="L166" s="53"/>
      <c r="M166" s="53"/>
    </row>
    <row r="167" spans="10:13">
      <c r="J167" s="53"/>
      <c r="K167" s="53"/>
      <c r="L167" s="53"/>
      <c r="M167" s="53"/>
    </row>
    <row r="168" spans="10:13">
      <c r="J168" s="53"/>
      <c r="K168" s="53"/>
      <c r="L168" s="53"/>
      <c r="M168" s="53"/>
    </row>
    <row r="169" spans="10:13">
      <c r="J169" s="53"/>
      <c r="K169" s="53"/>
      <c r="L169" s="53"/>
      <c r="M169" s="53"/>
    </row>
    <row r="170" spans="10:13">
      <c r="J170" s="53"/>
      <c r="K170" s="53"/>
      <c r="L170" s="53"/>
      <c r="M170" s="53"/>
    </row>
    <row r="171" spans="10:13">
      <c r="J171" s="53"/>
      <c r="K171" s="53"/>
      <c r="L171" s="53"/>
      <c r="M171" s="53"/>
    </row>
    <row r="172" spans="10:13">
      <c r="J172" s="53"/>
      <c r="K172" s="53"/>
      <c r="L172" s="53"/>
      <c r="M172" s="53"/>
    </row>
    <row r="173" spans="10:13">
      <c r="J173" s="53"/>
      <c r="K173" s="53"/>
      <c r="L173" s="53"/>
      <c r="M173" s="53"/>
    </row>
    <row r="174" spans="10:13">
      <c r="J174" s="53"/>
      <c r="K174" s="53"/>
      <c r="L174" s="53"/>
      <c r="M174" s="53"/>
    </row>
    <row r="175" spans="10:13">
      <c r="J175" s="53"/>
      <c r="K175" s="53"/>
      <c r="L175" s="53"/>
      <c r="M175" s="53"/>
    </row>
    <row r="176" spans="10:13">
      <c r="J176" s="53"/>
      <c r="K176" s="53"/>
      <c r="L176" s="53"/>
      <c r="M176" s="53"/>
    </row>
    <row r="177" spans="10:13">
      <c r="J177" s="53"/>
      <c r="K177" s="53"/>
      <c r="L177" s="53"/>
      <c r="M177" s="53"/>
    </row>
    <row r="178" spans="10:13">
      <c r="J178" s="53"/>
      <c r="K178" s="53"/>
      <c r="L178" s="53"/>
      <c r="M178" s="53"/>
    </row>
    <row r="179" spans="10:13">
      <c r="J179" s="53"/>
      <c r="K179" s="53"/>
      <c r="L179" s="53"/>
      <c r="M179" s="53"/>
    </row>
    <row r="180" spans="10:13">
      <c r="J180" s="53"/>
      <c r="K180" s="53"/>
      <c r="L180" s="53"/>
      <c r="M180" s="53"/>
    </row>
    <row r="181" spans="10:13">
      <c r="J181" s="53"/>
      <c r="K181" s="53"/>
      <c r="L181" s="53"/>
      <c r="M181" s="53"/>
    </row>
    <row r="182" spans="10:13">
      <c r="J182" s="53"/>
      <c r="K182" s="53"/>
      <c r="L182" s="53"/>
      <c r="M182" s="53"/>
    </row>
    <row r="183" spans="10:13">
      <c r="J183" s="53"/>
      <c r="K183" s="53"/>
      <c r="L183" s="53"/>
      <c r="M183" s="53"/>
    </row>
    <row r="184" spans="10:13">
      <c r="J184" s="53"/>
      <c r="K184" s="53"/>
      <c r="L184" s="53"/>
      <c r="M184" s="53"/>
    </row>
    <row r="185" spans="10:13">
      <c r="J185" s="53"/>
      <c r="K185" s="53"/>
      <c r="L185" s="53"/>
      <c r="M185" s="53"/>
    </row>
    <row r="186" spans="10:13">
      <c r="J186" s="53"/>
      <c r="K186" s="53"/>
      <c r="L186" s="53"/>
      <c r="M186" s="53"/>
    </row>
    <row r="187" spans="10:13">
      <c r="J187" s="53"/>
      <c r="K187" s="53"/>
      <c r="L187" s="53"/>
      <c r="M187" s="53"/>
    </row>
    <row r="188" spans="10:13">
      <c r="J188" s="53"/>
      <c r="K188" s="53"/>
      <c r="L188" s="53"/>
      <c r="M188" s="53"/>
    </row>
    <row r="189" spans="10:13">
      <c r="J189" s="53"/>
      <c r="K189" s="53"/>
      <c r="L189" s="53"/>
      <c r="M189" s="53"/>
    </row>
    <row r="190" spans="10:13">
      <c r="J190" s="53"/>
      <c r="K190" s="53"/>
      <c r="L190" s="53"/>
      <c r="M190" s="53"/>
    </row>
    <row r="191" spans="10:13">
      <c r="J191" s="53"/>
      <c r="K191" s="53"/>
      <c r="L191" s="53"/>
      <c r="M191" s="53"/>
    </row>
    <row r="192" spans="10:13">
      <c r="J192" s="53"/>
      <c r="K192" s="53"/>
      <c r="L192" s="53"/>
      <c r="M192" s="53"/>
    </row>
    <row r="193" spans="10:13">
      <c r="J193" s="53"/>
      <c r="K193" s="53"/>
      <c r="L193" s="53"/>
      <c r="M193" s="53"/>
    </row>
    <row r="194" spans="10:13">
      <c r="J194" s="53"/>
      <c r="K194" s="53"/>
      <c r="L194" s="53"/>
      <c r="M194" s="53"/>
    </row>
    <row r="195" spans="10:13">
      <c r="J195" s="53"/>
      <c r="K195" s="53"/>
      <c r="L195" s="53"/>
      <c r="M195" s="53"/>
    </row>
    <row r="196" spans="10:13">
      <c r="J196" s="53"/>
      <c r="K196" s="53"/>
      <c r="L196" s="53"/>
      <c r="M196" s="53"/>
    </row>
    <row r="197" spans="10:13">
      <c r="J197" s="53"/>
      <c r="K197" s="53"/>
      <c r="L197" s="53"/>
      <c r="M197" s="53"/>
    </row>
    <row r="198" spans="10:13">
      <c r="J198" s="53"/>
      <c r="K198" s="53"/>
      <c r="L198" s="53"/>
      <c r="M198" s="53"/>
    </row>
    <row r="199" spans="10:13">
      <c r="J199" s="53"/>
      <c r="K199" s="53"/>
      <c r="L199" s="53"/>
      <c r="M199" s="53"/>
    </row>
    <row r="200" spans="10:13">
      <c r="J200" s="53"/>
      <c r="K200" s="53"/>
      <c r="L200" s="53"/>
      <c r="M200" s="53"/>
    </row>
    <row r="201" spans="10:13">
      <c r="J201" s="53"/>
      <c r="K201" s="53"/>
      <c r="L201" s="53"/>
      <c r="M201" s="53"/>
    </row>
    <row r="202" spans="10:13">
      <c r="J202" s="53"/>
      <c r="K202" s="53"/>
      <c r="L202" s="53"/>
      <c r="M202" s="53"/>
    </row>
    <row r="203" spans="10:13">
      <c r="J203" s="53"/>
      <c r="K203" s="53"/>
      <c r="L203" s="53"/>
      <c r="M203" s="53"/>
    </row>
    <row r="204" spans="10:13">
      <c r="J204" s="53"/>
      <c r="K204" s="53"/>
      <c r="L204" s="53"/>
      <c r="M204" s="53"/>
    </row>
    <row r="205" spans="10:13">
      <c r="J205" s="53"/>
      <c r="K205" s="53"/>
      <c r="L205" s="53"/>
      <c r="M205" s="53"/>
    </row>
    <row r="206" spans="10:13">
      <c r="J206" s="53"/>
      <c r="K206" s="53"/>
      <c r="L206" s="53"/>
      <c r="M206" s="53"/>
    </row>
    <row r="207" spans="10:13">
      <c r="J207" s="53"/>
      <c r="K207" s="53"/>
      <c r="L207" s="53"/>
      <c r="M207" s="53"/>
    </row>
    <row r="208" spans="10:13">
      <c r="J208" s="53"/>
      <c r="K208" s="53"/>
      <c r="L208" s="53"/>
      <c r="M208" s="53"/>
    </row>
    <row r="209" spans="10:13">
      <c r="J209" s="53"/>
      <c r="K209" s="53"/>
      <c r="L209" s="53"/>
      <c r="M209" s="53"/>
    </row>
    <row r="210" spans="10:13">
      <c r="J210" s="53"/>
      <c r="K210" s="53"/>
      <c r="L210" s="53"/>
      <c r="M210" s="53"/>
    </row>
    <row r="211" spans="10:13">
      <c r="J211" s="53"/>
      <c r="K211" s="53"/>
      <c r="L211" s="53"/>
      <c r="M211" s="53"/>
    </row>
    <row r="212" spans="10:13">
      <c r="J212" s="53"/>
      <c r="K212" s="53"/>
      <c r="L212" s="53"/>
      <c r="M212" s="53"/>
    </row>
    <row r="213" spans="10:13">
      <c r="J213" s="53"/>
      <c r="K213" s="53"/>
      <c r="L213" s="53"/>
      <c r="M213" s="53"/>
    </row>
    <row r="214" spans="10:13">
      <c r="J214" s="53"/>
      <c r="K214" s="53"/>
      <c r="L214" s="53"/>
      <c r="M214" s="53"/>
    </row>
    <row r="215" spans="10:13">
      <c r="J215" s="53"/>
      <c r="K215" s="53"/>
      <c r="L215" s="53"/>
      <c r="M215" s="53"/>
    </row>
    <row r="216" spans="10:13">
      <c r="J216" s="53"/>
      <c r="K216" s="53"/>
      <c r="L216" s="53"/>
      <c r="M216" s="53"/>
    </row>
    <row r="217" spans="10:13">
      <c r="J217" s="53"/>
      <c r="K217" s="53"/>
      <c r="L217" s="53"/>
      <c r="M217" s="53"/>
    </row>
    <row r="218" spans="10:13">
      <c r="J218" s="53"/>
      <c r="K218" s="53"/>
      <c r="L218" s="53"/>
      <c r="M218" s="53"/>
    </row>
    <row r="219" spans="10:13">
      <c r="J219" s="53"/>
      <c r="K219" s="53"/>
      <c r="L219" s="53"/>
      <c r="M219" s="53"/>
    </row>
    <row r="220" spans="10:13">
      <c r="J220" s="53"/>
      <c r="K220" s="53"/>
      <c r="L220" s="53"/>
      <c r="M220" s="53"/>
    </row>
    <row r="221" spans="10:13">
      <c r="J221" s="53"/>
      <c r="K221" s="53"/>
      <c r="L221" s="53"/>
      <c r="M221" s="53"/>
    </row>
    <row r="222" spans="10:13">
      <c r="J222" s="53"/>
      <c r="K222" s="53"/>
      <c r="L222" s="53"/>
      <c r="M222" s="53"/>
    </row>
    <row r="223" spans="10:13">
      <c r="J223" s="53"/>
      <c r="K223" s="53"/>
      <c r="L223" s="53"/>
      <c r="M223" s="53"/>
    </row>
    <row r="224" spans="10:13">
      <c r="J224" s="53"/>
      <c r="K224" s="53"/>
      <c r="L224" s="53"/>
      <c r="M224" s="53"/>
    </row>
  </sheetData>
  <sheetProtection password="B056" sheet="1" objects="1" scenarios="1"/>
  <mergeCells count="6">
    <mergeCell ref="B3:I3"/>
    <mergeCell ref="A3:A4"/>
    <mergeCell ref="B15:F17"/>
    <mergeCell ref="B18:F21"/>
    <mergeCell ref="A15:A21"/>
    <mergeCell ref="A5:A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topLeftCell="D1" workbookViewId="0">
      <selection activeCell="Z24" sqref="Z24"/>
    </sheetView>
  </sheetViews>
  <sheetFormatPr defaultRowHeight="15" customHeight="1"/>
  <cols>
    <col min="1" max="1" width="28.140625" style="3" customWidth="1"/>
    <col min="2" max="2" width="17.140625" style="3" customWidth="1"/>
    <col min="3" max="4" width="11" style="3" customWidth="1"/>
    <col min="5" max="5" width="13.85546875" style="3" customWidth="1"/>
    <col min="6" max="6" width="10.85546875" style="3" customWidth="1"/>
    <col min="7" max="7" width="9.28515625" style="3" customWidth="1"/>
    <col min="8" max="8" width="10.28515625" style="3" customWidth="1"/>
    <col min="9" max="9" width="14.5703125" style="29" customWidth="1"/>
    <col min="10" max="14" width="8.28515625" style="29" customWidth="1"/>
    <col min="15" max="19" width="6.85546875" style="29" customWidth="1"/>
    <col min="20" max="22" width="9.140625" style="3" customWidth="1"/>
    <col min="23" max="23" width="9.140625" style="30" customWidth="1"/>
    <col min="24" max="25" width="9.140625" style="3" customWidth="1"/>
    <col min="26" max="26" width="9.140625" style="30" customWidth="1"/>
    <col min="27" max="27" width="9.140625" style="30"/>
    <col min="28" max="16384" width="9.140625" style="3"/>
  </cols>
  <sheetData>
    <row r="1" spans="1:27" ht="15" customHeight="1">
      <c r="A1" s="21" t="s">
        <v>14</v>
      </c>
      <c r="B1" s="19">
        <v>1.2</v>
      </c>
      <c r="C1" s="21"/>
      <c r="D1" s="21"/>
      <c r="F1" s="21"/>
      <c r="G1" s="21"/>
      <c r="I1" s="4"/>
      <c r="J1" s="4"/>
      <c r="K1" s="30"/>
      <c r="L1" s="3"/>
      <c r="M1" s="3"/>
      <c r="N1" s="30"/>
      <c r="O1" s="30"/>
      <c r="P1" s="30"/>
      <c r="Q1" s="30"/>
      <c r="R1" s="30"/>
      <c r="S1" s="30"/>
      <c r="T1" s="30"/>
      <c r="W1" s="3"/>
      <c r="Z1" s="3"/>
      <c r="AA1" s="3"/>
    </row>
    <row r="2" spans="1:27" ht="15" customHeight="1">
      <c r="A2" s="23" t="s">
        <v>19</v>
      </c>
      <c r="B2" s="24">
        <v>62.3</v>
      </c>
      <c r="C2" s="23"/>
      <c r="D2" s="21"/>
      <c r="F2" s="21"/>
      <c r="G2" s="22"/>
      <c r="I2" s="2"/>
      <c r="J2" s="2"/>
      <c r="K2" s="30"/>
      <c r="L2" s="3"/>
      <c r="M2" s="3"/>
      <c r="N2" s="30"/>
      <c r="O2" s="30"/>
      <c r="P2" s="30"/>
      <c r="Q2" s="30"/>
      <c r="R2" s="30"/>
      <c r="S2" s="30"/>
      <c r="T2" s="30"/>
      <c r="W2" s="3"/>
      <c r="Z2" s="3"/>
      <c r="AA2" s="3"/>
    </row>
    <row r="3" spans="1:27" ht="15" customHeight="1">
      <c r="A3" s="11" t="s">
        <v>15</v>
      </c>
      <c r="B3" s="18">
        <f>B1*B2/100</f>
        <v>0.74759999999999993</v>
      </c>
      <c r="C3" s="11"/>
      <c r="D3" s="21"/>
      <c r="F3" s="21"/>
      <c r="G3" s="22"/>
      <c r="I3" s="2"/>
      <c r="J3" s="2"/>
      <c r="K3" s="30"/>
      <c r="L3" s="3"/>
      <c r="M3" s="3"/>
      <c r="N3" s="30"/>
      <c r="O3" s="30"/>
      <c r="P3" s="30"/>
      <c r="Q3" s="30"/>
      <c r="R3" s="30"/>
      <c r="S3" s="30"/>
      <c r="T3" s="30"/>
      <c r="W3" s="3"/>
      <c r="Z3" s="3"/>
      <c r="AA3" s="3"/>
    </row>
    <row r="4" spans="1:27" ht="15" customHeight="1">
      <c r="A4" s="8" t="s">
        <v>18</v>
      </c>
      <c r="B4" s="19">
        <v>70</v>
      </c>
      <c r="C4" s="8"/>
      <c r="I4" s="2"/>
      <c r="J4" s="2"/>
      <c r="K4" s="30"/>
      <c r="L4" s="3"/>
      <c r="M4" s="3"/>
      <c r="N4" s="30"/>
      <c r="O4" s="30"/>
      <c r="P4" s="30"/>
      <c r="Q4" s="30"/>
      <c r="R4" s="30"/>
      <c r="S4" s="30"/>
      <c r="T4" s="30"/>
      <c r="W4" s="3"/>
      <c r="Z4" s="3"/>
      <c r="AA4" s="3"/>
    </row>
    <row r="5" spans="1:27" ht="15" customHeight="1">
      <c r="A5" s="11" t="s">
        <v>46</v>
      </c>
      <c r="B5" s="18">
        <f>((B4*10^-6)/B3)*100</f>
        <v>9.3632958801498131E-3</v>
      </c>
      <c r="I5" s="2"/>
      <c r="J5" s="2"/>
      <c r="K5" s="30"/>
      <c r="L5" s="3"/>
      <c r="M5" s="3"/>
      <c r="N5" s="30"/>
      <c r="O5" s="30"/>
      <c r="P5" s="30"/>
      <c r="Q5" s="30"/>
      <c r="R5" s="30"/>
      <c r="S5" s="30"/>
      <c r="T5" s="30"/>
      <c r="W5" s="3"/>
      <c r="Z5" s="3"/>
      <c r="AA5" s="3"/>
    </row>
    <row r="6" spans="1:27" ht="15" customHeight="1">
      <c r="A6" s="1" t="s">
        <v>140</v>
      </c>
      <c r="B6" s="132">
        <f>22500/(30*24)</f>
        <v>31.25</v>
      </c>
      <c r="V6" s="2"/>
    </row>
    <row r="8" spans="1:27" ht="15" customHeight="1">
      <c r="A8" s="201" t="s">
        <v>9</v>
      </c>
      <c r="B8" s="203" t="s">
        <v>0</v>
      </c>
      <c r="C8" s="208" t="s">
        <v>161</v>
      </c>
      <c r="D8" s="208" t="s">
        <v>162</v>
      </c>
      <c r="E8" s="205" t="s">
        <v>160</v>
      </c>
      <c r="F8" s="205" t="s">
        <v>156</v>
      </c>
      <c r="G8" s="205" t="s">
        <v>157</v>
      </c>
      <c r="H8" s="205" t="s">
        <v>75</v>
      </c>
      <c r="I8" s="205" t="s">
        <v>74</v>
      </c>
      <c r="J8" s="193" t="s">
        <v>100</v>
      </c>
      <c r="K8" s="194"/>
      <c r="L8" s="194"/>
      <c r="M8" s="194"/>
      <c r="N8" s="195"/>
      <c r="O8" s="193" t="s">
        <v>101</v>
      </c>
      <c r="P8" s="194"/>
      <c r="Q8" s="194"/>
      <c r="R8" s="194"/>
      <c r="S8" s="195"/>
      <c r="T8" s="190" t="s">
        <v>73</v>
      </c>
      <c r="U8" s="191"/>
      <c r="V8" s="191"/>
      <c r="W8" s="191"/>
      <c r="X8" s="191"/>
      <c r="Y8" s="191"/>
      <c r="Z8" s="192"/>
      <c r="AA8" s="3"/>
    </row>
    <row r="9" spans="1:27" ht="15" customHeight="1">
      <c r="A9" s="202"/>
      <c r="B9" s="204"/>
      <c r="C9" s="208"/>
      <c r="D9" s="208"/>
      <c r="E9" s="206"/>
      <c r="F9" s="207"/>
      <c r="G9" s="206"/>
      <c r="H9" s="206"/>
      <c r="I9" s="206"/>
      <c r="J9" s="84" t="s">
        <v>30</v>
      </c>
      <c r="K9" s="84" t="s">
        <v>48</v>
      </c>
      <c r="L9" s="84" t="s">
        <v>49</v>
      </c>
      <c r="M9" s="84" t="s">
        <v>6</v>
      </c>
      <c r="N9" s="84" t="s">
        <v>11</v>
      </c>
      <c r="O9" s="84" t="s">
        <v>30</v>
      </c>
      <c r="P9" s="84" t="s">
        <v>48</v>
      </c>
      <c r="Q9" s="84" t="s">
        <v>49</v>
      </c>
      <c r="R9" s="84" t="s">
        <v>6</v>
      </c>
      <c r="S9" s="84" t="s">
        <v>11</v>
      </c>
      <c r="T9" s="111" t="s">
        <v>30</v>
      </c>
      <c r="U9" s="113" t="s">
        <v>58</v>
      </c>
      <c r="V9" s="113" t="s">
        <v>59</v>
      </c>
      <c r="W9" s="111" t="s">
        <v>48</v>
      </c>
      <c r="X9" s="111" t="s">
        <v>49</v>
      </c>
      <c r="Y9" s="111" t="s">
        <v>6</v>
      </c>
      <c r="Z9" s="111" t="s">
        <v>11</v>
      </c>
      <c r="AA9" s="3"/>
    </row>
    <row r="10" spans="1:27" s="2" customFormat="1" ht="15" customHeight="1">
      <c r="A10" s="36" t="s">
        <v>81</v>
      </c>
      <c r="B10" s="49" t="s">
        <v>1</v>
      </c>
      <c r="C10" s="85">
        <v>-20.182086000000002</v>
      </c>
      <c r="D10" s="85">
        <v>-40.245277999999999</v>
      </c>
      <c r="E10" s="37">
        <v>35</v>
      </c>
      <c r="F10" s="37">
        <v>27500</v>
      </c>
      <c r="G10" s="37">
        <f>(F10*273.15)/(273.15+E10)</f>
        <v>24376.521174752554</v>
      </c>
      <c r="H10" s="80" t="s">
        <v>146</v>
      </c>
      <c r="I10" s="72">
        <v>30</v>
      </c>
      <c r="J10" s="75" t="s">
        <v>146</v>
      </c>
      <c r="K10" s="75" t="s">
        <v>146</v>
      </c>
      <c r="L10" s="75" t="s">
        <v>146</v>
      </c>
      <c r="M10" s="75" t="s">
        <v>146</v>
      </c>
      <c r="N10" s="75" t="s">
        <v>146</v>
      </c>
      <c r="O10" s="75" t="s">
        <v>146</v>
      </c>
      <c r="P10" s="75" t="s">
        <v>146</v>
      </c>
      <c r="Q10" s="75" t="s">
        <v>146</v>
      </c>
      <c r="R10" s="75" t="s">
        <v>146</v>
      </c>
      <c r="S10" s="75" t="s">
        <v>146</v>
      </c>
      <c r="T10" s="108">
        <f>(I10*G10)/10^6</f>
        <v>0.73129563524257657</v>
      </c>
      <c r="U10" s="108">
        <f>T10</f>
        <v>0.73129563524257657</v>
      </c>
      <c r="V10" s="108">
        <f>T10</f>
        <v>0.73129563524257657</v>
      </c>
      <c r="W10" s="75" t="s">
        <v>146</v>
      </c>
      <c r="X10" s="75" t="s">
        <v>146</v>
      </c>
      <c r="Y10" s="75" t="s">
        <v>146</v>
      </c>
      <c r="Z10" s="75" t="s">
        <v>146</v>
      </c>
      <c r="AA10" s="75"/>
    </row>
    <row r="11" spans="1:27" s="2" customFormat="1" ht="15" customHeight="1">
      <c r="A11" s="36" t="s">
        <v>82</v>
      </c>
      <c r="B11" s="49" t="s">
        <v>1</v>
      </c>
      <c r="C11" s="85">
        <v>-20.182086000000002</v>
      </c>
      <c r="D11" s="85">
        <v>-40.245277999999999</v>
      </c>
      <c r="E11" s="37">
        <v>39</v>
      </c>
      <c r="F11" s="37">
        <v>27500</v>
      </c>
      <c r="G11" s="37">
        <f t="shared" ref="G11:G19" si="0">(F11*273.15)/(273.15+E11)</f>
        <v>24064.151850072081</v>
      </c>
      <c r="H11" s="80" t="s">
        <v>146</v>
      </c>
      <c r="I11" s="72">
        <v>30</v>
      </c>
      <c r="J11" s="75" t="s">
        <v>146</v>
      </c>
      <c r="K11" s="75" t="s">
        <v>146</v>
      </c>
      <c r="L11" s="75" t="s">
        <v>146</v>
      </c>
      <c r="M11" s="75" t="s">
        <v>146</v>
      </c>
      <c r="N11" s="75" t="s">
        <v>146</v>
      </c>
      <c r="O11" s="75" t="s">
        <v>146</v>
      </c>
      <c r="P11" s="75" t="s">
        <v>146</v>
      </c>
      <c r="Q11" s="75" t="s">
        <v>146</v>
      </c>
      <c r="R11" s="75" t="s">
        <v>146</v>
      </c>
      <c r="S11" s="75" t="s">
        <v>146</v>
      </c>
      <c r="T11" s="108">
        <f>(I11*G11)/10^6</f>
        <v>0.72192455550216239</v>
      </c>
      <c r="U11" s="108">
        <f>T11</f>
        <v>0.72192455550216239</v>
      </c>
      <c r="V11" s="108">
        <f t="shared" ref="V11:V18" si="1">T11</f>
        <v>0.72192455550216239</v>
      </c>
      <c r="W11"/>
      <c r="X11"/>
      <c r="Y11"/>
      <c r="Z11"/>
    </row>
    <row r="12" spans="1:27" s="2" customFormat="1" ht="15" customHeight="1">
      <c r="A12" s="36" t="s">
        <v>83</v>
      </c>
      <c r="B12" s="49" t="s">
        <v>1</v>
      </c>
      <c r="C12" s="85">
        <v>-20.182086000000002</v>
      </c>
      <c r="D12" s="85">
        <v>-40.245277999999999</v>
      </c>
      <c r="E12" s="184">
        <v>39</v>
      </c>
      <c r="F12" s="184">
        <v>35000</v>
      </c>
      <c r="G12" s="184">
        <f>(F12*273.15)/(273.15+E12)</f>
        <v>30627.102354637194</v>
      </c>
      <c r="H12" s="80" t="s">
        <v>146</v>
      </c>
      <c r="I12" s="187">
        <v>30</v>
      </c>
      <c r="J12" s="75" t="s">
        <v>146</v>
      </c>
      <c r="K12" s="75" t="s">
        <v>146</v>
      </c>
      <c r="L12" s="75" t="s">
        <v>146</v>
      </c>
      <c r="M12" s="75" t="s">
        <v>146</v>
      </c>
      <c r="N12" s="75" t="s">
        <v>146</v>
      </c>
      <c r="O12" s="75" t="s">
        <v>146</v>
      </c>
      <c r="P12" s="75" t="s">
        <v>146</v>
      </c>
      <c r="Q12" s="75" t="s">
        <v>146</v>
      </c>
      <c r="R12" s="75" t="s">
        <v>146</v>
      </c>
      <c r="S12" s="75" t="s">
        <v>146</v>
      </c>
      <c r="T12" s="198">
        <f>(I12*G12)/10^6</f>
        <v>0.91881307063911588</v>
      </c>
      <c r="U12" s="198">
        <f>T12</f>
        <v>0.91881307063911588</v>
      </c>
      <c r="V12" s="198">
        <f>T12</f>
        <v>0.91881307063911588</v>
      </c>
      <c r="W12"/>
      <c r="X12"/>
      <c r="Y12"/>
      <c r="Z12"/>
    </row>
    <row r="13" spans="1:27" s="2" customFormat="1" ht="15" customHeight="1">
      <c r="A13" s="36" t="s">
        <v>84</v>
      </c>
      <c r="B13" s="49" t="s">
        <v>1</v>
      </c>
      <c r="C13" s="85">
        <v>-20.182086000000002</v>
      </c>
      <c r="D13" s="85">
        <v>-40.245277999999999</v>
      </c>
      <c r="E13" s="185"/>
      <c r="F13" s="185"/>
      <c r="G13" s="185"/>
      <c r="H13" s="80" t="s">
        <v>146</v>
      </c>
      <c r="I13" s="188"/>
      <c r="J13" s="75" t="s">
        <v>146</v>
      </c>
      <c r="K13" s="75" t="s">
        <v>146</v>
      </c>
      <c r="L13" s="75" t="s">
        <v>146</v>
      </c>
      <c r="M13" s="75" t="s">
        <v>146</v>
      </c>
      <c r="N13" s="75" t="s">
        <v>146</v>
      </c>
      <c r="O13" s="75" t="s">
        <v>146</v>
      </c>
      <c r="P13" s="75" t="s">
        <v>146</v>
      </c>
      <c r="Q13" s="75" t="s">
        <v>146</v>
      </c>
      <c r="R13" s="75" t="s">
        <v>146</v>
      </c>
      <c r="S13" s="75" t="s">
        <v>146</v>
      </c>
      <c r="T13" s="199"/>
      <c r="U13" s="199"/>
      <c r="V13" s="199"/>
      <c r="W13"/>
      <c r="X13"/>
      <c r="Y13"/>
      <c r="Z13"/>
    </row>
    <row r="14" spans="1:27" s="2" customFormat="1" ht="15" customHeight="1">
      <c r="A14" s="36" t="s">
        <v>85</v>
      </c>
      <c r="B14" s="49" t="s">
        <v>1</v>
      </c>
      <c r="C14" s="85">
        <v>-20.182086000000002</v>
      </c>
      <c r="D14" s="85">
        <v>-40.245277999999999</v>
      </c>
      <c r="E14" s="186"/>
      <c r="F14" s="186"/>
      <c r="G14" s="186"/>
      <c r="H14" s="80" t="s">
        <v>146</v>
      </c>
      <c r="I14" s="189"/>
      <c r="J14" s="75" t="s">
        <v>146</v>
      </c>
      <c r="K14" s="75" t="s">
        <v>146</v>
      </c>
      <c r="L14" s="75" t="s">
        <v>146</v>
      </c>
      <c r="M14" s="75" t="s">
        <v>146</v>
      </c>
      <c r="N14" s="75" t="s">
        <v>146</v>
      </c>
      <c r="O14" s="75" t="s">
        <v>146</v>
      </c>
      <c r="P14" s="75" t="s">
        <v>146</v>
      </c>
      <c r="Q14" s="75" t="s">
        <v>146</v>
      </c>
      <c r="R14" s="75" t="s">
        <v>146</v>
      </c>
      <c r="S14" s="75" t="s">
        <v>146</v>
      </c>
      <c r="T14" s="200"/>
      <c r="U14" s="200"/>
      <c r="V14" s="200"/>
      <c r="W14"/>
      <c r="X14"/>
      <c r="Y14"/>
      <c r="Z14"/>
    </row>
    <row r="15" spans="1:27" ht="15" customHeight="1">
      <c r="A15" s="36" t="s">
        <v>87</v>
      </c>
      <c r="B15" s="49" t="s">
        <v>1</v>
      </c>
      <c r="C15" s="85">
        <v>-20.182086000000002</v>
      </c>
      <c r="D15" s="85">
        <v>-40.245277999999999</v>
      </c>
      <c r="E15" s="37">
        <v>43</v>
      </c>
      <c r="F15" s="37">
        <v>21000</v>
      </c>
      <c r="G15" s="37">
        <f t="shared" si="0"/>
        <v>18143.760873003321</v>
      </c>
      <c r="H15" s="80" t="s">
        <v>146</v>
      </c>
      <c r="I15" s="72">
        <v>30</v>
      </c>
      <c r="J15" s="75" t="s">
        <v>146</v>
      </c>
      <c r="K15" s="75" t="s">
        <v>146</v>
      </c>
      <c r="L15" s="75" t="s">
        <v>146</v>
      </c>
      <c r="M15" s="75" t="s">
        <v>146</v>
      </c>
      <c r="N15" s="75" t="s">
        <v>146</v>
      </c>
      <c r="O15" s="75" t="s">
        <v>146</v>
      </c>
      <c r="P15" s="75" t="s">
        <v>146</v>
      </c>
      <c r="Q15" s="75" t="s">
        <v>146</v>
      </c>
      <c r="R15" s="75" t="s">
        <v>146</v>
      </c>
      <c r="S15" s="75" t="s">
        <v>146</v>
      </c>
      <c r="T15" s="108">
        <f>(I15*G15)/10^6</f>
        <v>0.54431282619009957</v>
      </c>
      <c r="U15" s="108">
        <f t="shared" ref="U15:U18" si="2">T15</f>
        <v>0.54431282619009957</v>
      </c>
      <c r="V15" s="108">
        <f t="shared" si="1"/>
        <v>0.54431282619009957</v>
      </c>
      <c r="W15"/>
      <c r="X15"/>
      <c r="Y15"/>
      <c r="Z15"/>
      <c r="AA15" s="3"/>
    </row>
    <row r="16" spans="1:27" ht="15" customHeight="1">
      <c r="A16" s="36" t="s">
        <v>86</v>
      </c>
      <c r="B16" s="49" t="s">
        <v>1</v>
      </c>
      <c r="C16" s="85">
        <v>-20.182086000000002</v>
      </c>
      <c r="D16" s="85">
        <v>-40.245277999999999</v>
      </c>
      <c r="E16" s="37">
        <v>35</v>
      </c>
      <c r="F16" s="37">
        <v>50000</v>
      </c>
      <c r="G16" s="37">
        <f t="shared" si="0"/>
        <v>44320.947590459189</v>
      </c>
      <c r="H16" s="80" t="s">
        <v>146</v>
      </c>
      <c r="I16" s="72">
        <v>30</v>
      </c>
      <c r="J16" s="75" t="s">
        <v>146</v>
      </c>
      <c r="K16" s="75" t="s">
        <v>146</v>
      </c>
      <c r="L16" s="75" t="s">
        <v>146</v>
      </c>
      <c r="M16" s="75" t="s">
        <v>146</v>
      </c>
      <c r="N16" s="75" t="s">
        <v>146</v>
      </c>
      <c r="O16" s="75" t="s">
        <v>146</v>
      </c>
      <c r="P16" s="75" t="s">
        <v>146</v>
      </c>
      <c r="Q16" s="75" t="s">
        <v>146</v>
      </c>
      <c r="R16" s="75" t="s">
        <v>146</v>
      </c>
      <c r="S16" s="75" t="s">
        <v>146</v>
      </c>
      <c r="T16" s="108">
        <f>(I16*G16)/10^6</f>
        <v>1.3296284277137758</v>
      </c>
      <c r="U16" s="108">
        <f t="shared" si="2"/>
        <v>1.3296284277137758</v>
      </c>
      <c r="V16" s="108">
        <f t="shared" si="1"/>
        <v>1.3296284277137758</v>
      </c>
      <c r="W16"/>
      <c r="X16"/>
      <c r="Y16"/>
      <c r="Z16"/>
      <c r="AA16" s="3"/>
    </row>
    <row r="17" spans="1:27" s="2" customFormat="1" ht="15" customHeight="1">
      <c r="A17" s="36" t="s">
        <v>88</v>
      </c>
      <c r="B17" s="49" t="s">
        <v>1</v>
      </c>
      <c r="C17" s="85">
        <v>-20.182086000000002</v>
      </c>
      <c r="D17" s="85">
        <v>-40.245277999999999</v>
      </c>
      <c r="E17" s="37">
        <v>56</v>
      </c>
      <c r="F17" s="37">
        <v>27000</v>
      </c>
      <c r="G17" s="37">
        <f t="shared" si="0"/>
        <v>22406.349688591825</v>
      </c>
      <c r="H17" s="80" t="s">
        <v>146</v>
      </c>
      <c r="I17" s="72">
        <v>30</v>
      </c>
      <c r="J17" s="75" t="s">
        <v>146</v>
      </c>
      <c r="K17" s="75" t="s">
        <v>146</v>
      </c>
      <c r="L17" s="75" t="s">
        <v>146</v>
      </c>
      <c r="M17" s="75" t="s">
        <v>146</v>
      </c>
      <c r="N17" s="75" t="s">
        <v>146</v>
      </c>
      <c r="O17" s="75" t="s">
        <v>146</v>
      </c>
      <c r="P17" s="75" t="s">
        <v>146</v>
      </c>
      <c r="Q17" s="75" t="s">
        <v>146</v>
      </c>
      <c r="R17" s="75" t="s">
        <v>146</v>
      </c>
      <c r="S17" s="75" t="s">
        <v>146</v>
      </c>
      <c r="T17" s="108">
        <f>(I17*G17)/10^6</f>
        <v>0.67219049065775471</v>
      </c>
      <c r="U17" s="108">
        <f t="shared" si="2"/>
        <v>0.67219049065775471</v>
      </c>
      <c r="V17" s="108">
        <f t="shared" si="1"/>
        <v>0.67219049065775471</v>
      </c>
      <c r="W17"/>
      <c r="X17"/>
      <c r="Y17"/>
      <c r="Z17"/>
    </row>
    <row r="18" spans="1:27" s="2" customFormat="1" ht="15" customHeight="1">
      <c r="A18" s="36" t="s">
        <v>89</v>
      </c>
      <c r="B18" s="49" t="s">
        <v>1</v>
      </c>
      <c r="C18" s="85">
        <v>-20.182086000000002</v>
      </c>
      <c r="D18" s="85">
        <v>-40.245277999999999</v>
      </c>
      <c r="E18" s="37">
        <v>50</v>
      </c>
      <c r="F18" s="37">
        <v>48000</v>
      </c>
      <c r="G18" s="37">
        <f t="shared" si="0"/>
        <v>40573.10846356181</v>
      </c>
      <c r="H18" s="80" t="s">
        <v>146</v>
      </c>
      <c r="I18" s="72">
        <v>30</v>
      </c>
      <c r="J18" s="75" t="s">
        <v>146</v>
      </c>
      <c r="K18" s="75" t="s">
        <v>146</v>
      </c>
      <c r="L18" s="75" t="s">
        <v>146</v>
      </c>
      <c r="M18" s="75" t="s">
        <v>146</v>
      </c>
      <c r="N18" s="75" t="s">
        <v>146</v>
      </c>
      <c r="O18" s="75" t="s">
        <v>146</v>
      </c>
      <c r="P18" s="75" t="s">
        <v>146</v>
      </c>
      <c r="Q18" s="75" t="s">
        <v>146</v>
      </c>
      <c r="R18" s="75" t="s">
        <v>146</v>
      </c>
      <c r="S18" s="75" t="s">
        <v>146</v>
      </c>
      <c r="T18" s="108">
        <f>(I18*G18)/10^6</f>
        <v>1.2171932539068542</v>
      </c>
      <c r="U18" s="108">
        <f t="shared" si="2"/>
        <v>1.2171932539068542</v>
      </c>
      <c r="V18" s="108">
        <f t="shared" si="1"/>
        <v>1.2171932539068542</v>
      </c>
      <c r="W18"/>
      <c r="X18"/>
      <c r="Y18"/>
      <c r="Z18"/>
    </row>
    <row r="19" spans="1:27" s="2" customFormat="1" ht="15" customHeight="1">
      <c r="A19" s="36" t="s">
        <v>90</v>
      </c>
      <c r="B19" s="49" t="s">
        <v>1</v>
      </c>
      <c r="C19" s="85">
        <v>-20.182086000000002</v>
      </c>
      <c r="D19" s="85">
        <v>-40.245277999999999</v>
      </c>
      <c r="E19" s="37">
        <v>34</v>
      </c>
      <c r="F19" s="37">
        <v>42000</v>
      </c>
      <c r="G19" s="37">
        <f t="shared" si="0"/>
        <v>37350.805795214059</v>
      </c>
      <c r="H19" s="80" t="s">
        <v>146</v>
      </c>
      <c r="I19" s="72">
        <v>30</v>
      </c>
      <c r="J19" s="75" t="s">
        <v>146</v>
      </c>
      <c r="K19" s="75" t="s">
        <v>146</v>
      </c>
      <c r="L19" s="75" t="s">
        <v>146</v>
      </c>
      <c r="M19" s="75" t="s">
        <v>146</v>
      </c>
      <c r="N19" s="75" t="s">
        <v>146</v>
      </c>
      <c r="O19" s="75" t="s">
        <v>146</v>
      </c>
      <c r="P19" s="75" t="s">
        <v>146</v>
      </c>
      <c r="Q19" s="75" t="s">
        <v>146</v>
      </c>
      <c r="R19" s="75" t="s">
        <v>146</v>
      </c>
      <c r="S19" s="75" t="s">
        <v>146</v>
      </c>
      <c r="T19" s="108">
        <f>(I19*G19)/10^6</f>
        <v>1.1205241738564218</v>
      </c>
      <c r="U19" s="108">
        <f>T19</f>
        <v>1.1205241738564218</v>
      </c>
      <c r="V19" s="108">
        <f>T19</f>
        <v>1.1205241738564218</v>
      </c>
      <c r="W19"/>
      <c r="X19"/>
      <c r="Y19"/>
      <c r="Z19"/>
    </row>
    <row r="20" spans="1:27" s="31" customFormat="1" ht="15" customHeight="1">
      <c r="A20" s="36" t="s">
        <v>2</v>
      </c>
      <c r="B20" s="49" t="s">
        <v>146</v>
      </c>
      <c r="C20" s="85">
        <v>-20.183693999999999</v>
      </c>
      <c r="D20" s="85">
        <v>-40.24539</v>
      </c>
      <c r="E20" s="76">
        <v>1250</v>
      </c>
      <c r="F20" s="76" t="s">
        <v>146</v>
      </c>
      <c r="G20" s="37" t="s">
        <v>146</v>
      </c>
      <c r="H20" s="80" t="s">
        <v>146</v>
      </c>
      <c r="I20" s="38" t="s">
        <v>146</v>
      </c>
      <c r="J20" s="86">
        <f>'FE-Fab Cerâmica'!C11</f>
        <v>0.245</v>
      </c>
      <c r="K20" s="86">
        <f>'FE-Fab Cerâmica'!E20</f>
        <v>0.27</v>
      </c>
      <c r="L20" s="86">
        <f>'FE-Fab Cerâmica'!C20</f>
        <v>4.4475655430711615E-2</v>
      </c>
      <c r="M20" s="86">
        <f>'FE-Fab Cerâmica'!G20</f>
        <v>1.65</v>
      </c>
      <c r="N20" s="86">
        <f>'FE-Fab Cerâmica'!I20</f>
        <v>0.215</v>
      </c>
      <c r="O20" s="75" t="s">
        <v>146</v>
      </c>
      <c r="P20" s="75" t="s">
        <v>146</v>
      </c>
      <c r="Q20" s="75" t="s">
        <v>146</v>
      </c>
      <c r="R20" s="75" t="s">
        <v>146</v>
      </c>
      <c r="S20" s="75" t="s">
        <v>146</v>
      </c>
      <c r="T20" s="115">
        <f>(J20*B6)/2</f>
        <v>3.828125</v>
      </c>
      <c r="U20" s="108">
        <f>T20</f>
        <v>3.828125</v>
      </c>
      <c r="V20" s="108">
        <f>T20</f>
        <v>3.828125</v>
      </c>
      <c r="W20" s="108">
        <f>K20*(B6/2)</f>
        <v>4.21875</v>
      </c>
      <c r="X20" s="108">
        <f>L20*(B6/2)</f>
        <v>0.69493211610486894</v>
      </c>
      <c r="Y20" s="108">
        <f>M20*(B6/2)</f>
        <v>25.78125</v>
      </c>
      <c r="Z20" s="108">
        <f>N20*(B6/2)</f>
        <v>3.359375</v>
      </c>
    </row>
    <row r="21" spans="1:27" s="31" customFormat="1" ht="15" customHeight="1">
      <c r="A21" s="36" t="s">
        <v>3</v>
      </c>
      <c r="B21" s="49" t="s">
        <v>146</v>
      </c>
      <c r="C21" s="85">
        <v>-20.183629</v>
      </c>
      <c r="D21" s="85">
        <v>-40.245513000000003</v>
      </c>
      <c r="E21" s="76">
        <v>1250</v>
      </c>
      <c r="F21" s="76" t="s">
        <v>146</v>
      </c>
      <c r="G21" s="37" t="s">
        <v>146</v>
      </c>
      <c r="H21" s="80" t="s">
        <v>146</v>
      </c>
      <c r="I21" s="38" t="s">
        <v>146</v>
      </c>
      <c r="J21" s="86">
        <f>'FE-Fab Cerâmica'!C11</f>
        <v>0.245</v>
      </c>
      <c r="K21" s="86">
        <f>'FE-Fab Cerâmica'!E20</f>
        <v>0.27</v>
      </c>
      <c r="L21" s="86">
        <f>'FE-Fab Cerâmica'!C20</f>
        <v>4.4475655430711615E-2</v>
      </c>
      <c r="M21" s="86">
        <f>'FE-Fab Cerâmica'!G20</f>
        <v>1.65</v>
      </c>
      <c r="N21" s="86">
        <f>'FE-Fab Cerâmica'!I20</f>
        <v>0.215</v>
      </c>
      <c r="O21" s="75" t="s">
        <v>146</v>
      </c>
      <c r="P21" s="75" t="s">
        <v>146</v>
      </c>
      <c r="Q21" s="75" t="s">
        <v>146</v>
      </c>
      <c r="R21" s="75" t="s">
        <v>146</v>
      </c>
      <c r="S21" s="75" t="s">
        <v>146</v>
      </c>
      <c r="T21" s="115">
        <f>(J21*B6)/2</f>
        <v>3.828125</v>
      </c>
      <c r="U21" s="108">
        <f>T21</f>
        <v>3.828125</v>
      </c>
      <c r="V21" s="108">
        <f>T21</f>
        <v>3.828125</v>
      </c>
      <c r="W21" s="108">
        <f>K21*(B6/2)</f>
        <v>4.21875</v>
      </c>
      <c r="X21" s="108">
        <f>L21*(B6/2)</f>
        <v>0.69493211610486894</v>
      </c>
      <c r="Y21" s="108">
        <f>M21*(B6/2)</f>
        <v>25.78125</v>
      </c>
      <c r="Z21" s="108">
        <f>N21*(B6/2)</f>
        <v>3.359375</v>
      </c>
    </row>
    <row r="22" spans="1:27" s="2" customFormat="1" ht="15" customHeight="1">
      <c r="A22" s="36" t="s">
        <v>4</v>
      </c>
      <c r="B22" s="49" t="s">
        <v>146</v>
      </c>
      <c r="C22" s="85">
        <v>-20.182122</v>
      </c>
      <c r="D22" s="85">
        <v>-40.245229999999999</v>
      </c>
      <c r="E22" s="37">
        <v>285</v>
      </c>
      <c r="F22" s="76" t="s">
        <v>146</v>
      </c>
      <c r="G22" s="37" t="s">
        <v>146</v>
      </c>
      <c r="H22" s="116">
        <v>162.1400265</v>
      </c>
      <c r="I22" s="38" t="s">
        <v>146</v>
      </c>
      <c r="J22" s="75" t="s">
        <v>146</v>
      </c>
      <c r="K22" s="75" t="s">
        <v>146</v>
      </c>
      <c r="L22" s="75" t="s">
        <v>146</v>
      </c>
      <c r="M22" s="75" t="s">
        <v>146</v>
      </c>
      <c r="N22" s="75" t="s">
        <v>146</v>
      </c>
      <c r="O22" s="80">
        <f>'FE-Combustão'!C14</f>
        <v>121.6</v>
      </c>
      <c r="P22" s="80">
        <f>'FE-Combustão'!D5</f>
        <v>1600</v>
      </c>
      <c r="Q22" s="80">
        <f>'FE-Combustão'!C12</f>
        <v>9.6</v>
      </c>
      <c r="R22" s="80">
        <f>'FE-Combustão'!D6</f>
        <v>1344</v>
      </c>
      <c r="S22" s="80">
        <f>'FE-Combustão'!C13</f>
        <v>88</v>
      </c>
      <c r="T22" s="108">
        <f>(H22*O22)/10^6</f>
        <v>1.9716227222400001E-2</v>
      </c>
      <c r="U22" s="108">
        <f>T22</f>
        <v>1.9716227222400001E-2</v>
      </c>
      <c r="V22" s="108">
        <f>T22</f>
        <v>1.9716227222400001E-2</v>
      </c>
      <c r="W22" s="108">
        <f>(P22*H22)/10^6</f>
        <v>0.2594240424</v>
      </c>
      <c r="X22" s="108">
        <f>(Q22*H22)/10^6</f>
        <v>1.5565442544E-3</v>
      </c>
      <c r="Y22" s="108">
        <f>(R22*H22)/10^6</f>
        <v>0.21791619561600001</v>
      </c>
      <c r="Z22" s="108">
        <f>(S22*H22)/10^6</f>
        <v>1.4268322332E-2</v>
      </c>
    </row>
    <row r="23" spans="1:27" s="2" customFormat="1" ht="15" customHeight="1">
      <c r="A23" s="43" t="s">
        <v>132</v>
      </c>
      <c r="B23" s="49" t="s">
        <v>146</v>
      </c>
      <c r="C23" s="85">
        <v>-20.182130000000001</v>
      </c>
      <c r="D23" s="85">
        <v>-40.245403000000003</v>
      </c>
      <c r="E23" s="120">
        <v>250</v>
      </c>
      <c r="F23" s="76" t="s">
        <v>146</v>
      </c>
      <c r="G23" s="37" t="s">
        <v>146</v>
      </c>
      <c r="H23" s="109">
        <v>179.9868625</v>
      </c>
      <c r="I23" s="38" t="s">
        <v>146</v>
      </c>
      <c r="J23" s="75" t="s">
        <v>146</v>
      </c>
      <c r="K23" s="75" t="s">
        <v>146</v>
      </c>
      <c r="L23" s="75" t="s">
        <v>146</v>
      </c>
      <c r="M23" s="75" t="s">
        <v>146</v>
      </c>
      <c r="N23" s="75" t="s">
        <v>146</v>
      </c>
      <c r="O23" s="109">
        <f>'FE-Combustão'!C14</f>
        <v>121.6</v>
      </c>
      <c r="P23" s="109">
        <f>'FE-Combustão'!D5</f>
        <v>1600</v>
      </c>
      <c r="Q23" s="109">
        <f>'FE-Combustão'!C12</f>
        <v>9.6</v>
      </c>
      <c r="R23" s="109">
        <f>'FE-Combustão'!D6</f>
        <v>1344</v>
      </c>
      <c r="S23" s="109">
        <f>'FE-Combustão'!C13</f>
        <v>88</v>
      </c>
      <c r="T23" s="118">
        <f>(H23*O23)/10^6</f>
        <v>2.1886402480000001E-2</v>
      </c>
      <c r="U23" s="118">
        <f>T23</f>
        <v>2.1886402480000001E-2</v>
      </c>
      <c r="V23" s="118">
        <f>T23</f>
        <v>2.1886402480000001E-2</v>
      </c>
      <c r="W23" s="118">
        <f>(P23*H23)/10^6</f>
        <v>0.28797898</v>
      </c>
      <c r="X23" s="118">
        <f>(Q23*H23)/10^6</f>
        <v>1.7278738799999999E-3</v>
      </c>
      <c r="Y23" s="118">
        <f>(R23*H23)/10^6</f>
        <v>0.24190234320000001</v>
      </c>
      <c r="Z23" s="118">
        <f>(S23*H23)/10^6</f>
        <v>1.58388439E-2</v>
      </c>
    </row>
    <row r="24" spans="1:27" ht="15" customHeight="1">
      <c r="A24" s="196" t="s">
        <v>158</v>
      </c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72"/>
      <c r="T24" s="133">
        <f>SUM(T10:T23)</f>
        <v>14.953735063411161</v>
      </c>
      <c r="U24" s="133">
        <f>SUM(U10:U23)</f>
        <v>14.953735063411161</v>
      </c>
      <c r="V24" s="133">
        <f>SUM(V10:V23)</f>
        <v>14.953735063411161</v>
      </c>
      <c r="W24" s="133">
        <f>SUM(W10:W23)</f>
        <v>8.9849030223999993</v>
      </c>
      <c r="X24" s="133">
        <f>SUM(X10:X23)</f>
        <v>1.3931486503441379</v>
      </c>
      <c r="Y24" s="133">
        <f t="shared" ref="Y24:Z24" si="3">SUM(Y10:Y23)</f>
        <v>52.022318538816002</v>
      </c>
      <c r="Z24" s="133">
        <f t="shared" si="3"/>
        <v>6.7488571662319998</v>
      </c>
      <c r="AA24" s="3"/>
    </row>
    <row r="25" spans="1:27" ht="15" customHeight="1">
      <c r="A25" s="4" t="s">
        <v>155</v>
      </c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W25" s="3"/>
      <c r="Z25" s="3"/>
      <c r="AA25" s="3"/>
    </row>
    <row r="26" spans="1:27" ht="15" customHeight="1">
      <c r="H26" s="71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W26" s="3"/>
      <c r="Z26" s="3"/>
      <c r="AA26" s="3"/>
    </row>
    <row r="27" spans="1:27" ht="15" customHeight="1">
      <c r="A27" s="4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2"/>
      <c r="W27" s="3"/>
      <c r="Z27" s="3"/>
      <c r="AA27" s="3"/>
    </row>
    <row r="28" spans="1:27" ht="15" customHeight="1">
      <c r="A28" s="25"/>
      <c r="B28" s="26"/>
      <c r="C28" s="26"/>
      <c r="D28" s="26"/>
      <c r="E28" s="26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2"/>
      <c r="W28" s="3"/>
      <c r="Z28" s="3"/>
      <c r="AA28" s="3"/>
    </row>
    <row r="29" spans="1:27" ht="15" customHeight="1">
      <c r="A29" s="2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2"/>
      <c r="W29" s="3"/>
      <c r="Z29" s="3"/>
      <c r="AA29" s="3"/>
    </row>
    <row r="30" spans="1:27" ht="15" customHeight="1">
      <c r="A30" s="2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2"/>
      <c r="W30" s="3"/>
      <c r="Z30" s="3"/>
      <c r="AA30" s="3"/>
    </row>
    <row r="31" spans="1:27" ht="15" customHeight="1">
      <c r="A31" s="2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2"/>
      <c r="W31" s="3"/>
      <c r="Z31" s="3"/>
      <c r="AA31" s="3"/>
    </row>
    <row r="32" spans="1:27" ht="15" customHeight="1"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2"/>
      <c r="W32" s="3"/>
      <c r="Z32" s="3"/>
      <c r="AA32" s="3"/>
    </row>
    <row r="33" spans="9:27" ht="15" customHeight="1"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2"/>
      <c r="W33" s="3"/>
      <c r="Z33" s="3"/>
      <c r="AA33" s="3"/>
    </row>
  </sheetData>
  <sheetProtection password="B056" sheet="1" objects="1" scenarios="1"/>
  <mergeCells count="20">
    <mergeCell ref="F12:F14"/>
    <mergeCell ref="C8:C9"/>
    <mergeCell ref="D8:D9"/>
    <mergeCell ref="G12:G14"/>
    <mergeCell ref="E12:E14"/>
    <mergeCell ref="I12:I14"/>
    <mergeCell ref="T8:Z8"/>
    <mergeCell ref="O8:S8"/>
    <mergeCell ref="A24:S24"/>
    <mergeCell ref="T12:T14"/>
    <mergeCell ref="U12:U14"/>
    <mergeCell ref="V12:V14"/>
    <mergeCell ref="A8:A9"/>
    <mergeCell ref="B8:B9"/>
    <mergeCell ref="I8:I9"/>
    <mergeCell ref="E8:E9"/>
    <mergeCell ref="H8:H9"/>
    <mergeCell ref="F8:F9"/>
    <mergeCell ref="G8:G9"/>
    <mergeCell ref="J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O5" sqref="O5"/>
    </sheetView>
  </sheetViews>
  <sheetFormatPr defaultRowHeight="15" customHeight="1"/>
  <cols>
    <col min="1" max="1" width="22.7109375" style="33" customWidth="1"/>
    <col min="2" max="3" width="15.42578125" style="33" customWidth="1"/>
    <col min="4" max="4" width="12.42578125" style="33" bestFit="1" customWidth="1"/>
    <col min="5" max="5" width="25.85546875" style="33" customWidth="1"/>
    <col min="6" max="6" width="12.28515625" style="33" customWidth="1"/>
    <col min="7" max="8" width="9.85546875" style="33" customWidth="1"/>
    <col min="9" max="9" width="16.140625" style="33" customWidth="1"/>
    <col min="10" max="14" width="9" style="33" customWidth="1"/>
    <col min="15" max="24" width="9.140625" style="33"/>
    <col min="25" max="25" width="9.7109375" style="33" customWidth="1"/>
    <col min="26" max="26" width="15.28515625" style="33" customWidth="1"/>
    <col min="27" max="27" width="9.140625" style="33"/>
    <col min="28" max="28" width="20.7109375" style="33" customWidth="1"/>
    <col min="29" max="16384" width="9.140625" style="33"/>
  </cols>
  <sheetData>
    <row r="1" spans="1:26" s="56" customFormat="1" ht="15" customHeight="1">
      <c r="A1" s="205" t="s">
        <v>23</v>
      </c>
      <c r="B1" s="208" t="s">
        <v>161</v>
      </c>
      <c r="C1" s="208" t="s">
        <v>162</v>
      </c>
      <c r="D1" s="205" t="s">
        <v>68</v>
      </c>
      <c r="E1" s="205" t="s">
        <v>20</v>
      </c>
      <c r="F1" s="205" t="s">
        <v>24</v>
      </c>
      <c r="G1" s="205" t="s">
        <v>159</v>
      </c>
      <c r="H1" s="205" t="s">
        <v>21</v>
      </c>
      <c r="I1" s="215" t="s">
        <v>80</v>
      </c>
      <c r="J1" s="212" t="s">
        <v>47</v>
      </c>
      <c r="K1" s="213"/>
      <c r="L1" s="213"/>
      <c r="M1" s="213"/>
      <c r="N1" s="214"/>
      <c r="O1" s="193" t="s">
        <v>36</v>
      </c>
      <c r="P1" s="194"/>
      <c r="Q1" s="194"/>
      <c r="R1" s="194"/>
      <c r="S1" s="194"/>
      <c r="T1" s="194"/>
      <c r="U1" s="195"/>
    </row>
    <row r="2" spans="1:26" s="56" customFormat="1" ht="15" customHeight="1">
      <c r="A2" s="206"/>
      <c r="B2" s="208"/>
      <c r="C2" s="208"/>
      <c r="D2" s="206"/>
      <c r="E2" s="206"/>
      <c r="F2" s="206"/>
      <c r="G2" s="206"/>
      <c r="H2" s="206"/>
      <c r="I2" s="216"/>
      <c r="J2" s="51" t="s">
        <v>30</v>
      </c>
      <c r="K2" s="52" t="s">
        <v>48</v>
      </c>
      <c r="L2" s="52" t="s">
        <v>49</v>
      </c>
      <c r="M2" s="52" t="s">
        <v>6</v>
      </c>
      <c r="N2" s="52" t="s">
        <v>11</v>
      </c>
      <c r="O2" s="111" t="s">
        <v>30</v>
      </c>
      <c r="P2" s="141" t="s">
        <v>58</v>
      </c>
      <c r="Q2" s="141" t="s">
        <v>59</v>
      </c>
      <c r="R2" s="119" t="s">
        <v>7</v>
      </c>
      <c r="S2" s="119" t="s">
        <v>49</v>
      </c>
      <c r="T2" s="119" t="s">
        <v>6</v>
      </c>
      <c r="U2" s="119" t="s">
        <v>11</v>
      </c>
    </row>
    <row r="3" spans="1:26" s="34" customFormat="1" ht="15" customHeight="1">
      <c r="A3" s="36" t="s">
        <v>78</v>
      </c>
      <c r="B3" s="73">
        <v>-20.180918999999999</v>
      </c>
      <c r="C3" s="73">
        <v>-40.243806999999997</v>
      </c>
      <c r="D3" s="49" t="s">
        <v>79</v>
      </c>
      <c r="E3" s="49" t="s">
        <v>138</v>
      </c>
      <c r="F3" s="50">
        <v>1</v>
      </c>
      <c r="G3" s="50">
        <f>98*0.9863</f>
        <v>96.657399999999996</v>
      </c>
      <c r="H3" s="54">
        <f>360/365</f>
        <v>0.98630136986301364</v>
      </c>
      <c r="I3" s="39">
        <v>8</v>
      </c>
      <c r="J3" s="55">
        <f>'FE-Maq e Equip'!C7</f>
        <v>2.8793678975626062E-2</v>
      </c>
      <c r="K3" s="55">
        <f>'FE-Maq e Equip'!E7</f>
        <v>0.31658054663341589</v>
      </c>
      <c r="L3" s="55">
        <f>'FE-Maq e Equip'!D7</f>
        <v>2.7523820811752497E-4</v>
      </c>
      <c r="M3" s="55">
        <f>'FE-Maq e Equip'!F7</f>
        <v>0.17000606424242778</v>
      </c>
      <c r="N3" s="55">
        <f>'FE-Maq e Equip'!G7</f>
        <v>5.347757660811845E-2</v>
      </c>
      <c r="O3" s="140">
        <f>F3*(H3/24)*J3</f>
        <v>1.1833018757106601E-3</v>
      </c>
      <c r="P3" s="140">
        <f t="shared" ref="P3:Q4" si="0">O3</f>
        <v>1.1833018757106601E-3</v>
      </c>
      <c r="Q3" s="140">
        <f t="shared" si="0"/>
        <v>1.1833018757106601E-3</v>
      </c>
      <c r="R3" s="140">
        <f>F3*(H3/24)*K3</f>
        <v>1.3010159450688324E-2</v>
      </c>
      <c r="S3" s="140">
        <f>F3*(H3/24)*L3</f>
        <v>1.1311159237706506E-5</v>
      </c>
      <c r="T3" s="140">
        <f>F3*(H3/24)*M3</f>
        <v>6.9865505853052507E-3</v>
      </c>
      <c r="U3" s="140">
        <f>F3*(H3/24)*N3</f>
        <v>2.1977086277308951E-3</v>
      </c>
    </row>
    <row r="4" spans="1:26" s="34" customFormat="1" ht="15" customHeight="1">
      <c r="A4" s="36" t="s">
        <v>37</v>
      </c>
      <c r="B4" s="73">
        <v>-20.180918999999999</v>
      </c>
      <c r="C4" s="73">
        <v>-40.243806999999997</v>
      </c>
      <c r="D4" s="49" t="s">
        <v>69</v>
      </c>
      <c r="E4" s="49" t="s">
        <v>139</v>
      </c>
      <c r="F4" s="50">
        <v>2</v>
      </c>
      <c r="G4" s="50">
        <v>174</v>
      </c>
      <c r="H4" s="54">
        <f>3300/365</f>
        <v>9.0410958904109595</v>
      </c>
      <c r="I4" s="39">
        <v>10</v>
      </c>
      <c r="J4" s="55">
        <f>'FE-Maq e Equip'!C8</f>
        <v>3.0494211856921132E-2</v>
      </c>
      <c r="K4" s="55">
        <f>'FE-Maq e Equip'!E8</f>
        <v>0.5481767178539948</v>
      </c>
      <c r="L4" s="55">
        <f>'FE-Maq e Equip'!D8</f>
        <v>5.1744770686997182E-4</v>
      </c>
      <c r="M4" s="55">
        <f>'FE-Maq e Equip'!F8</f>
        <v>0.26843480692719468</v>
      </c>
      <c r="N4" s="55">
        <f>'FE-Maq e Equip'!G8</f>
        <v>6.8627595472196185E-2</v>
      </c>
      <c r="O4" s="140">
        <f>F4*(H4/24)*J4</f>
        <v>2.2975091125077566E-2</v>
      </c>
      <c r="P4" s="140">
        <f t="shared" si="0"/>
        <v>2.2975091125077566E-2</v>
      </c>
      <c r="Q4" s="140">
        <f t="shared" si="0"/>
        <v>2.2975091125077566E-2</v>
      </c>
      <c r="R4" s="140">
        <f>F4*(H4/24)*K4</f>
        <v>0.41300985591739336</v>
      </c>
      <c r="S4" s="140">
        <f>F4*(H4/24)*L4</f>
        <v>3.8985786134038976E-4</v>
      </c>
      <c r="T4" s="140">
        <f>F4*(H4/24)*M4</f>
        <v>0.20224540247939327</v>
      </c>
      <c r="U4" s="140">
        <f>F4*(H4/24)*N4</f>
        <v>5.1705722616038223E-2</v>
      </c>
    </row>
    <row r="5" spans="1:26" s="34" customFormat="1" ht="15" customHeight="1">
      <c r="A5" s="209" t="s">
        <v>158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1"/>
      <c r="O5" s="142">
        <f>SUM(O3:O4)</f>
        <v>2.4158393000788227E-2</v>
      </c>
      <c r="P5" s="142">
        <f t="shared" ref="P5:U5" si="1">SUM(P3:P4)</f>
        <v>2.4158393000788227E-2</v>
      </c>
      <c r="Q5" s="142">
        <f t="shared" si="1"/>
        <v>2.4158393000788227E-2</v>
      </c>
      <c r="R5" s="142">
        <f>SUM(R3:R4)</f>
        <v>0.42602001536808171</v>
      </c>
      <c r="S5" s="142">
        <f t="shared" si="1"/>
        <v>4.011690205780963E-4</v>
      </c>
      <c r="T5" s="142">
        <f t="shared" si="1"/>
        <v>0.20923195306469852</v>
      </c>
      <c r="U5" s="142">
        <f t="shared" si="1"/>
        <v>5.3903431243769118E-2</v>
      </c>
      <c r="V5" s="33"/>
      <c r="W5" s="33"/>
      <c r="X5" s="33"/>
      <c r="Y5" s="33"/>
      <c r="Z5" s="33"/>
    </row>
    <row r="6" spans="1:26" ht="15" customHeight="1">
      <c r="J6" s="35"/>
      <c r="L6" s="28"/>
    </row>
    <row r="7" spans="1:26" ht="15" customHeight="1">
      <c r="J7" s="35"/>
      <c r="L7" s="2"/>
    </row>
    <row r="8" spans="1:26" ht="15" customHeight="1">
      <c r="J8" s="35"/>
      <c r="L8" s="2"/>
    </row>
    <row r="46" spans="11:11" ht="15" customHeight="1">
      <c r="K46" s="28"/>
    </row>
  </sheetData>
  <sheetProtection password="B056" sheet="1" objects="1" scenarios="1"/>
  <mergeCells count="12">
    <mergeCell ref="O1:U1"/>
    <mergeCell ref="A5:N5"/>
    <mergeCell ref="J1:N1"/>
    <mergeCell ref="A1:A2"/>
    <mergeCell ref="E1:E2"/>
    <mergeCell ref="F1:F2"/>
    <mergeCell ref="G1:G2"/>
    <mergeCell ref="H1:H2"/>
    <mergeCell ref="D1:D2"/>
    <mergeCell ref="I1:I2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H17" sqref="H17"/>
    </sheetView>
  </sheetViews>
  <sheetFormatPr defaultRowHeight="15" customHeight="1"/>
  <cols>
    <col min="1" max="1" width="23.28515625" style="1" customWidth="1"/>
    <col min="2" max="2" width="13.28515625" style="1" customWidth="1"/>
    <col min="3" max="3" width="12.85546875" style="1" customWidth="1"/>
    <col min="4" max="4" width="15.5703125" style="1" customWidth="1"/>
    <col min="5" max="5" width="12.42578125" style="1" customWidth="1"/>
    <col min="6" max="6" width="12" style="1" customWidth="1"/>
    <col min="7" max="9" width="8.7109375" style="1" customWidth="1"/>
    <col min="10" max="12" width="10" style="1" customWidth="1"/>
    <col min="13" max="13" width="13.28515625" style="1" customWidth="1"/>
    <col min="14" max="14" width="14.7109375" style="1" customWidth="1"/>
    <col min="15" max="15" width="10.42578125" style="1" bestFit="1" customWidth="1"/>
    <col min="16" max="16384" width="9.140625" style="1"/>
  </cols>
  <sheetData>
    <row r="1" spans="1:17" ht="15" customHeight="1">
      <c r="A1" s="31" t="s">
        <v>52</v>
      </c>
      <c r="B1" s="57">
        <f>Dados!B13</f>
        <v>295650.02999999997</v>
      </c>
    </row>
    <row r="2" spans="1:17" ht="15" customHeight="1">
      <c r="A2" s="1" t="s">
        <v>53</v>
      </c>
      <c r="B2" s="83">
        <v>4.1937865160171146</v>
      </c>
    </row>
    <row r="4" spans="1:17" s="77" customFormat="1" ht="15" customHeight="1">
      <c r="A4" s="217" t="s">
        <v>9</v>
      </c>
      <c r="B4" s="208" t="s">
        <v>161</v>
      </c>
      <c r="C4" s="208" t="s">
        <v>162</v>
      </c>
      <c r="D4" s="217" t="s">
        <v>54</v>
      </c>
      <c r="E4" s="217" t="s">
        <v>55</v>
      </c>
      <c r="F4" s="217" t="s">
        <v>56</v>
      </c>
      <c r="G4" s="217" t="s">
        <v>57</v>
      </c>
      <c r="H4" s="217"/>
      <c r="I4" s="217"/>
      <c r="J4" s="217" t="s">
        <v>36</v>
      </c>
      <c r="K4" s="217"/>
      <c r="L4" s="217"/>
    </row>
    <row r="5" spans="1:17" s="77" customFormat="1" ht="15" customHeight="1">
      <c r="A5" s="217"/>
      <c r="B5" s="208"/>
      <c r="C5" s="208"/>
      <c r="D5" s="217"/>
      <c r="E5" s="217"/>
      <c r="F5" s="217"/>
      <c r="G5" s="74" t="s">
        <v>30</v>
      </c>
      <c r="H5" s="74" t="s">
        <v>58</v>
      </c>
      <c r="I5" s="74" t="s">
        <v>59</v>
      </c>
      <c r="J5" s="74" t="s">
        <v>30</v>
      </c>
      <c r="K5" s="74" t="s">
        <v>58</v>
      </c>
      <c r="L5" s="74" t="s">
        <v>59</v>
      </c>
    </row>
    <row r="6" spans="1:17" ht="15" customHeight="1">
      <c r="A6" s="58" t="s">
        <v>60</v>
      </c>
      <c r="B6" s="78">
        <v>-20.180686999999999</v>
      </c>
      <c r="C6" s="78">
        <v>-40.243403000000001</v>
      </c>
      <c r="D6" s="59">
        <f>(B1/8760)*2</f>
        <v>67.500006849315056</v>
      </c>
      <c r="E6" s="60">
        <v>50</v>
      </c>
      <c r="F6" s="44">
        <f>(15+20)/2</f>
        <v>17.5</v>
      </c>
      <c r="G6" s="103">
        <f>A13*0.0016*((($B$2/2.2)^1.3)/($F$6/2)^1.4)</f>
        <v>1.3145561998991891E-4</v>
      </c>
      <c r="H6" s="103">
        <f>B13*0.0016*((($B$2/2.2)^1.3)/($F$6/2)^1.4)</f>
        <v>6.2174955400637325E-5</v>
      </c>
      <c r="I6" s="103">
        <f>C13*0.0016*((($B$2/2.2)^1.3)/($F$6/2)^1.4)</f>
        <v>9.4150646749536526E-6</v>
      </c>
      <c r="J6" s="61">
        <f>$D$6*G6*(1-$E$6/100)</f>
        <v>4.4366276248502421E-3</v>
      </c>
      <c r="K6" s="61">
        <f>$D$6*H6*(1-$E$6/100)</f>
        <v>2.0984049576994387E-3</v>
      </c>
      <c r="L6" s="61">
        <f>$D$6*I6*(1-$E$6/100)</f>
        <v>3.1775846502305789E-4</v>
      </c>
    </row>
    <row r="7" spans="1:17" s="2" customFormat="1" ht="15" customHeight="1">
      <c r="A7" s="237" t="s">
        <v>158</v>
      </c>
      <c r="B7" s="238"/>
      <c r="C7" s="238"/>
      <c r="D7" s="238"/>
      <c r="E7" s="238"/>
      <c r="F7" s="238"/>
      <c r="G7" s="238"/>
      <c r="H7" s="238"/>
      <c r="I7" s="239"/>
      <c r="J7" s="146">
        <f>SUM(J6)</f>
        <v>4.4366276248502421E-3</v>
      </c>
      <c r="K7" s="146">
        <f t="shared" ref="K7:L7" si="0">SUM(K6)</f>
        <v>2.0984049576994387E-3</v>
      </c>
      <c r="L7" s="146">
        <f t="shared" si="0"/>
        <v>3.1775846502305789E-4</v>
      </c>
      <c r="N7" s="58"/>
      <c r="O7" s="58"/>
      <c r="P7" s="58"/>
      <c r="Q7" s="58"/>
    </row>
    <row r="8" spans="1:17" s="2" customFormat="1" ht="15" customHeight="1">
      <c r="A8" s="20"/>
      <c r="B8" s="27"/>
      <c r="C8" s="20"/>
      <c r="D8" s="20"/>
      <c r="E8" s="62"/>
      <c r="F8" s="62"/>
      <c r="G8" s="62"/>
      <c r="H8" s="62"/>
      <c r="I8" s="62"/>
      <c r="J8" s="62"/>
      <c r="L8" s="58"/>
      <c r="M8" s="58"/>
      <c r="N8" s="58"/>
      <c r="O8" s="58"/>
    </row>
    <row r="9" spans="1:17" s="2" customFormat="1" ht="15" customHeight="1">
      <c r="A9" s="20"/>
      <c r="B9" s="20"/>
      <c r="C9" s="20"/>
      <c r="D9" s="20"/>
      <c r="E9" s="62"/>
      <c r="F9" s="62"/>
      <c r="G9" s="62"/>
      <c r="H9" s="63"/>
      <c r="I9" s="63"/>
      <c r="J9" s="64"/>
      <c r="L9" s="58"/>
      <c r="M9" s="58"/>
      <c r="N9" s="58"/>
      <c r="O9" s="58"/>
    </row>
    <row r="10" spans="1:17" s="2" customFormat="1" ht="15" customHeight="1">
      <c r="A10" s="1" t="s">
        <v>61</v>
      </c>
      <c r="B10"/>
      <c r="C10"/>
      <c r="D10"/>
      <c r="E10"/>
      <c r="F10" s="1"/>
      <c r="G10" s="1"/>
      <c r="H10" s="1"/>
      <c r="I10" s="1"/>
      <c r="J10" s="1"/>
      <c r="L10" s="58"/>
      <c r="M10" s="58"/>
      <c r="N10" s="58"/>
      <c r="O10" s="58"/>
    </row>
    <row r="11" spans="1:17" ht="15" customHeight="1">
      <c r="A11" s="150" t="s">
        <v>62</v>
      </c>
      <c r="B11" s="151"/>
      <c r="C11" s="152"/>
    </row>
    <row r="12" spans="1:17" ht="15" customHeight="1">
      <c r="A12" s="65" t="s">
        <v>63</v>
      </c>
      <c r="B12" s="65" t="s">
        <v>64</v>
      </c>
      <c r="C12" s="65" t="s">
        <v>65</v>
      </c>
    </row>
    <row r="13" spans="1:17" ht="15" customHeight="1">
      <c r="A13" s="41">
        <v>0.74</v>
      </c>
      <c r="B13" s="41">
        <v>0.35</v>
      </c>
      <c r="C13" s="41">
        <v>5.2999999999999999E-2</v>
      </c>
    </row>
    <row r="14" spans="1:17" ht="15" customHeight="1">
      <c r="A14"/>
      <c r="B14"/>
      <c r="C14"/>
      <c r="D14"/>
      <c r="E14"/>
    </row>
    <row r="15" spans="1:17" ht="15" customHeight="1">
      <c r="A15" s="218" t="s">
        <v>66</v>
      </c>
      <c r="B15" s="219"/>
      <c r="C15" s="220"/>
      <c r="D15" s="221"/>
      <c r="E15" s="81"/>
    </row>
    <row r="16" spans="1:17" ht="15" customHeight="1">
      <c r="A16" s="218"/>
      <c r="B16" s="222"/>
      <c r="C16" s="223"/>
      <c r="D16" s="224"/>
      <c r="E16" s="81"/>
    </row>
    <row r="17" spans="1:17" ht="15" customHeight="1">
      <c r="A17" s="218"/>
      <c r="B17" s="222"/>
      <c r="C17" s="223"/>
      <c r="D17" s="224"/>
      <c r="E17" s="81"/>
      <c r="I17"/>
      <c r="J17"/>
      <c r="K17"/>
      <c r="L17"/>
      <c r="M17"/>
      <c r="N17"/>
      <c r="O17"/>
      <c r="P17"/>
      <c r="Q17"/>
    </row>
    <row r="18" spans="1:17" ht="15" customHeight="1">
      <c r="A18" s="218"/>
      <c r="B18" s="222"/>
      <c r="C18" s="223"/>
      <c r="D18" s="224"/>
      <c r="E18" s="81"/>
      <c r="I18"/>
      <c r="J18"/>
      <c r="K18"/>
      <c r="L18"/>
      <c r="M18"/>
      <c r="N18"/>
      <c r="O18"/>
      <c r="P18"/>
      <c r="Q18"/>
    </row>
    <row r="19" spans="1:17" ht="15" customHeight="1">
      <c r="A19" s="218"/>
      <c r="B19" s="225"/>
      <c r="C19" s="226"/>
      <c r="D19" s="227"/>
      <c r="E19" s="81"/>
    </row>
    <row r="20" spans="1:17" ht="15" customHeight="1">
      <c r="A20" s="218"/>
      <c r="B20" s="228" t="s">
        <v>67</v>
      </c>
      <c r="C20" s="229"/>
      <c r="D20" s="230"/>
      <c r="E20" s="82"/>
    </row>
    <row r="21" spans="1:17" ht="15" customHeight="1">
      <c r="A21" s="218"/>
      <c r="B21" s="231"/>
      <c r="C21" s="232"/>
      <c r="D21" s="233"/>
      <c r="E21" s="82"/>
    </row>
    <row r="22" spans="1:17" ht="15" customHeight="1">
      <c r="A22" s="218"/>
      <c r="B22" s="231"/>
      <c r="C22" s="232"/>
      <c r="D22" s="233"/>
      <c r="E22" s="82"/>
    </row>
    <row r="23" spans="1:17" ht="15" customHeight="1">
      <c r="A23" s="218"/>
      <c r="B23" s="231"/>
      <c r="C23" s="232"/>
      <c r="D23" s="233"/>
      <c r="E23" s="82"/>
    </row>
    <row r="24" spans="1:17" ht="15" customHeight="1">
      <c r="A24" s="218"/>
      <c r="B24" s="234"/>
      <c r="C24" s="235"/>
      <c r="D24" s="236"/>
      <c r="E24" s="82"/>
    </row>
  </sheetData>
  <sheetProtection password="B056" sheet="1" objects="1" scenarios="1"/>
  <mergeCells count="13">
    <mergeCell ref="J4:L4"/>
    <mergeCell ref="A4:A5"/>
    <mergeCell ref="D4:D5"/>
    <mergeCell ref="E4:E5"/>
    <mergeCell ref="A15:A24"/>
    <mergeCell ref="F4:F5"/>
    <mergeCell ref="A11:C11"/>
    <mergeCell ref="B15:D19"/>
    <mergeCell ref="B20:D24"/>
    <mergeCell ref="A7:I7"/>
    <mergeCell ref="G4:I4"/>
    <mergeCell ref="B4:B5"/>
    <mergeCell ref="C4:C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G15" sqref="G15"/>
    </sheetView>
  </sheetViews>
  <sheetFormatPr defaultRowHeight="15" customHeight="1"/>
  <cols>
    <col min="1" max="1" width="18.42578125" style="1" customWidth="1"/>
    <col min="2" max="16384" width="9.140625" style="1"/>
  </cols>
  <sheetData>
    <row r="2" spans="1:9" ht="15" customHeight="1">
      <c r="A2" s="205" t="s">
        <v>145</v>
      </c>
      <c r="B2" s="193" t="s">
        <v>36</v>
      </c>
      <c r="C2" s="194"/>
      <c r="D2" s="194"/>
      <c r="E2" s="194"/>
      <c r="F2" s="194"/>
      <c r="G2" s="194"/>
      <c r="H2" s="195"/>
    </row>
    <row r="3" spans="1:9" ht="15" customHeight="1">
      <c r="A3" s="240"/>
      <c r="B3" s="121" t="s">
        <v>30</v>
      </c>
      <c r="C3" s="121" t="s">
        <v>58</v>
      </c>
      <c r="D3" s="121" t="s">
        <v>59</v>
      </c>
      <c r="E3" s="112" t="s">
        <v>7</v>
      </c>
      <c r="F3" s="112" t="s">
        <v>49</v>
      </c>
      <c r="G3" s="112" t="s">
        <v>6</v>
      </c>
      <c r="H3" s="112" t="s">
        <v>11</v>
      </c>
    </row>
    <row r="4" spans="1:9" ht="15" customHeight="1">
      <c r="A4" s="1" t="s">
        <v>147</v>
      </c>
      <c r="B4" s="132">
        <f>'Emissão Chaminés'!T24</f>
        <v>14.953735063411161</v>
      </c>
      <c r="C4" s="132">
        <f>'Emissão Chaminés'!U24</f>
        <v>14.953735063411161</v>
      </c>
      <c r="D4" s="132">
        <f>'Emissão Chaminés'!V24</f>
        <v>14.953735063411161</v>
      </c>
      <c r="E4" s="132">
        <f>'Emissão Chaminés'!W24</f>
        <v>8.9849030223999993</v>
      </c>
      <c r="F4" s="132">
        <f>'Emissão Chaminés'!X24</f>
        <v>1.3931486503441379</v>
      </c>
      <c r="G4" s="132">
        <f>'Emissão Chaminés'!Y24</f>
        <v>52.022318538816002</v>
      </c>
      <c r="H4" s="132">
        <f>'Emissão Chaminés'!Z24</f>
        <v>6.7488571662319998</v>
      </c>
    </row>
    <row r="5" spans="1:9" ht="15" customHeight="1">
      <c r="A5" s="1" t="s">
        <v>148</v>
      </c>
      <c r="B5" s="145">
        <f>'Emissão Maq e Equip'!O5</f>
        <v>2.4158393000788227E-2</v>
      </c>
      <c r="C5" s="145">
        <f>'Emissão Maq e Equip'!P5</f>
        <v>2.4158393000788227E-2</v>
      </c>
      <c r="D5" s="145">
        <f>'Emissão Maq e Equip'!Q5</f>
        <v>2.4158393000788227E-2</v>
      </c>
      <c r="E5" s="145">
        <f>'Emissão Maq e Equip'!R5</f>
        <v>0.42602001536808171</v>
      </c>
      <c r="F5" s="144">
        <f>'Emissão Maq e Equip'!S5</f>
        <v>4.011690205780963E-4</v>
      </c>
      <c r="G5" s="145">
        <f>'Emissão Maq e Equip'!T5</f>
        <v>0.20923195306469852</v>
      </c>
      <c r="H5" s="145">
        <f>'Emissão Maq e Equip'!U5</f>
        <v>5.3903431243769118E-2</v>
      </c>
      <c r="I5" s="114"/>
    </row>
    <row r="6" spans="1:9" ht="15" customHeight="1">
      <c r="A6" s="1" t="s">
        <v>149</v>
      </c>
      <c r="B6" s="144">
        <f>'Emissão Transferências'!J6</f>
        <v>4.4366276248502421E-3</v>
      </c>
      <c r="C6" s="144">
        <f>'Emissão Transferências'!K6</f>
        <v>2.0984049576994387E-3</v>
      </c>
      <c r="D6" s="144">
        <f>'Emissão Transferências'!L6</f>
        <v>3.1775846502305789E-4</v>
      </c>
      <c r="E6" s="42" t="s">
        <v>146</v>
      </c>
      <c r="F6" s="42" t="s">
        <v>146</v>
      </c>
      <c r="G6" s="42" t="s">
        <v>146</v>
      </c>
      <c r="H6" s="42" t="s">
        <v>146</v>
      </c>
    </row>
    <row r="7" spans="1:9" ht="15" customHeight="1">
      <c r="A7" s="1" t="s">
        <v>150</v>
      </c>
      <c r="B7" s="132">
        <v>2.1127567022314819</v>
      </c>
      <c r="C7" s="132">
        <v>1.056378351115741</v>
      </c>
      <c r="D7" s="132">
        <v>0.15845675266736114</v>
      </c>
      <c r="E7" s="42" t="s">
        <v>146</v>
      </c>
      <c r="F7" s="42" t="s">
        <v>146</v>
      </c>
      <c r="G7" s="42" t="s">
        <v>146</v>
      </c>
      <c r="H7" s="42" t="s">
        <v>146</v>
      </c>
    </row>
    <row r="8" spans="1:9" ht="15" customHeight="1">
      <c r="A8" s="143" t="s">
        <v>158</v>
      </c>
      <c r="B8" s="143">
        <f t="shared" ref="B8:H8" si="0">SUM(B4:B7)</f>
        <v>17.095086786268279</v>
      </c>
      <c r="C8" s="143">
        <f t="shared" si="0"/>
        <v>16.036370212485387</v>
      </c>
      <c r="D8" s="143">
        <f t="shared" si="0"/>
        <v>15.136667967544332</v>
      </c>
      <c r="E8" s="143">
        <f t="shared" si="0"/>
        <v>9.4109230377680806</v>
      </c>
      <c r="F8" s="143">
        <f t="shared" si="0"/>
        <v>1.393549819364716</v>
      </c>
      <c r="G8" s="143">
        <f t="shared" si="0"/>
        <v>52.231550491880704</v>
      </c>
      <c r="H8" s="143">
        <f t="shared" si="0"/>
        <v>6.8027605974757686</v>
      </c>
    </row>
  </sheetData>
  <sheetProtection password="B056" sheet="1" objects="1" scenarios="1"/>
  <mergeCells count="2">
    <mergeCell ref="A2:A3"/>
    <mergeCell ref="B2:H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FE-Fab Cerâmica</vt:lpstr>
      <vt:lpstr>FE-Combustão</vt:lpstr>
      <vt:lpstr>FE-Maq e Equip</vt:lpstr>
      <vt:lpstr>Emissão Chaminés</vt:lpstr>
      <vt:lpstr>Emissão Maq e Equip</vt:lpstr>
      <vt:lpstr>Emissão Transferências</vt:lpstr>
      <vt:lpstr>Resumo</vt:lpstr>
    </vt:vector>
  </TitlesOfParts>
  <Company>EcoSoft Consultoria e Softwares Ambientais Ltda.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Wilhiam</dc:creator>
  <cp:lastModifiedBy>Vanessa Brusco Filete</cp:lastModifiedBy>
  <dcterms:created xsi:type="dcterms:W3CDTF">2013-07-17T12:14:17Z</dcterms:created>
  <dcterms:modified xsi:type="dcterms:W3CDTF">2019-06-07T11:50:48Z</dcterms:modified>
</cp:coreProperties>
</file>