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JK Serviços e Assessoria\"/>
    </mc:Choice>
  </mc:AlternateContent>
  <bookViews>
    <workbookView xWindow="0" yWindow="0" windowWidth="24000" windowHeight="9135" tabRatio="789" activeTab="7"/>
  </bookViews>
  <sheets>
    <sheet name="Dados" sheetId="16" r:id="rId1"/>
    <sheet name="FE-Maq e Equip" sheetId="6" r:id="rId2"/>
    <sheet name="FE-Transferências" sheetId="10" r:id="rId3"/>
    <sheet name="FE-Vias" sheetId="13" r:id="rId4"/>
    <sheet name="Emissão Transferências" sheetId="8" r:id="rId5"/>
    <sheet name="Emissão Maq e Equip" sheetId="5" r:id="rId6"/>
    <sheet name="Emissão Vias " sheetId="9" r:id="rId7"/>
    <sheet name="Resumo" sheetId="26" r:id="rId8"/>
  </sheets>
  <definedNames>
    <definedName name="FE_Equip">'FE-Maq e Equip'!$B$3:$I$17</definedName>
    <definedName name="Pot_Equip">'FE-Maq e Equip'!$B$3:$B$17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6" l="1"/>
  <c r="D4" i="8" l="1"/>
  <c r="C12" i="16" l="1"/>
  <c r="C11" i="16"/>
  <c r="P3" i="9" l="1"/>
  <c r="O3" i="9"/>
  <c r="N3" i="9"/>
  <c r="G16" i="13" l="1"/>
  <c r="J15" i="13"/>
  <c r="J14" i="13"/>
  <c r="J13" i="13"/>
  <c r="J12" i="13"/>
  <c r="J11" i="13"/>
  <c r="J10" i="13"/>
  <c r="J9" i="13"/>
  <c r="J8" i="13"/>
  <c r="J7" i="13"/>
  <c r="J6" i="13"/>
  <c r="J5" i="13"/>
  <c r="J4" i="13"/>
  <c r="V3" i="9" l="1"/>
  <c r="U3" i="9"/>
  <c r="G3" i="5" l="1"/>
  <c r="G4" i="5"/>
  <c r="B6" i="16"/>
  <c r="D5" i="8" l="1"/>
  <c r="F3" i="9" s="1"/>
  <c r="H3" i="9" s="1"/>
  <c r="F5" i="8" l="1"/>
  <c r="G5" i="8" l="1"/>
  <c r="H5" i="8"/>
  <c r="H4" i="5" l="1"/>
  <c r="I4" i="5" s="1"/>
  <c r="K4" i="5"/>
  <c r="L4" i="5"/>
  <c r="M4" i="5"/>
  <c r="N4" i="5"/>
  <c r="I5" i="8" l="1"/>
  <c r="J5" i="8"/>
  <c r="K5" i="8"/>
  <c r="J4" i="5"/>
  <c r="R3" i="9"/>
  <c r="S3" i="9"/>
  <c r="T3" i="9"/>
  <c r="W3" i="9"/>
  <c r="Q3" i="9"/>
  <c r="I3" i="9" l="1"/>
  <c r="Z3" i="9" l="1"/>
  <c r="Y3" i="9"/>
  <c r="X3" i="9"/>
  <c r="AB3" i="9"/>
  <c r="AA3" i="9"/>
  <c r="AC3" i="9"/>
  <c r="AD3" i="9"/>
  <c r="H4" i="8"/>
  <c r="G4" i="8"/>
  <c r="F4" i="8"/>
  <c r="AC4" i="9" l="1"/>
  <c r="G5" i="26" s="1"/>
  <c r="Y4" i="9"/>
  <c r="C5" i="26" s="1"/>
  <c r="Z4" i="9"/>
  <c r="D5" i="26" s="1"/>
  <c r="AD4" i="9"/>
  <c r="H5" i="26" s="1"/>
  <c r="AB4" i="9"/>
  <c r="F5" i="26" s="1"/>
  <c r="AA4" i="9"/>
  <c r="E5" i="26" s="1"/>
  <c r="X4" i="9"/>
  <c r="B5" i="26" s="1"/>
  <c r="I4" i="8"/>
  <c r="I6" i="8" s="1"/>
  <c r="B3" i="26" s="1"/>
  <c r="J4" i="8"/>
  <c r="J6" i="8" s="1"/>
  <c r="C3" i="26" s="1"/>
  <c r="K4" i="8"/>
  <c r="K6" i="8" s="1"/>
  <c r="D3" i="26" s="1"/>
  <c r="H3" i="5"/>
  <c r="J3" i="5" s="1"/>
  <c r="K3" i="5"/>
  <c r="L3" i="5"/>
  <c r="M3" i="5"/>
  <c r="N3" i="5"/>
  <c r="I3" i="5" l="1"/>
  <c r="H5" i="5" l="1"/>
  <c r="B4" i="26" s="1"/>
  <c r="K5" i="5" l="1"/>
  <c r="E4" i="26" s="1"/>
  <c r="E7" i="26" s="1"/>
  <c r="N5" i="5"/>
  <c r="H4" i="26" s="1"/>
  <c r="H7" i="26" s="1"/>
  <c r="I5" i="5"/>
  <c r="C4" i="26" s="1"/>
  <c r="M5" i="5"/>
  <c r="G4" i="26" s="1"/>
  <c r="G7" i="26" s="1"/>
  <c r="L5" i="5"/>
  <c r="F4" i="26" s="1"/>
  <c r="F7" i="26" s="1"/>
  <c r="J5" i="5" l="1"/>
  <c r="D4" i="26" s="1"/>
  <c r="B7" i="26" l="1"/>
  <c r="C7" i="26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3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3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3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E2" authorId="0" shapeId="0">
      <text>
        <r>
          <rPr>
            <sz val="9"/>
            <color indexed="81"/>
            <rFont val="Segoe UI"/>
            <family val="2"/>
          </rPr>
          <t xml:space="preserve">Fonte: USEPA (2006) - Table 13.2.4-1. Typical silt and moisture contents of materials at various industries. Considerado o valor médio.
</t>
        </r>
      </text>
    </comment>
    <comment ref="A8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 xml:space="preserve">Como informado um peso de 27 t do caminhão, foi considerado que esse valor seria o peso cheio, a capacidade de 15 t,  e o peso vazio de 12 t.
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Sand and gravel processing 
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Como informado um peso de 27 t do caminhão, foi considerado que esse valor seria o peso cheio, a capacidade de 15 t,  e o peso vazio de 12 t.
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Informado pelo empreendimento que a umectação ocorre 5 vezes ao dia.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WRAP (2006) - Unpaved Roads - Apply water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sharedStrings.xml><?xml version="1.0" encoding="utf-8"?>
<sst xmlns="http://schemas.openxmlformats.org/spreadsheetml/2006/main" count="193" uniqueCount="142">
  <si>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</si>
  <si>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</si>
  <si>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</si>
  <si>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</si>
  <si>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</si>
  <si>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</si>
  <si>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</si>
  <si>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</si>
  <si>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</si>
  <si>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</si>
  <si>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</si>
  <si>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</si>
  <si>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</si>
  <si>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</si>
  <si>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</si>
  <si>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</si>
  <si>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</si>
  <si>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</si>
  <si>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</si>
  <si>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</si>
  <si>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</si>
  <si>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</si>
  <si>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</si>
  <si>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</si>
  <si>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</si>
  <si>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</si>
  <si>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</si>
  <si>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</si>
  <si>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</si>
  <si>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</si>
  <si>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</si>
  <si>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</si>
  <si>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</si>
  <si>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</si>
  <si>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</si>
  <si>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</si>
  <si>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</si>
  <si>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</si>
  <si>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</si>
  <si>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</si>
  <si>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</si>
  <si>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</si>
  <si>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</si>
  <si>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</si>
  <si>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</si>
  <si>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</si>
  <si>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</si>
  <si>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</si>
  <si>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</si>
  <si>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</si>
  <si>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</si>
  <si>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</si>
  <si>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</si>
  <si>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</si>
  <si>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</si>
  <si>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</si>
  <si>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</si>
  <si>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</si>
  <si>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</si>
  <si>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</si>
  <si>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</si>
  <si>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</si>
  <si>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</si>
  <si>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</si>
  <si>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</si>
  <si>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</si>
  <si>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</si>
  <si>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</si>
  <si>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</si>
  <si>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</si>
  <si>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</si>
  <si>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</si>
  <si>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</si>
  <si>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</si>
  <si>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</si>
  <si>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</si>
  <si>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</si>
  <si>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Controle</t>
  </si>
  <si>
    <t>Transferências</t>
  </si>
  <si>
    <t>Horário de Funcionamento</t>
  </si>
  <si>
    <t>Umectação</t>
  </si>
  <si>
    <t>Máquinas e Equipamentos</t>
  </si>
  <si>
    <t>Vias de Tráfego</t>
  </si>
  <si>
    <t>Erosão Eólica</t>
  </si>
  <si>
    <t>Fontes Emissoras</t>
  </si>
  <si>
    <t>Total</t>
  </si>
  <si>
    <t>-</t>
  </si>
  <si>
    <t>hora/dia</t>
  </si>
  <si>
    <t>TR - Car. Caminhão</t>
  </si>
  <si>
    <t xml:space="preserve">Quantidade de Argila Extraída </t>
  </si>
  <si>
    <t>t/ano</t>
  </si>
  <si>
    <t>t/h</t>
  </si>
  <si>
    <t>Equipamentos</t>
  </si>
  <si>
    <t>Via - Trecho 1</t>
  </si>
  <si>
    <t>TR - Argila Bruta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</si>
  <si>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</si>
  <si>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Não especifica dias da semana</t>
  </si>
  <si>
    <t>08:00 às 18:00</t>
  </si>
  <si>
    <t>Área Lavrada (m²)</t>
  </si>
  <si>
    <t>Carregadeira</t>
  </si>
  <si>
    <t>Escavadeira</t>
  </si>
  <si>
    <t>Carregadeira CAT-924</t>
  </si>
  <si>
    <t>Horas trabalhadas/mês</t>
  </si>
  <si>
    <t>Excavators
(Escavadeira)</t>
  </si>
  <si>
    <t>Rubber Tired Loader- 25</t>
  </si>
  <si>
    <t>Rubber Tired Loader - 50</t>
  </si>
  <si>
    <t>Rubber Tired Loader - 120</t>
  </si>
  <si>
    <t>Rubber Tired Loader - 175</t>
  </si>
  <si>
    <t>Rubber Tired Loader - 750</t>
  </si>
  <si>
    <t>Rubber Tired Loader - 1000</t>
  </si>
  <si>
    <t>Rubber Tired Loader - 250</t>
  </si>
  <si>
    <t>Rubber Tired Loader - 500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</si>
  <si>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</si>
  <si>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</si>
  <si>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</si>
  <si>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</si>
  <si>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</si>
  <si>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</si>
  <si>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</si>
  <si>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 xml:space="preserve">Rubber Tired Loader 
(Pá Carrregadeira)
</t>
  </si>
  <si>
    <t>Escavadeira CAT-312</t>
  </si>
  <si>
    <t xml:space="preserve">Fonte: Informações fornecidos pelo empreendimento à solicitação através do Ofício </t>
  </si>
  <si>
    <t>Consideração:</t>
  </si>
  <si>
    <t>Como não foi informado o ano dos equipamentos, foi considerado, de forma conservadora, os fatores de 2007.</t>
  </si>
  <si>
    <t>TOTAL</t>
  </si>
  <si>
    <t>Movimentação material [t/h]</t>
  </si>
  <si>
    <t>Umidade do Material [%]</t>
  </si>
  <si>
    <t>Fator de Emissão [kg/t]</t>
  </si>
  <si>
    <t>Comprimento [m]</t>
  </si>
  <si>
    <t>Quantidade Movimentada [t/h]</t>
  </si>
  <si>
    <t>Capacidade do Caminhão [t]</t>
  </si>
  <si>
    <t>Nº de Caminhões por Hora [h-1]</t>
  </si>
  <si>
    <t>DMT  [km/h]</t>
  </si>
  <si>
    <t>Teor de Silte [%]</t>
  </si>
  <si>
    <t>Peso Médio dos Caminhões [t]</t>
  </si>
  <si>
    <t>Eficiência de Controle [%]</t>
  </si>
  <si>
    <t>Fator de Emissão - Ressuspensão [kg/VKT]</t>
  </si>
  <si>
    <t>Fator de Emissão - Gases Escapamento [kg/km]</t>
  </si>
  <si>
    <t>VOC</t>
  </si>
  <si>
    <t>Latitude [º]</t>
  </si>
  <si>
    <t>Longitude [º]</t>
  </si>
  <si>
    <t>Nota: "Erosão Eólica" foi calculada na Planilha: Erosão Eólica_JK Serviços e Assessoria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</si>
</sst>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#,##0.00000"/>
    <numFmt numFmtId="170" formatCode="#,##0.0"/>
    <numFmt numFmtId="171" formatCode="0.00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5" xfId="0" applyFont="1" applyFill="1" applyBorder="1" applyAlignment="1"/>
    <xf numFmtId="0" fontId="1" fillId="4" borderId="19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19" xfId="0" applyFont="1" applyFill="1" applyBorder="1" applyAlignment="1">
      <alignment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vertical="center"/>
    </xf>
    <xf numFmtId="1" fontId="11" fillId="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3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0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9" fontId="1" fillId="0" borderId="19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486025" y="1924050"/>
          <a:ext cx="1028700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1" sqref="E21"/>
    </sheetView>
  </sheetViews>
  <sheetFormatPr defaultColWidth="16" defaultRowHeight="15" customHeight="1" x14ac:dyDescent="0.2"/>
  <cols>
    <col min="1" max="1" width="30" style="1" bestFit="1" customWidth="1"/>
    <col min="2" max="2" width="20.28515625" style="1" customWidth="1"/>
    <col min="3" max="3" width="16" style="1"/>
    <col min="4" max="4" width="18.28515625" style="1" customWidth="1"/>
    <col min="5" max="5" width="18.7109375" style="1" customWidth="1"/>
    <col min="6" max="16384" width="16" style="1"/>
  </cols>
  <sheetData>
    <row r="1" spans="1:8" ht="15" customHeight="1" x14ac:dyDescent="0.2">
      <c r="A1" s="95" t="s">
        <v>79</v>
      </c>
      <c r="B1" s="95"/>
    </row>
    <row r="2" spans="1:8" ht="15" customHeight="1" x14ac:dyDescent="0.2">
      <c r="A2" s="2" t="s">
        <v>96</v>
      </c>
      <c r="B2" s="28" t="s">
        <v>97</v>
      </c>
    </row>
    <row r="3" spans="1:8" ht="15" customHeight="1" x14ac:dyDescent="0.2">
      <c r="A3" s="2"/>
      <c r="B3" s="2"/>
    </row>
    <row r="4" spans="1:8" ht="15" customHeight="1" x14ac:dyDescent="0.2">
      <c r="A4" s="96" t="s">
        <v>89</v>
      </c>
      <c r="B4" s="96"/>
    </row>
    <row r="5" spans="1:8" ht="15" customHeight="1" x14ac:dyDescent="0.2">
      <c r="A5" s="57" t="s">
        <v>90</v>
      </c>
      <c r="B5" s="57" t="s">
        <v>91</v>
      </c>
    </row>
    <row r="6" spans="1:8" ht="15" customHeight="1" x14ac:dyDescent="0.2">
      <c r="A6" s="60">
        <v>56650</v>
      </c>
      <c r="B6" s="61">
        <f>A6/8760</f>
        <v>6.4668949771689501</v>
      </c>
      <c r="D6" s="62"/>
    </row>
    <row r="7" spans="1:8" ht="15" customHeight="1" x14ac:dyDescent="0.2">
      <c r="A7" s="60"/>
      <c r="B7" s="61"/>
      <c r="D7" s="62"/>
    </row>
    <row r="8" spans="1:8" ht="15" customHeight="1" x14ac:dyDescent="0.2">
      <c r="A8" s="75" t="s">
        <v>98</v>
      </c>
      <c r="B8" s="84">
        <v>75000</v>
      </c>
      <c r="D8" s="62"/>
    </row>
    <row r="9" spans="1:8" ht="15" customHeight="1" x14ac:dyDescent="0.2">
      <c r="A9" s="44"/>
      <c r="B9" s="44"/>
      <c r="C9" s="44"/>
    </row>
    <row r="10" spans="1:8" ht="15" customHeight="1" x14ac:dyDescent="0.2">
      <c r="A10" s="56" t="s">
        <v>92</v>
      </c>
      <c r="B10" s="56" t="s">
        <v>102</v>
      </c>
      <c r="C10" s="56" t="s">
        <v>87</v>
      </c>
      <c r="G10" s="47"/>
      <c r="H10" s="47"/>
    </row>
    <row r="11" spans="1:8" ht="15" customHeight="1" x14ac:dyDescent="0.2">
      <c r="A11" s="5" t="s">
        <v>101</v>
      </c>
      <c r="B11" s="81">
        <v>108</v>
      </c>
      <c r="C11" s="82">
        <f>B11*12/365</f>
        <v>3.5506849315068494</v>
      </c>
      <c r="D11" s="58"/>
    </row>
    <row r="12" spans="1:8" ht="15" customHeight="1" x14ac:dyDescent="0.2">
      <c r="A12" s="5" t="s">
        <v>120</v>
      </c>
      <c r="B12" s="83">
        <v>100</v>
      </c>
      <c r="C12" s="82">
        <f>B12*12/365</f>
        <v>3.2876712328767121</v>
      </c>
      <c r="D12" s="58"/>
    </row>
    <row r="13" spans="1:8" ht="15" customHeight="1" x14ac:dyDescent="0.2">
      <c r="A13" s="5"/>
      <c r="B13" s="58"/>
      <c r="C13" s="58"/>
      <c r="D13" s="58"/>
    </row>
  </sheetData>
  <sheetProtection password="B056" sheet="1" objects="1" scenarios="1"/>
  <mergeCells count="2">
    <mergeCell ref="A1:B1"/>
    <mergeCell ref="A4:B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selection activeCell="G21" sqref="G21"/>
    </sheetView>
  </sheetViews>
  <sheetFormatPr defaultRowHeight="15" x14ac:dyDescent="0.25"/>
  <cols>
    <col min="1" max="1" width="19.42578125" bestFit="1" customWidth="1"/>
    <col min="2" max="2" width="20.28515625" bestFit="1" customWidth="1"/>
    <col min="3" max="7" width="10.85546875" bestFit="1" customWidth="1"/>
    <col min="8" max="8" width="12.5703125" bestFit="1" customWidth="1"/>
    <col min="9" max="9" width="10.85546875" bestFit="1" customWidth="1"/>
    <col min="11" max="11" width="19.85546875" customWidth="1"/>
  </cols>
  <sheetData>
    <row r="1" spans="1:19" x14ac:dyDescent="0.25">
      <c r="A1" s="2" t="s">
        <v>23</v>
      </c>
    </row>
    <row r="2" spans="1:19" x14ac:dyDescent="0.2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</row>
    <row r="3" spans="1:19" s="45" customFormat="1" x14ac:dyDescent="0.25">
      <c r="A3" s="97" t="s">
        <v>103</v>
      </c>
      <c r="B3" s="76" t="s">
        <v>112</v>
      </c>
      <c r="C3" s="13">
        <v>3.9890165496478201E-3</v>
      </c>
      <c r="D3" s="13">
        <v>6.1369251319822266E-2</v>
      </c>
      <c r="E3" s="13">
        <v>9.4616446621996876E-5</v>
      </c>
      <c r="F3" s="13">
        <v>3.0704922620167548E-2</v>
      </c>
      <c r="G3" s="13">
        <v>9.325230578523698E-3</v>
      </c>
      <c r="H3" s="13">
        <v>7.4570981157761267</v>
      </c>
      <c r="I3" s="13">
        <v>8.4140057334345904E-4</v>
      </c>
      <c r="K3"/>
    </row>
    <row r="4" spans="1:19" s="45" customFormat="1" x14ac:dyDescent="0.25">
      <c r="A4" s="98"/>
      <c r="B4" s="76" t="s">
        <v>113</v>
      </c>
      <c r="C4" s="13">
        <v>1.5482138027073926E-2</v>
      </c>
      <c r="D4" s="13">
        <v>0.12602279653815557</v>
      </c>
      <c r="E4" s="13">
        <v>1.4669823419588148E-4</v>
      </c>
      <c r="F4" s="13">
        <v>0.15992567973540345</v>
      </c>
      <c r="G4" s="13">
        <v>6.8514240153494874E-2</v>
      </c>
      <c r="H4" s="13">
        <v>11.347760681124397</v>
      </c>
      <c r="I4" s="13">
        <v>6.1819292303150449E-3</v>
      </c>
      <c r="K4"/>
    </row>
    <row r="5" spans="1:19" s="45" customFormat="1" x14ac:dyDescent="0.25">
      <c r="A5" s="98"/>
      <c r="B5" s="76" t="s">
        <v>114</v>
      </c>
      <c r="C5" s="13">
        <v>4.3689955953397884E-2</v>
      </c>
      <c r="D5" s="13">
        <v>0.46744735992116221</v>
      </c>
      <c r="E5" s="13">
        <v>3.9173850602458582E-4</v>
      </c>
      <c r="F5" s="13">
        <v>0.24966648844319658</v>
      </c>
      <c r="G5" s="13">
        <v>8.1017998911048009E-2</v>
      </c>
      <c r="H5" s="13">
        <v>33.394826528703661</v>
      </c>
      <c r="I5" s="13">
        <v>7.3101241308548672E-3</v>
      </c>
      <c r="K5"/>
    </row>
    <row r="6" spans="1:19" s="45" customFormat="1" x14ac:dyDescent="0.25">
      <c r="A6" s="98"/>
      <c r="B6" s="76" t="s">
        <v>115</v>
      </c>
      <c r="C6" s="13">
        <v>3.6023154684608628E-2</v>
      </c>
      <c r="D6" s="13">
        <v>0.63034815463312366</v>
      </c>
      <c r="E6" s="13">
        <v>5.7274397999067218E-4</v>
      </c>
      <c r="F6" s="13">
        <v>0.30652652990664653</v>
      </c>
      <c r="G6" s="13">
        <v>8.1297557226803041E-2</v>
      </c>
      <c r="H6" s="13">
        <v>50.902804870404331</v>
      </c>
      <c r="I6" s="13">
        <v>7.3353490732738606E-3</v>
      </c>
      <c r="K6"/>
    </row>
    <row r="7" spans="1:19" s="45" customFormat="1" x14ac:dyDescent="0.25">
      <c r="A7" s="98"/>
      <c r="B7" s="76" t="s">
        <v>116</v>
      </c>
      <c r="C7" s="13">
        <v>2.9088427954342536E-2</v>
      </c>
      <c r="D7" s="13">
        <v>0.84182054273419638</v>
      </c>
      <c r="E7" s="13">
        <v>8.0986730271663749E-4</v>
      </c>
      <c r="F7" s="13">
        <v>0.21055843242538708</v>
      </c>
      <c r="G7" s="13">
        <v>7.8277754706101627E-2</v>
      </c>
      <c r="H7" s="13">
        <v>71.977225347554125</v>
      </c>
      <c r="I7" s="13">
        <v>7.0628741220007361E-3</v>
      </c>
      <c r="K7"/>
    </row>
    <row r="8" spans="1:19" s="45" customFormat="1" x14ac:dyDescent="0.25">
      <c r="A8" s="98"/>
      <c r="B8" s="76" t="s">
        <v>117</v>
      </c>
      <c r="C8" s="13">
        <v>3.8897927506608358E-2</v>
      </c>
      <c r="D8" s="13">
        <v>1.0799749312549003</v>
      </c>
      <c r="E8" s="13">
        <v>1.0406255490298018E-3</v>
      </c>
      <c r="F8" s="13">
        <v>0.34712417522482392</v>
      </c>
      <c r="G8" s="13">
        <v>0.1040828387327908</v>
      </c>
      <c r="H8" s="13">
        <v>106.02050023214386</v>
      </c>
      <c r="I8" s="13">
        <v>9.3912260611923714E-3</v>
      </c>
      <c r="K8"/>
    </row>
    <row r="9" spans="1:19" s="45" customFormat="1" x14ac:dyDescent="0.25">
      <c r="A9" s="99"/>
      <c r="B9" s="76" t="s">
        <v>118</v>
      </c>
      <c r="C9" s="13">
        <v>6.5509575064624348E-2</v>
      </c>
      <c r="D9" s="13">
        <v>1.848764979398662</v>
      </c>
      <c r="E9" s="13">
        <v>1.7668986494167919E-3</v>
      </c>
      <c r="F9" s="13">
        <v>0.57357271429451673</v>
      </c>
      <c r="G9" s="13">
        <v>0.17421540945270575</v>
      </c>
      <c r="H9" s="13">
        <v>175.7281803441501</v>
      </c>
      <c r="I9" s="13">
        <v>1.5719177508701557E-2</v>
      </c>
      <c r="K9"/>
    </row>
    <row r="10" spans="1:19" x14ac:dyDescent="0.25">
      <c r="A10" s="121" t="s">
        <v>119</v>
      </c>
      <c r="B10" s="15" t="s">
        <v>104</v>
      </c>
      <c r="C10" s="52">
        <v>4.1647481574952775E-3</v>
      </c>
      <c r="D10" s="52">
        <v>6.5318933034944765E-2</v>
      </c>
      <c r="E10" s="52">
        <v>9.7431139391112798E-5</v>
      </c>
      <c r="F10" s="52">
        <v>3.2117661168667613E-2</v>
      </c>
      <c r="G10" s="52">
        <v>1.0013560541894806E-2</v>
      </c>
      <c r="H10" s="52">
        <v>7.6789363702976381</v>
      </c>
      <c r="I10" s="52">
        <v>9.0350737078986789E-4</v>
      </c>
      <c r="K10" s="53"/>
      <c r="L10" s="53"/>
      <c r="M10" s="53"/>
      <c r="N10" s="53"/>
      <c r="O10" s="53"/>
      <c r="P10" s="53"/>
      <c r="Q10" s="53"/>
      <c r="R10" s="53"/>
      <c r="S10" s="53"/>
    </row>
    <row r="11" spans="1:19" x14ac:dyDescent="0.25">
      <c r="A11" s="122"/>
      <c r="B11" s="15" t="s">
        <v>105</v>
      </c>
      <c r="C11" s="52">
        <v>1.9389461005136124E-2</v>
      </c>
      <c r="D11" s="52">
        <v>0.15850781980120351</v>
      </c>
      <c r="E11" s="52">
        <v>1.8265581631205882E-4</v>
      </c>
      <c r="F11" s="52">
        <v>0.19953638186759515</v>
      </c>
      <c r="G11" s="52">
        <v>8.7889870552575564E-2</v>
      </c>
      <c r="H11" s="52">
        <v>14.129238189499569</v>
      </c>
      <c r="I11" s="52">
        <v>7.9301638618412291E-3</v>
      </c>
      <c r="J11" s="59"/>
      <c r="K11" s="53"/>
      <c r="L11" s="53"/>
      <c r="M11" s="53"/>
      <c r="N11" s="53"/>
      <c r="O11" s="53"/>
      <c r="P11" s="53"/>
      <c r="Q11" s="53"/>
      <c r="R11" s="53"/>
      <c r="S11" s="53"/>
    </row>
    <row r="12" spans="1:19" x14ac:dyDescent="0.25">
      <c r="A12" s="122"/>
      <c r="B12" s="15" t="s">
        <v>106</v>
      </c>
      <c r="C12" s="52">
        <v>3.5159649405128737E-2</v>
      </c>
      <c r="D12" s="52">
        <v>0.39013010201093185</v>
      </c>
      <c r="E12" s="52">
        <v>3.1347091665644508E-4</v>
      </c>
      <c r="F12" s="52">
        <v>0.2004419223709539</v>
      </c>
      <c r="G12" s="52">
        <v>6.7138814469940591E-2</v>
      </c>
      <c r="H12" s="52">
        <v>26.722695910514073</v>
      </c>
      <c r="I12" s="52">
        <v>6.0578280967871325E-3</v>
      </c>
      <c r="K12" s="53"/>
      <c r="L12" s="53"/>
      <c r="M12" s="53"/>
      <c r="N12" s="53"/>
      <c r="O12" s="53"/>
      <c r="P12" s="53"/>
      <c r="Q12" s="53"/>
      <c r="R12" s="53"/>
      <c r="S12" s="53"/>
    </row>
    <row r="13" spans="1:19" x14ac:dyDescent="0.25">
      <c r="A13" s="122"/>
      <c r="B13" s="15" t="s">
        <v>107</v>
      </c>
      <c r="C13" s="52">
        <v>3.4873730864910753E-2</v>
      </c>
      <c r="D13" s="52">
        <v>0.62819014565488085</v>
      </c>
      <c r="E13" s="52">
        <v>5.4259968788077681E-4</v>
      </c>
      <c r="F13" s="52">
        <v>0.29143683660988179</v>
      </c>
      <c r="G13" s="52">
        <v>7.9806989940830519E-2</v>
      </c>
      <c r="H13" s="52">
        <v>48.223729179933819</v>
      </c>
      <c r="I13" s="52">
        <v>7.2008552575325378E-3</v>
      </c>
      <c r="L13" s="53"/>
      <c r="M13" s="53"/>
      <c r="N13" s="53"/>
      <c r="O13" s="53"/>
      <c r="P13" s="53"/>
      <c r="R13" s="53"/>
      <c r="S13" s="53"/>
    </row>
    <row r="14" spans="1:19" x14ac:dyDescent="0.25">
      <c r="A14" s="122"/>
      <c r="B14" s="15" t="s">
        <v>110</v>
      </c>
      <c r="C14" s="13">
        <v>3.101083119228833E-2</v>
      </c>
      <c r="D14" s="13">
        <v>0.83698143551687265</v>
      </c>
      <c r="E14" s="13">
        <v>7.6033040375300068E-4</v>
      </c>
      <c r="F14" s="13">
        <v>0.22495851814724077</v>
      </c>
      <c r="G14" s="13">
        <v>8.0781384871570633E-2</v>
      </c>
      <c r="H14" s="13">
        <v>67.57462749683539</v>
      </c>
      <c r="I14" s="13">
        <v>7.2887737155482657E-3</v>
      </c>
      <c r="R14" s="53"/>
      <c r="S14" s="53"/>
    </row>
    <row r="15" spans="1:19" x14ac:dyDescent="0.25">
      <c r="A15" s="122"/>
      <c r="B15" s="15" t="s">
        <v>111</v>
      </c>
      <c r="C15" s="13">
        <v>4.4312637095619792E-2</v>
      </c>
      <c r="D15" s="13">
        <v>1.1811178567160983</v>
      </c>
      <c r="E15" s="13">
        <v>1.0551972934755545E-3</v>
      </c>
      <c r="F15" s="13">
        <v>0.44023160723795168</v>
      </c>
      <c r="G15" s="13">
        <v>0.11468313954524458</v>
      </c>
      <c r="H15" s="13">
        <v>107.50511325477065</v>
      </c>
      <c r="I15" s="13">
        <v>1.0347677695252593E-2</v>
      </c>
    </row>
    <row r="16" spans="1:19" x14ac:dyDescent="0.25">
      <c r="A16" s="122"/>
      <c r="B16" s="15" t="s">
        <v>108</v>
      </c>
      <c r="C16" s="13">
        <v>9.1699292295937748E-2</v>
      </c>
      <c r="D16" s="13">
        <v>2.4816495823931239</v>
      </c>
      <c r="E16" s="13">
        <v>2.2143711863278365E-3</v>
      </c>
      <c r="F16" s="13">
        <v>0.8977989810489746</v>
      </c>
      <c r="G16" s="13">
        <v>0.2376690359121682</v>
      </c>
      <c r="H16" s="13">
        <v>220.23193257962103</v>
      </c>
      <c r="I16" s="13">
        <v>2.1444490325478866E-2</v>
      </c>
    </row>
    <row r="17" spans="1:9" x14ac:dyDescent="0.25">
      <c r="A17" s="122"/>
      <c r="B17" s="15" t="s">
        <v>109</v>
      </c>
      <c r="C17" s="13">
        <v>0.11281698418835924</v>
      </c>
      <c r="D17" s="13">
        <v>3.6320533542247149</v>
      </c>
      <c r="E17" s="13">
        <v>2.708513011176045E-3</v>
      </c>
      <c r="F17" s="13">
        <v>1.2834306373108464</v>
      </c>
      <c r="G17" s="13">
        <v>0.33188731556128104</v>
      </c>
      <c r="H17" s="13">
        <v>269.37717766866973</v>
      </c>
      <c r="I17" s="13">
        <v>2.9945664738985911E-2</v>
      </c>
    </row>
    <row r="19" spans="1:9" x14ac:dyDescent="0.25">
      <c r="A19" s="100" t="s">
        <v>21</v>
      </c>
      <c r="B19" s="103"/>
      <c r="C19" s="104"/>
      <c r="D19" s="104"/>
      <c r="E19" s="105"/>
    </row>
    <row r="20" spans="1:9" x14ac:dyDescent="0.25">
      <c r="A20" s="101"/>
      <c r="B20" s="106"/>
      <c r="C20" s="107"/>
      <c r="D20" s="107"/>
      <c r="E20" s="108"/>
    </row>
    <row r="21" spans="1:9" x14ac:dyDescent="0.25">
      <c r="A21" s="101"/>
      <c r="B21" s="109"/>
      <c r="C21" s="110"/>
      <c r="D21" s="110"/>
      <c r="E21" s="111"/>
    </row>
    <row r="22" spans="1:9" x14ac:dyDescent="0.25">
      <c r="A22" s="101"/>
      <c r="B22" s="112" t="s">
        <v>22</v>
      </c>
      <c r="C22" s="113"/>
      <c r="D22" s="113"/>
      <c r="E22" s="114"/>
    </row>
    <row r="23" spans="1:9" x14ac:dyDescent="0.25">
      <c r="A23" s="101"/>
      <c r="B23" s="115"/>
      <c r="C23" s="116"/>
      <c r="D23" s="116"/>
      <c r="E23" s="117"/>
    </row>
    <row r="24" spans="1:9" x14ac:dyDescent="0.25">
      <c r="A24" s="101"/>
      <c r="B24" s="115"/>
      <c r="C24" s="116"/>
      <c r="D24" s="116"/>
      <c r="E24" s="117"/>
    </row>
    <row r="25" spans="1:9" x14ac:dyDescent="0.25">
      <c r="A25" s="102"/>
      <c r="B25" s="118"/>
      <c r="C25" s="119"/>
      <c r="D25" s="119"/>
      <c r="E25" s="120"/>
    </row>
    <row r="27" spans="1:9" x14ac:dyDescent="0.25">
      <c r="A27" s="2" t="s">
        <v>122</v>
      </c>
      <c r="C27" s="77"/>
      <c r="D27" s="77"/>
      <c r="E27" s="77"/>
      <c r="F27" s="77"/>
      <c r="G27" s="77"/>
      <c r="H27" s="77"/>
      <c r="I27" s="77"/>
    </row>
    <row r="28" spans="1:9" x14ac:dyDescent="0.25">
      <c r="A28" s="2" t="s">
        <v>123</v>
      </c>
      <c r="C28" s="16"/>
      <c r="D28" s="16"/>
      <c r="E28" s="16"/>
      <c r="F28" s="16"/>
      <c r="G28" s="16"/>
      <c r="H28" s="16"/>
      <c r="I28" s="16"/>
    </row>
    <row r="29" spans="1:9" x14ac:dyDescent="0.25">
      <c r="A29" s="2"/>
    </row>
    <row r="30" spans="1:9" x14ac:dyDescent="0.25">
      <c r="A30" s="2"/>
    </row>
  </sheetData>
  <sheetProtection password="B056" sheet="1" objects="1" scenarios="1"/>
  <mergeCells count="5">
    <mergeCell ref="A3:A9"/>
    <mergeCell ref="A19:A25"/>
    <mergeCell ref="B19:E21"/>
    <mergeCell ref="B22:E25"/>
    <mergeCell ref="A10:A1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:D3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23" t="s">
        <v>30</v>
      </c>
      <c r="B1" s="124"/>
      <c r="C1" s="124"/>
      <c r="D1" s="124"/>
    </row>
    <row r="2" spans="1:5" x14ac:dyDescent="0.25">
      <c r="A2" s="12"/>
      <c r="B2" s="12" t="s">
        <v>2</v>
      </c>
      <c r="C2" s="12" t="s">
        <v>26</v>
      </c>
      <c r="D2" s="12" t="s">
        <v>27</v>
      </c>
    </row>
    <row r="3" spans="1:5" x14ac:dyDescent="0.25">
      <c r="A3" s="11" t="s">
        <v>28</v>
      </c>
      <c r="B3" s="39">
        <v>0.74</v>
      </c>
      <c r="C3" s="39">
        <v>0.35</v>
      </c>
      <c r="D3" s="39">
        <v>5.2999999999999999E-2</v>
      </c>
    </row>
    <row r="5" spans="1:5" x14ac:dyDescent="0.25">
      <c r="A5" s="100" t="s">
        <v>21</v>
      </c>
      <c r="B5" s="19"/>
      <c r="C5" s="20"/>
      <c r="D5" s="20"/>
      <c r="E5" s="25"/>
    </row>
    <row r="6" spans="1:5" x14ac:dyDescent="0.25">
      <c r="A6" s="101"/>
      <c r="B6" s="21"/>
      <c r="C6" s="22"/>
      <c r="D6" s="22"/>
      <c r="E6" s="25"/>
    </row>
    <row r="7" spans="1:5" x14ac:dyDescent="0.25">
      <c r="A7" s="101"/>
      <c r="B7" s="23"/>
      <c r="C7" s="24"/>
      <c r="D7" s="24"/>
      <c r="E7" s="25"/>
    </row>
    <row r="8" spans="1:5" ht="15" customHeight="1" x14ac:dyDescent="0.25">
      <c r="A8" s="101"/>
      <c r="B8" s="112" t="s">
        <v>29</v>
      </c>
      <c r="C8" s="113"/>
      <c r="D8" s="113"/>
      <c r="E8" s="26"/>
    </row>
    <row r="9" spans="1:5" x14ac:dyDescent="0.25">
      <c r="A9" s="101"/>
      <c r="B9" s="115"/>
      <c r="C9" s="116"/>
      <c r="D9" s="116"/>
      <c r="E9" s="26"/>
    </row>
    <row r="10" spans="1:5" ht="17.25" customHeight="1" x14ac:dyDescent="0.25">
      <c r="A10" s="101"/>
      <c r="B10" s="115"/>
      <c r="C10" s="116"/>
      <c r="D10" s="116"/>
      <c r="E10" s="26"/>
    </row>
    <row r="11" spans="1:5" ht="19.5" customHeight="1" x14ac:dyDescent="0.25">
      <c r="A11" s="102"/>
      <c r="B11" s="118"/>
      <c r="C11" s="119"/>
      <c r="D11" s="119"/>
      <c r="E11" s="26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F24" sqref="F24"/>
    </sheetView>
  </sheetViews>
  <sheetFormatPr defaultRowHeight="15" x14ac:dyDescent="0.25"/>
  <cols>
    <col min="1" max="4" width="13.42578125" customWidth="1"/>
    <col min="7" max="7" width="13.42578125" customWidth="1"/>
    <col min="8" max="8" width="18" customWidth="1"/>
    <col min="9" max="9" width="11.42578125" customWidth="1"/>
    <col min="10" max="10" width="12.7109375" customWidth="1"/>
    <col min="11" max="11" width="12.5703125" customWidth="1"/>
    <col min="12" max="12" width="17.85546875" customWidth="1"/>
    <col min="13" max="13" width="12.5703125" customWidth="1"/>
    <col min="14" max="14" width="13.85546875" customWidth="1"/>
  </cols>
  <sheetData>
    <row r="1" spans="1:10" x14ac:dyDescent="0.25">
      <c r="A1" s="2" t="s">
        <v>34</v>
      </c>
      <c r="B1" s="2"/>
      <c r="C1" s="2"/>
      <c r="D1" s="2"/>
    </row>
    <row r="2" spans="1:10" x14ac:dyDescent="0.25">
      <c r="A2" s="127" t="s">
        <v>35</v>
      </c>
      <c r="B2" s="127"/>
      <c r="C2" s="127"/>
      <c r="D2" s="127"/>
      <c r="F2" s="96" t="s">
        <v>50</v>
      </c>
      <c r="G2" s="96"/>
      <c r="H2" s="96"/>
      <c r="I2" s="96"/>
      <c r="J2" s="96"/>
    </row>
    <row r="3" spans="1:10" ht="22.5" x14ac:dyDescent="0.25">
      <c r="A3" s="128" t="s">
        <v>36</v>
      </c>
      <c r="B3" s="128"/>
      <c r="C3" s="128"/>
      <c r="D3" s="128"/>
      <c r="F3" s="72" t="s">
        <v>51</v>
      </c>
      <c r="G3" s="56" t="s">
        <v>52</v>
      </c>
      <c r="H3" s="56" t="s">
        <v>53</v>
      </c>
      <c r="I3" s="72" t="s">
        <v>54</v>
      </c>
      <c r="J3" s="72" t="s">
        <v>55</v>
      </c>
    </row>
    <row r="4" spans="1:10" x14ac:dyDescent="0.25">
      <c r="A4" s="125" t="s">
        <v>37</v>
      </c>
      <c r="B4" s="125" t="s">
        <v>38</v>
      </c>
      <c r="C4" s="125"/>
      <c r="D4" s="125"/>
      <c r="F4" s="39" t="s">
        <v>56</v>
      </c>
      <c r="G4" s="39">
        <v>0</v>
      </c>
      <c r="H4" s="39">
        <v>0</v>
      </c>
      <c r="I4" s="39">
        <v>31</v>
      </c>
      <c r="J4" s="40">
        <f>(I4-H4)/I4</f>
        <v>1</v>
      </c>
    </row>
    <row r="5" spans="1:10" x14ac:dyDescent="0.25">
      <c r="A5" s="125"/>
      <c r="B5" s="33" t="s">
        <v>39</v>
      </c>
      <c r="C5" s="33" t="s">
        <v>40</v>
      </c>
      <c r="D5" s="33" t="s">
        <v>41</v>
      </c>
      <c r="F5" s="39" t="s">
        <v>57</v>
      </c>
      <c r="G5" s="39">
        <v>52</v>
      </c>
      <c r="H5" s="39">
        <v>7</v>
      </c>
      <c r="I5" s="39">
        <v>28</v>
      </c>
      <c r="J5" s="40">
        <f t="shared" ref="J5:J15" si="0">(I5-H5)/I5</f>
        <v>0.75</v>
      </c>
    </row>
    <row r="6" spans="1:10" x14ac:dyDescent="0.25">
      <c r="A6" s="34" t="s">
        <v>42</v>
      </c>
      <c r="B6" s="79">
        <v>0.15</v>
      </c>
      <c r="C6" s="79">
        <v>1.5</v>
      </c>
      <c r="D6" s="79">
        <v>4.9000000000000004</v>
      </c>
      <c r="F6" s="39" t="s">
        <v>58</v>
      </c>
      <c r="G6" s="39">
        <v>69</v>
      </c>
      <c r="H6" s="39">
        <v>7</v>
      </c>
      <c r="I6" s="39">
        <v>31</v>
      </c>
      <c r="J6" s="40">
        <f t="shared" si="0"/>
        <v>0.77419354838709675</v>
      </c>
    </row>
    <row r="7" spans="1:10" x14ac:dyDescent="0.25">
      <c r="A7" s="34" t="s">
        <v>43</v>
      </c>
      <c r="B7" s="79">
        <v>0.9</v>
      </c>
      <c r="C7" s="79">
        <v>0.9</v>
      </c>
      <c r="D7" s="79">
        <v>0.7</v>
      </c>
      <c r="F7" s="39" t="s">
        <v>59</v>
      </c>
      <c r="G7" s="39">
        <v>44</v>
      </c>
      <c r="H7" s="39">
        <v>8</v>
      </c>
      <c r="I7" s="39">
        <v>30</v>
      </c>
      <c r="J7" s="40">
        <f t="shared" si="0"/>
        <v>0.73333333333333328</v>
      </c>
    </row>
    <row r="8" spans="1:10" x14ac:dyDescent="0.25">
      <c r="A8" s="34" t="s">
        <v>44</v>
      </c>
      <c r="B8" s="79">
        <v>0.45</v>
      </c>
      <c r="C8" s="79">
        <v>0.45</v>
      </c>
      <c r="D8" s="79">
        <v>0.45</v>
      </c>
      <c r="F8" s="39" t="s">
        <v>60</v>
      </c>
      <c r="G8" s="39">
        <v>185.8</v>
      </c>
      <c r="H8" s="39">
        <v>16</v>
      </c>
      <c r="I8" s="39">
        <v>31</v>
      </c>
      <c r="J8" s="40">
        <f t="shared" si="0"/>
        <v>0.4838709677419355</v>
      </c>
    </row>
    <row r="9" spans="1:10" x14ac:dyDescent="0.25">
      <c r="A9" s="34" t="s">
        <v>46</v>
      </c>
      <c r="B9" s="86">
        <v>281.89999999999998</v>
      </c>
      <c r="C9" s="79" t="s">
        <v>47</v>
      </c>
      <c r="D9" s="79"/>
      <c r="F9" s="39" t="s">
        <v>61</v>
      </c>
      <c r="G9" s="39">
        <v>119.2</v>
      </c>
      <c r="H9" s="39">
        <v>9</v>
      </c>
      <c r="I9" s="39">
        <v>30</v>
      </c>
      <c r="J9" s="40">
        <f t="shared" si="0"/>
        <v>0.7</v>
      </c>
    </row>
    <row r="10" spans="1:10" x14ac:dyDescent="0.25">
      <c r="A10" s="125" t="s">
        <v>45</v>
      </c>
      <c r="B10" s="125"/>
      <c r="C10" s="125"/>
      <c r="D10" s="125"/>
      <c r="F10" s="39" t="s">
        <v>62</v>
      </c>
      <c r="G10" s="39">
        <v>17.8</v>
      </c>
      <c r="H10" s="39">
        <v>6</v>
      </c>
      <c r="I10" s="39">
        <v>31</v>
      </c>
      <c r="J10" s="40">
        <f t="shared" si="0"/>
        <v>0.80645161290322576</v>
      </c>
    </row>
    <row r="11" spans="1:10" x14ac:dyDescent="0.25">
      <c r="A11" s="125"/>
      <c r="B11" s="125"/>
      <c r="C11" s="125"/>
      <c r="D11" s="125"/>
      <c r="F11" s="39" t="s">
        <v>63</v>
      </c>
      <c r="G11" s="39">
        <v>70.2</v>
      </c>
      <c r="H11" s="39">
        <v>11</v>
      </c>
      <c r="I11" s="39">
        <v>31</v>
      </c>
      <c r="J11" s="40">
        <f t="shared" si="0"/>
        <v>0.64516129032258063</v>
      </c>
    </row>
    <row r="12" spans="1:10" ht="15" customHeight="1" x14ac:dyDescent="0.25">
      <c r="A12" s="125"/>
      <c r="B12" s="126" t="s">
        <v>95</v>
      </c>
      <c r="C12" s="126"/>
      <c r="D12" s="126"/>
      <c r="F12" s="39" t="s">
        <v>64</v>
      </c>
      <c r="G12" s="39">
        <v>25.2</v>
      </c>
      <c r="H12" s="39">
        <v>7</v>
      </c>
      <c r="I12" s="39">
        <v>30</v>
      </c>
      <c r="J12" s="40">
        <f t="shared" si="0"/>
        <v>0.76666666666666672</v>
      </c>
    </row>
    <row r="13" spans="1:10" x14ac:dyDescent="0.25">
      <c r="A13" s="125"/>
      <c r="B13" s="126"/>
      <c r="C13" s="126"/>
      <c r="D13" s="126"/>
      <c r="F13" s="39" t="s">
        <v>65</v>
      </c>
      <c r="G13" s="39">
        <v>54.4</v>
      </c>
      <c r="H13" s="39">
        <v>6</v>
      </c>
      <c r="I13" s="39">
        <v>31</v>
      </c>
      <c r="J13" s="40">
        <f t="shared" si="0"/>
        <v>0.80645161290322576</v>
      </c>
    </row>
    <row r="14" spans="1:10" x14ac:dyDescent="0.25">
      <c r="A14" s="125"/>
      <c r="B14" s="126"/>
      <c r="C14" s="126"/>
      <c r="D14" s="126"/>
      <c r="F14" s="39" t="s">
        <v>66</v>
      </c>
      <c r="G14" s="41">
        <v>48.6</v>
      </c>
      <c r="H14" s="39">
        <v>9</v>
      </c>
      <c r="I14" s="39">
        <v>30</v>
      </c>
      <c r="J14" s="40">
        <f t="shared" si="0"/>
        <v>0.7</v>
      </c>
    </row>
    <row r="15" spans="1:10" x14ac:dyDescent="0.25">
      <c r="A15" s="125"/>
      <c r="B15" s="126"/>
      <c r="C15" s="126"/>
      <c r="D15" s="126"/>
      <c r="F15" s="39" t="s">
        <v>67</v>
      </c>
      <c r="G15" s="39">
        <v>91.4</v>
      </c>
      <c r="H15" s="39">
        <v>6</v>
      </c>
      <c r="I15" s="39">
        <v>31</v>
      </c>
      <c r="J15" s="40">
        <f t="shared" si="0"/>
        <v>0.80645161290322576</v>
      </c>
    </row>
    <row r="16" spans="1:10" x14ac:dyDescent="0.25">
      <c r="A16" s="125"/>
      <c r="B16" s="126"/>
      <c r="C16" s="126"/>
      <c r="D16" s="126"/>
      <c r="F16" s="73" t="s">
        <v>68</v>
      </c>
      <c r="G16" s="7">
        <f>(365-SUM(H4:H15))/365</f>
        <v>0.74794520547945209</v>
      </c>
      <c r="H16" s="2"/>
      <c r="I16" s="28"/>
      <c r="J16" s="2"/>
    </row>
    <row r="17" spans="1:8" x14ac:dyDescent="0.25">
      <c r="A17" s="125"/>
      <c r="B17" s="126"/>
      <c r="C17" s="126"/>
      <c r="D17" s="126"/>
    </row>
    <row r="21" spans="1:8" x14ac:dyDescent="0.25">
      <c r="A21" s="96" t="s">
        <v>69</v>
      </c>
      <c r="B21" s="96" t="s">
        <v>70</v>
      </c>
      <c r="C21" s="96"/>
      <c r="D21" s="96"/>
      <c r="E21" s="96"/>
      <c r="F21" s="96"/>
      <c r="G21" s="96"/>
      <c r="H21" s="96"/>
    </row>
    <row r="22" spans="1:8" x14ac:dyDescent="0.25">
      <c r="A22" s="96"/>
      <c r="B22" s="96" t="s">
        <v>71</v>
      </c>
      <c r="C22" s="96"/>
      <c r="D22" s="96"/>
      <c r="E22" s="96"/>
      <c r="F22" s="96"/>
      <c r="G22" s="96"/>
      <c r="H22" s="96"/>
    </row>
    <row r="23" spans="1:8" x14ac:dyDescent="0.25">
      <c r="A23" s="96"/>
      <c r="B23" s="38" t="s">
        <v>2</v>
      </c>
      <c r="C23" s="38" t="s">
        <v>26</v>
      </c>
      <c r="D23" s="38" t="s">
        <v>74</v>
      </c>
      <c r="E23" s="38" t="s">
        <v>75</v>
      </c>
      <c r="F23" s="38" t="s">
        <v>76</v>
      </c>
      <c r="G23" s="38" t="s">
        <v>4</v>
      </c>
      <c r="H23" s="38" t="s">
        <v>72</v>
      </c>
    </row>
    <row r="24" spans="1:8" x14ac:dyDescent="0.25">
      <c r="A24" s="42" t="s">
        <v>73</v>
      </c>
      <c r="B24" s="85">
        <v>0.17489827604766656</v>
      </c>
      <c r="C24" s="85">
        <v>0.17489827604766656</v>
      </c>
      <c r="D24" s="85">
        <v>0.17489827604766656</v>
      </c>
      <c r="E24" s="85">
        <v>5.4345140567386743</v>
      </c>
      <c r="F24" s="85">
        <v>0.21032135261668511</v>
      </c>
      <c r="G24" s="85">
        <v>1.0383730075038093</v>
      </c>
      <c r="H24" s="85">
        <v>0.24766340643796464</v>
      </c>
    </row>
    <row r="27" spans="1:8" x14ac:dyDescent="0.25">
      <c r="A27" s="26"/>
      <c r="B27" s="26"/>
      <c r="C27" s="26"/>
      <c r="D27" s="26"/>
      <c r="E27" s="26"/>
    </row>
    <row r="28" spans="1:8" x14ac:dyDescent="0.25">
      <c r="A28" s="26"/>
      <c r="B28" s="26"/>
      <c r="C28" s="26"/>
      <c r="D28" s="26"/>
      <c r="E28" s="26"/>
    </row>
    <row r="29" spans="1:8" x14ac:dyDescent="0.25">
      <c r="A29" s="26"/>
      <c r="B29" s="26"/>
      <c r="C29" s="26"/>
      <c r="D29" s="26"/>
      <c r="E29" s="26"/>
    </row>
    <row r="30" spans="1:8" x14ac:dyDescent="0.25">
      <c r="A30" s="26"/>
      <c r="B30" s="26"/>
      <c r="C30" s="26"/>
      <c r="D30" s="26"/>
      <c r="E30" s="26"/>
    </row>
    <row r="31" spans="1:8" x14ac:dyDescent="0.25">
      <c r="A31" s="26"/>
      <c r="B31" s="26"/>
      <c r="C31" s="26"/>
      <c r="D31" s="26"/>
      <c r="E31" s="26"/>
    </row>
    <row r="32" spans="1:8" x14ac:dyDescent="0.25">
      <c r="A32" s="26"/>
      <c r="B32" s="26"/>
      <c r="C32" s="26"/>
      <c r="D32" s="26"/>
      <c r="E32" s="26"/>
    </row>
    <row r="33" spans="1:7" x14ac:dyDescent="0.25">
      <c r="A33" s="26"/>
      <c r="B33" s="26"/>
      <c r="C33" s="26"/>
      <c r="D33" s="26"/>
      <c r="E33" s="26"/>
    </row>
    <row r="34" spans="1:7" x14ac:dyDescent="0.25">
      <c r="A34" s="26"/>
      <c r="B34" s="26"/>
      <c r="C34" s="26"/>
      <c r="D34" s="26"/>
      <c r="E34" s="26"/>
    </row>
    <row r="35" spans="1:7" x14ac:dyDescent="0.25">
      <c r="A35" s="26"/>
      <c r="B35" s="26"/>
      <c r="C35" s="26"/>
      <c r="D35" s="26"/>
      <c r="E35" s="26"/>
      <c r="G35" s="74"/>
    </row>
    <row r="36" spans="1:7" x14ac:dyDescent="0.25">
      <c r="A36" s="26"/>
      <c r="B36" s="26"/>
      <c r="C36" s="26"/>
      <c r="D36" s="26"/>
      <c r="E36" s="26"/>
    </row>
  </sheetData>
  <sheetProtection password="B056" sheet="1" objects="1" scenarios="1"/>
  <mergeCells count="11">
    <mergeCell ref="F2:J2"/>
    <mergeCell ref="A10:A17"/>
    <mergeCell ref="B12:D17"/>
    <mergeCell ref="A21:A23"/>
    <mergeCell ref="B21:H21"/>
    <mergeCell ref="B22:H22"/>
    <mergeCell ref="A2:D2"/>
    <mergeCell ref="A3:D3"/>
    <mergeCell ref="A4:A5"/>
    <mergeCell ref="B4:D4"/>
    <mergeCell ref="B10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B2" sqref="B2:C3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x14ac:dyDescent="0.25">
      <c r="A1" s="3" t="s">
        <v>121</v>
      </c>
      <c r="C1" s="1"/>
      <c r="F1" s="1"/>
      <c r="G1" s="1"/>
      <c r="H1" s="1"/>
    </row>
    <row r="2" spans="1:12" ht="15" customHeight="1" x14ac:dyDescent="0.25">
      <c r="A2" s="130" t="s">
        <v>0</v>
      </c>
      <c r="B2" s="132" t="s">
        <v>139</v>
      </c>
      <c r="C2" s="132" t="s">
        <v>140</v>
      </c>
      <c r="D2" s="131" t="s">
        <v>125</v>
      </c>
      <c r="E2" s="131" t="s">
        <v>126</v>
      </c>
      <c r="F2" s="130" t="s">
        <v>127</v>
      </c>
      <c r="G2" s="130"/>
      <c r="H2" s="130"/>
      <c r="I2" s="130" t="s">
        <v>1</v>
      </c>
      <c r="J2" s="130"/>
      <c r="K2" s="130"/>
    </row>
    <row r="3" spans="1:12" x14ac:dyDescent="0.25">
      <c r="A3" s="130"/>
      <c r="B3" s="132"/>
      <c r="C3" s="132"/>
      <c r="D3" s="131"/>
      <c r="E3" s="131"/>
      <c r="F3" s="64" t="s">
        <v>25</v>
      </c>
      <c r="G3" s="64" t="s">
        <v>48</v>
      </c>
      <c r="H3" s="64" t="s">
        <v>49</v>
      </c>
      <c r="I3" s="64" t="s">
        <v>25</v>
      </c>
      <c r="J3" s="64" t="s">
        <v>48</v>
      </c>
      <c r="K3" s="64" t="s">
        <v>49</v>
      </c>
    </row>
    <row r="4" spans="1:12" x14ac:dyDescent="0.25">
      <c r="A4" s="68" t="s">
        <v>94</v>
      </c>
      <c r="B4" s="28">
        <v>-20.429592</v>
      </c>
      <c r="C4" s="28">
        <v>-40.478504999999998</v>
      </c>
      <c r="D4" s="69">
        <f>Dados!B6</f>
        <v>6.4668949771689501</v>
      </c>
      <c r="E4" s="65">
        <v>10</v>
      </c>
      <c r="F4" s="88">
        <f>'FE-Transferências'!$B$3*0.0016*(($B$8/2.2)^1.3)/(($E4/2)^1.4)</f>
        <v>2.8776132594540281E-4</v>
      </c>
      <c r="G4" s="88">
        <f>'FE-Transferências'!$C$3*0.0016*(($B$8/2.2)^1.3)/(($E4/2)^1.4)</f>
        <v>1.3610332983904184E-4</v>
      </c>
      <c r="H4" s="88">
        <f>'FE-Transferências'!$D$3*0.0016*(($B$8/2.2)^1.3)/(($E4/2)^1.4)</f>
        <v>2.0609932804197768E-5</v>
      </c>
      <c r="I4" s="89">
        <f>F4*$D4</f>
        <v>1.8609222733798026E-3</v>
      </c>
      <c r="J4" s="89">
        <f>G4*$D4</f>
        <v>8.8016594011206862E-4</v>
      </c>
      <c r="K4" s="89">
        <f>H4*$D4</f>
        <v>1.3328227093125611E-4</v>
      </c>
    </row>
    <row r="5" spans="1:12" x14ac:dyDescent="0.25">
      <c r="A5" s="49" t="s">
        <v>88</v>
      </c>
      <c r="B5" s="28">
        <v>-20.429592</v>
      </c>
      <c r="C5" s="28">
        <v>-40.478504999999998</v>
      </c>
      <c r="D5" s="50">
        <f>Dados!B6</f>
        <v>6.4668949771689501</v>
      </c>
      <c r="E5" s="78">
        <v>10</v>
      </c>
      <c r="F5" s="90">
        <f>'FE-Transferências'!$B$3*0.0016*(($B$8/2.2)^1.3)/(($E5/2)^1.4)</f>
        <v>2.8776132594540281E-4</v>
      </c>
      <c r="G5" s="91">
        <f>'FE-Transferências'!$C$3*0.0016*(($B$8/2.2)^1.3)/(($E5/2)^1.4)</f>
        <v>1.3610332983904184E-4</v>
      </c>
      <c r="H5" s="91">
        <f>'FE-Transferências'!$D$3*0.0016*(($B$8/2.2)^1.3)/(($E5/2)^1.4)</f>
        <v>2.0609932804197768E-5</v>
      </c>
      <c r="I5" s="92">
        <f t="shared" ref="I5" si="0">F5*$D5</f>
        <v>1.8609222733798026E-3</v>
      </c>
      <c r="J5" s="92">
        <f t="shared" ref="J5" si="1">G5*$D5</f>
        <v>8.8016594011206862E-4</v>
      </c>
      <c r="K5" s="92">
        <f t="shared" ref="K5" si="2">H5*$D5</f>
        <v>1.3328227093125611E-4</v>
      </c>
    </row>
    <row r="6" spans="1:12" x14ac:dyDescent="0.25">
      <c r="A6" s="129" t="s">
        <v>124</v>
      </c>
      <c r="B6" s="129"/>
      <c r="C6" s="129"/>
      <c r="D6" s="129"/>
      <c r="E6" s="129"/>
      <c r="F6" s="129"/>
      <c r="G6" s="129"/>
      <c r="H6" s="129"/>
      <c r="I6" s="14">
        <f>SUM(I4:I5)</f>
        <v>3.7218445467596052E-3</v>
      </c>
      <c r="J6" s="14">
        <f>SUM(J4:J5)</f>
        <v>1.7603318802241372E-3</v>
      </c>
      <c r="K6" s="14">
        <f>SUM(K4:K5)</f>
        <v>2.6656454186251222E-4</v>
      </c>
      <c r="L6" s="18"/>
    </row>
    <row r="7" spans="1:12" x14ac:dyDescent="0.25">
      <c r="C7" s="30"/>
      <c r="D7" s="30"/>
      <c r="E7" s="48"/>
    </row>
    <row r="8" spans="1:12" x14ac:dyDescent="0.25">
      <c r="A8" s="29" t="s">
        <v>31</v>
      </c>
      <c r="B8" s="87">
        <v>4.1937865160171146</v>
      </c>
      <c r="E8" s="48"/>
    </row>
    <row r="9" spans="1:12" x14ac:dyDescent="0.25">
      <c r="E9" s="2"/>
      <c r="F9" s="2"/>
    </row>
    <row r="10" spans="1:12" ht="15" customHeight="1" x14ac:dyDescent="0.25">
      <c r="A10" s="1"/>
      <c r="B10" s="1"/>
      <c r="C10" s="1"/>
      <c r="E10" s="47"/>
      <c r="F10" s="47"/>
      <c r="G10" s="47"/>
      <c r="H10" s="47"/>
      <c r="I10" s="47"/>
      <c r="J10" s="47"/>
      <c r="K10" s="47"/>
    </row>
    <row r="11" spans="1:12" x14ac:dyDescent="0.25">
      <c r="E11" s="47"/>
      <c r="F11" s="47"/>
      <c r="G11" s="47"/>
      <c r="H11" s="47"/>
      <c r="I11" s="47"/>
      <c r="J11" s="47"/>
      <c r="K11" s="47"/>
    </row>
    <row r="12" spans="1:12" x14ac:dyDescent="0.25">
      <c r="A12" s="30"/>
      <c r="E12" s="47"/>
      <c r="F12" s="47"/>
      <c r="G12" s="47"/>
      <c r="H12" s="47"/>
      <c r="I12" s="47"/>
      <c r="J12" s="47"/>
      <c r="K12" s="47"/>
    </row>
  </sheetData>
  <sheetProtection password="B056" sheet="1" objects="1" scenarios="1"/>
  <mergeCells count="8">
    <mergeCell ref="A6:H6"/>
    <mergeCell ref="A2:A3"/>
    <mergeCell ref="D2:D3"/>
    <mergeCell ref="E2:E3"/>
    <mergeCell ref="I2:K2"/>
    <mergeCell ref="F2:H2"/>
    <mergeCell ref="B2:B3"/>
    <mergeCell ref="C2:C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workbookViewId="0">
      <selection activeCell="E17" sqref="E17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5" style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6" ht="15" customHeight="1" x14ac:dyDescent="0.2">
      <c r="A1" s="133" t="s">
        <v>0</v>
      </c>
      <c r="B1" s="133" t="s">
        <v>16</v>
      </c>
      <c r="C1" s="133" t="s">
        <v>17</v>
      </c>
      <c r="D1" s="132" t="s">
        <v>139</v>
      </c>
      <c r="E1" s="132" t="s">
        <v>140</v>
      </c>
      <c r="F1" s="133" t="s">
        <v>18</v>
      </c>
      <c r="G1" s="133" t="s">
        <v>19</v>
      </c>
      <c r="H1" s="135" t="s">
        <v>1</v>
      </c>
      <c r="I1" s="136"/>
      <c r="J1" s="136"/>
      <c r="K1" s="136"/>
      <c r="L1" s="136"/>
      <c r="M1" s="136"/>
      <c r="N1" s="136"/>
      <c r="P1" s="47"/>
    </row>
    <row r="2" spans="1:16" ht="15" customHeight="1" x14ac:dyDescent="0.2">
      <c r="A2" s="134"/>
      <c r="B2" s="134"/>
      <c r="C2" s="134"/>
      <c r="D2" s="132"/>
      <c r="E2" s="132"/>
      <c r="F2" s="134"/>
      <c r="G2" s="134"/>
      <c r="H2" s="4" t="s">
        <v>2</v>
      </c>
      <c r="I2" s="4" t="s">
        <v>3</v>
      </c>
      <c r="J2" s="4" t="s">
        <v>20</v>
      </c>
      <c r="K2" s="4" t="s">
        <v>5</v>
      </c>
      <c r="L2" s="4" t="s">
        <v>6</v>
      </c>
      <c r="M2" s="4" t="s">
        <v>4</v>
      </c>
      <c r="N2" s="4" t="s">
        <v>138</v>
      </c>
      <c r="P2" s="47"/>
    </row>
    <row r="3" spans="1:16" ht="15" customHeight="1" x14ac:dyDescent="0.2">
      <c r="A3" s="3" t="s">
        <v>99</v>
      </c>
      <c r="B3" s="10">
        <v>141</v>
      </c>
      <c r="C3" s="3" t="s">
        <v>107</v>
      </c>
      <c r="D3" s="28">
        <v>-20.429386000000001</v>
      </c>
      <c r="E3" s="28">
        <v>-40.477817000000002</v>
      </c>
      <c r="F3" s="5">
        <v>1</v>
      </c>
      <c r="G3" s="55">
        <f>Dados!C11</f>
        <v>3.5506849315068494</v>
      </c>
      <c r="H3" s="27">
        <f>(INDEX(FE_Equip,MATCH($C3,Pot_Equip,0),2))*F3*G3/(24)</f>
        <v>5.1594012786443308E-3</v>
      </c>
      <c r="I3" s="27">
        <f>H3</f>
        <v>5.1594012786443308E-3</v>
      </c>
      <c r="J3" s="27">
        <f>H3</f>
        <v>5.1594012786443308E-3</v>
      </c>
      <c r="K3" s="27">
        <f>(INDEX(FE_Equip,MATCH($C3,Pot_Equip,0),3))*F3*G3/(24)</f>
        <v>9.2937720179078268E-2</v>
      </c>
      <c r="L3" s="27">
        <f>(INDEX(FE_Equip,MATCH($C3,Pot_Equip,0),4))*F3*G3/(24)</f>
        <v>8.0275022316608075E-5</v>
      </c>
      <c r="M3" s="27">
        <f>(INDEX(FE_Equip,MATCH($C3,Pot_Equip,0),5))*F3*G3/(24)</f>
        <v>4.311668267653046E-2</v>
      </c>
      <c r="N3" s="27">
        <f>(INDEX(FE_Equip,MATCH($C3,Pot_Equip,0),6))*F3*G3/(24)</f>
        <v>1.1807061525492735E-2</v>
      </c>
    </row>
    <row r="4" spans="1:16" ht="15" customHeight="1" x14ac:dyDescent="0.2">
      <c r="A4" s="3" t="s">
        <v>100</v>
      </c>
      <c r="B4" s="10">
        <v>94</v>
      </c>
      <c r="C4" s="3" t="s">
        <v>114</v>
      </c>
      <c r="D4" s="28">
        <v>-20.429386000000001</v>
      </c>
      <c r="E4" s="28">
        <v>-40.477817000000002</v>
      </c>
      <c r="F4" s="5">
        <v>2</v>
      </c>
      <c r="G4" s="55">
        <f>Dados!C12</f>
        <v>3.2876712328767121</v>
      </c>
      <c r="H4" s="27">
        <f>(INDEX(FE_Equip,MATCH($C4,Pot_Equip,0),2))*F4*G4/(24)</f>
        <v>1.1969850946136404E-2</v>
      </c>
      <c r="I4" s="27">
        <f>H4</f>
        <v>1.1969850946136404E-2</v>
      </c>
      <c r="J4" s="27">
        <f>H4</f>
        <v>1.1969850946136404E-2</v>
      </c>
      <c r="K4" s="27">
        <f>(INDEX(FE_Equip,MATCH($C4,Pot_Equip,0),3))*F4*G4/(24)</f>
        <v>0.1280677698414143</v>
      </c>
      <c r="L4" s="27">
        <f>(INDEX(FE_Equip,MATCH($C4,Pot_Equip,0),4))*F4*G4/(24)</f>
        <v>1.0732561808892761E-4</v>
      </c>
      <c r="M4" s="27">
        <f>(INDEX(FE_Equip,MATCH($C4,Pot_Equip,0),5))*F4*G4/(24)</f>
        <v>6.8401777655670293E-2</v>
      </c>
      <c r="N4" s="27">
        <f>(INDEX(FE_Equip,MATCH($C4,Pot_Equip,0),6))*F4*G4/(24)</f>
        <v>2.2196712030424112E-2</v>
      </c>
    </row>
    <row r="5" spans="1:16" ht="15" customHeight="1" x14ac:dyDescent="0.2">
      <c r="A5" s="95" t="s">
        <v>124</v>
      </c>
      <c r="B5" s="95"/>
      <c r="C5" s="95"/>
      <c r="D5" s="95"/>
      <c r="E5" s="95"/>
      <c r="F5" s="95"/>
      <c r="G5" s="95"/>
      <c r="H5" s="14">
        <f t="shared" ref="H5:N5" si="0">SUM(H3:H4)</f>
        <v>1.7129252224780733E-2</v>
      </c>
      <c r="I5" s="14">
        <f t="shared" si="0"/>
        <v>1.7129252224780733E-2</v>
      </c>
      <c r="J5" s="14">
        <f t="shared" si="0"/>
        <v>1.7129252224780733E-2</v>
      </c>
      <c r="K5" s="14">
        <f t="shared" si="0"/>
        <v>0.22100549002049258</v>
      </c>
      <c r="L5" s="14">
        <f t="shared" si="0"/>
        <v>1.8760064040553568E-4</v>
      </c>
      <c r="M5" s="14">
        <f t="shared" si="0"/>
        <v>0.11151846033220075</v>
      </c>
      <c r="N5" s="14">
        <f t="shared" si="0"/>
        <v>3.4003773555916848E-2</v>
      </c>
      <c r="O5" s="17"/>
    </row>
    <row r="6" spans="1:16" ht="15" customHeight="1" x14ac:dyDescent="0.2">
      <c r="A6" s="30"/>
      <c r="B6" s="37"/>
      <c r="G6" s="30"/>
      <c r="H6" s="8"/>
      <c r="I6" s="8"/>
      <c r="J6" s="8"/>
      <c r="K6" s="8"/>
      <c r="L6" s="9"/>
      <c r="M6" s="8"/>
      <c r="N6" s="8"/>
    </row>
    <row r="7" spans="1:16" ht="15" customHeight="1" x14ac:dyDescent="0.2">
      <c r="H7" s="44"/>
      <c r="I7" s="44"/>
      <c r="J7" s="44"/>
      <c r="K7" s="44"/>
      <c r="L7" s="44"/>
    </row>
    <row r="8" spans="1:16" ht="15" customHeight="1" x14ac:dyDescent="0.25">
      <c r="A8" s="43"/>
      <c r="B8" s="43"/>
      <c r="C8" s="43"/>
      <c r="D8" s="43"/>
      <c r="E8" s="43"/>
      <c r="F8" s="43"/>
    </row>
  </sheetData>
  <sheetProtection password="B056" sheet="1" objects="1" scenarios="1"/>
  <mergeCells count="9">
    <mergeCell ref="A5:G5"/>
    <mergeCell ref="G1:G2"/>
    <mergeCell ref="H1:N1"/>
    <mergeCell ref="A1:A2"/>
    <mergeCell ref="B1:B2"/>
    <mergeCell ref="C1:C2"/>
    <mergeCell ref="F1:F2"/>
    <mergeCell ref="D1:D2"/>
    <mergeCell ref="E1:E2"/>
  </mergeCells>
  <dataValidations disablePrompts="1" count="1">
    <dataValidation type="list" allowBlank="1" showInputMessage="1" showErrorMessage="1" sqref="C3:C4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"/>
  <sheetViews>
    <sheetView zoomScaleNormal="100" workbookViewId="0">
      <selection activeCell="E9" sqref="E9"/>
    </sheetView>
  </sheetViews>
  <sheetFormatPr defaultRowHeight="15" x14ac:dyDescent="0.25"/>
  <cols>
    <col min="1" max="1" width="15" customWidth="1"/>
    <col min="2" max="2" width="13.85546875" customWidth="1"/>
    <col min="3" max="4" width="11.42578125" customWidth="1"/>
    <col min="5" max="5" width="14.5703125" customWidth="1"/>
    <col min="6" max="6" width="15.42578125" customWidth="1"/>
    <col min="7" max="7" width="13.85546875" customWidth="1"/>
    <col min="8" max="8" width="14.28515625" customWidth="1"/>
    <col min="9" max="9" width="10.42578125" customWidth="1"/>
    <col min="10" max="10" width="11.85546875" customWidth="1"/>
    <col min="11" max="11" width="14.85546875" customWidth="1"/>
    <col min="12" max="12" width="11.5703125" customWidth="1"/>
    <col min="13" max="13" width="12.85546875" customWidth="1"/>
    <col min="14" max="16" width="12.140625" customWidth="1"/>
  </cols>
  <sheetData>
    <row r="1" spans="1:30" ht="15" customHeight="1" x14ac:dyDescent="0.25">
      <c r="A1" s="131" t="s">
        <v>32</v>
      </c>
      <c r="B1" s="131" t="s">
        <v>24</v>
      </c>
      <c r="C1" s="132" t="s">
        <v>139</v>
      </c>
      <c r="D1" s="132" t="s">
        <v>140</v>
      </c>
      <c r="E1" s="131" t="s">
        <v>128</v>
      </c>
      <c r="F1" s="137" t="s">
        <v>129</v>
      </c>
      <c r="G1" s="137" t="s">
        <v>130</v>
      </c>
      <c r="H1" s="131" t="s">
        <v>131</v>
      </c>
      <c r="I1" s="131" t="s">
        <v>132</v>
      </c>
      <c r="J1" s="137" t="s">
        <v>133</v>
      </c>
      <c r="K1" s="139" t="s">
        <v>134</v>
      </c>
      <c r="L1" s="137" t="s">
        <v>77</v>
      </c>
      <c r="M1" s="137" t="s">
        <v>135</v>
      </c>
      <c r="N1" s="141" t="s">
        <v>136</v>
      </c>
      <c r="O1" s="142"/>
      <c r="P1" s="142"/>
      <c r="Q1" s="131" t="s">
        <v>137</v>
      </c>
      <c r="R1" s="131"/>
      <c r="S1" s="131"/>
      <c r="T1" s="131"/>
      <c r="U1" s="131"/>
      <c r="V1" s="131"/>
      <c r="W1" s="131"/>
      <c r="X1" s="130" t="s">
        <v>1</v>
      </c>
      <c r="Y1" s="130"/>
      <c r="Z1" s="130"/>
      <c r="AA1" s="130"/>
      <c r="AB1" s="130"/>
      <c r="AC1" s="130"/>
      <c r="AD1" s="130"/>
    </row>
    <row r="2" spans="1:30" x14ac:dyDescent="0.25">
      <c r="A2" s="131"/>
      <c r="B2" s="131"/>
      <c r="C2" s="132"/>
      <c r="D2" s="132"/>
      <c r="E2" s="131"/>
      <c r="F2" s="138"/>
      <c r="G2" s="138"/>
      <c r="H2" s="131"/>
      <c r="I2" s="131"/>
      <c r="J2" s="138"/>
      <c r="K2" s="140"/>
      <c r="L2" s="138"/>
      <c r="M2" s="138"/>
      <c r="N2" s="31" t="s">
        <v>2</v>
      </c>
      <c r="O2" s="31" t="s">
        <v>3</v>
      </c>
      <c r="P2" s="35" t="s">
        <v>20</v>
      </c>
      <c r="Q2" s="31" t="s">
        <v>2</v>
      </c>
      <c r="R2" s="31" t="s">
        <v>3</v>
      </c>
      <c r="S2" s="31" t="s">
        <v>20</v>
      </c>
      <c r="T2" s="31" t="s">
        <v>5</v>
      </c>
      <c r="U2" s="31" t="s">
        <v>6</v>
      </c>
      <c r="V2" s="31" t="s">
        <v>4</v>
      </c>
      <c r="W2" s="80" t="s">
        <v>138</v>
      </c>
      <c r="X2" s="31" t="s">
        <v>2</v>
      </c>
      <c r="Y2" s="31" t="s">
        <v>3</v>
      </c>
      <c r="Z2" s="31" t="s">
        <v>20</v>
      </c>
      <c r="AA2" s="31" t="s">
        <v>5</v>
      </c>
      <c r="AB2" s="31" t="s">
        <v>6</v>
      </c>
      <c r="AC2" s="31" t="s">
        <v>4</v>
      </c>
      <c r="AD2" s="31" t="s">
        <v>138</v>
      </c>
    </row>
    <row r="3" spans="1:30" x14ac:dyDescent="0.25">
      <c r="A3" s="32" t="s">
        <v>93</v>
      </c>
      <c r="B3" s="28" t="s">
        <v>33</v>
      </c>
      <c r="C3" s="28">
        <v>-20.429386000000001</v>
      </c>
      <c r="D3" s="28">
        <v>-40.477817000000002</v>
      </c>
      <c r="E3" s="28">
        <v>500</v>
      </c>
      <c r="F3" s="51">
        <f>'Emissão Transferências'!D5</f>
        <v>6.4668949771689501</v>
      </c>
      <c r="G3" s="5">
        <v>15</v>
      </c>
      <c r="H3" s="7">
        <f>2*(F3/G3)</f>
        <v>0.86225266362252673</v>
      </c>
      <c r="I3" s="7">
        <f>E3*H3/1000</f>
        <v>0.43112633181126336</v>
      </c>
      <c r="J3" s="67">
        <v>5.95</v>
      </c>
      <c r="K3" s="10">
        <v>19.5</v>
      </c>
      <c r="L3" s="5" t="s">
        <v>80</v>
      </c>
      <c r="M3" s="5">
        <v>60</v>
      </c>
      <c r="N3" s="7">
        <f>('FE-Vias'!$D$6*((J3/12)^'FE-Vias'!$D$7)*((K3/3)^'FE-Vias'!$D$8)*'FE-Vias'!$B$9/1000)*'FE-Vias'!$G$16</f>
        <v>1.4679354301321743</v>
      </c>
      <c r="O3" s="7">
        <f>('FE-Vias'!$C$6*((J3/12)^'FE-Vias'!$C$7)*((K3/3)^'FE-Vias'!$C$8)*'FE-Vias'!$B$9/1000)*'FE-Vias'!$G$16</f>
        <v>0.39054337561452634</v>
      </c>
      <c r="P3" s="7">
        <f>('FE-Vias'!$B$6*((J3/12)^'FE-Vias'!$B$7)*((K3/3)^'FE-Vias'!$B$8)*'FE-Vias'!$B$9/1000)*'FE-Vias'!$G$16</f>
        <v>3.9054337561452643E-2</v>
      </c>
      <c r="Q3" s="93">
        <f>'FE-Vias'!B24/1000</f>
        <v>1.7489827604766657E-4</v>
      </c>
      <c r="R3" s="93">
        <f>'FE-Vias'!C24/1000</f>
        <v>1.7489827604766657E-4</v>
      </c>
      <c r="S3" s="93">
        <f>'FE-Vias'!D24/1000</f>
        <v>1.7489827604766657E-4</v>
      </c>
      <c r="T3" s="93">
        <f>'FE-Vias'!E24/1000</f>
        <v>5.4345140567386742E-3</v>
      </c>
      <c r="U3" s="94">
        <f>'FE-Vias'!F24/1000</f>
        <v>2.1032135261668511E-4</v>
      </c>
      <c r="V3" s="93">
        <f>'FE-Vias'!G24/1000</f>
        <v>1.0383730075038094E-3</v>
      </c>
      <c r="W3" s="93">
        <f>'FE-Vias'!H24/1000</f>
        <v>2.4766340643796463E-4</v>
      </c>
      <c r="X3" s="36">
        <f>(N3*I3*(1-M3/100))+(Q3*I3)</f>
        <v>0.25322165018366188</v>
      </c>
      <c r="Y3" s="36">
        <f>(O3*I3*(1-M3/100))+(R3*I3)</f>
        <v>6.7424816428944212E-2</v>
      </c>
      <c r="Z3" s="36">
        <f>(P3*I3*(1-M3/100))+(S3*I3)</f>
        <v>6.8103445698677132E-3</v>
      </c>
      <c r="AA3" s="36">
        <f>T3*I3</f>
        <v>2.3429621104584927E-3</v>
      </c>
      <c r="AB3" s="36">
        <f>U3*I3</f>
        <v>9.0675073255214715E-5</v>
      </c>
      <c r="AC3" s="36">
        <f>V3*I3</f>
        <v>4.4766994577694682E-4</v>
      </c>
      <c r="AD3" s="36">
        <f>W3*I3</f>
        <v>1.0677421594148171E-4</v>
      </c>
    </row>
    <row r="4" spans="1:30" x14ac:dyDescent="0.25">
      <c r="A4" s="95" t="s">
        <v>124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14">
        <f t="shared" ref="X4:AD4" si="0">SUM(X3:X3)</f>
        <v>0.25322165018366188</v>
      </c>
      <c r="Y4" s="14">
        <f t="shared" si="0"/>
        <v>6.7424816428944212E-2</v>
      </c>
      <c r="Z4" s="14">
        <f t="shared" si="0"/>
        <v>6.8103445698677132E-3</v>
      </c>
      <c r="AA4" s="14">
        <f t="shared" si="0"/>
        <v>2.3429621104584927E-3</v>
      </c>
      <c r="AB4" s="14">
        <f t="shared" si="0"/>
        <v>9.0675073255214715E-5</v>
      </c>
      <c r="AC4" s="14">
        <f t="shared" si="0"/>
        <v>4.4766994577694682E-4</v>
      </c>
      <c r="AD4" s="14">
        <f t="shared" si="0"/>
        <v>1.0677421594148171E-4</v>
      </c>
    </row>
    <row r="5" spans="1:30" x14ac:dyDescent="0.25">
      <c r="J5" s="54"/>
      <c r="K5" s="30"/>
      <c r="L5" s="30"/>
      <c r="M5" s="30"/>
    </row>
    <row r="6" spans="1:30" x14ac:dyDescent="0.25">
      <c r="K6" s="5"/>
    </row>
    <row r="7" spans="1:30" x14ac:dyDescent="0.25">
      <c r="J7" s="66"/>
      <c r="K7" s="5"/>
    </row>
  </sheetData>
  <sheetProtection password="B056" sheet="1" objects="1" scenarios="1"/>
  <mergeCells count="17">
    <mergeCell ref="X1:AD1"/>
    <mergeCell ref="H1:H2"/>
    <mergeCell ref="I1:I2"/>
    <mergeCell ref="J1:J2"/>
    <mergeCell ref="K1:K2"/>
    <mergeCell ref="N1:P1"/>
    <mergeCell ref="Q1:W1"/>
    <mergeCell ref="M1:M2"/>
    <mergeCell ref="L1:L2"/>
    <mergeCell ref="A4:W4"/>
    <mergeCell ref="A1:A2"/>
    <mergeCell ref="B1:B2"/>
    <mergeCell ref="C1:C2"/>
    <mergeCell ref="D1:D2"/>
    <mergeCell ref="E1:E2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6" sqref="A6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130" t="s">
        <v>84</v>
      </c>
      <c r="B1" s="130" t="s">
        <v>1</v>
      </c>
      <c r="C1" s="130"/>
      <c r="D1" s="130"/>
      <c r="E1" s="130"/>
      <c r="F1" s="130"/>
      <c r="G1" s="130"/>
      <c r="H1" s="130"/>
    </row>
    <row r="2" spans="1:9" ht="15" customHeight="1" x14ac:dyDescent="0.25">
      <c r="A2" s="130"/>
      <c r="B2" s="64" t="s">
        <v>2</v>
      </c>
      <c r="C2" s="64" t="s">
        <v>3</v>
      </c>
      <c r="D2" s="64" t="s">
        <v>20</v>
      </c>
      <c r="E2" s="64" t="s">
        <v>5</v>
      </c>
      <c r="F2" s="64" t="s">
        <v>6</v>
      </c>
      <c r="G2" s="64" t="s">
        <v>4</v>
      </c>
      <c r="H2" s="64" t="s">
        <v>138</v>
      </c>
    </row>
    <row r="3" spans="1:9" ht="15" customHeight="1" x14ac:dyDescent="0.25">
      <c r="A3" s="70" t="s">
        <v>78</v>
      </c>
      <c r="B3" s="36">
        <f>'Emissão Transferências'!I6</f>
        <v>3.7218445467596052E-3</v>
      </c>
      <c r="C3" s="36">
        <f>'Emissão Transferências'!J6</f>
        <v>1.7603318802241372E-3</v>
      </c>
      <c r="D3" s="36">
        <f>'Emissão Transferências'!K6</f>
        <v>2.6656454186251222E-4</v>
      </c>
      <c r="E3" s="36" t="s">
        <v>86</v>
      </c>
      <c r="F3" s="36" t="s">
        <v>86</v>
      </c>
      <c r="G3" s="36" t="s">
        <v>86</v>
      </c>
      <c r="H3" s="36" t="s">
        <v>86</v>
      </c>
    </row>
    <row r="4" spans="1:9" ht="15" customHeight="1" x14ac:dyDescent="0.25">
      <c r="A4" s="70" t="s">
        <v>81</v>
      </c>
      <c r="B4" s="36">
        <f>'Emissão Maq e Equip'!H5</f>
        <v>1.7129252224780733E-2</v>
      </c>
      <c r="C4" s="36">
        <f>'Emissão Maq e Equip'!I5</f>
        <v>1.7129252224780733E-2</v>
      </c>
      <c r="D4" s="36">
        <f>'Emissão Maq e Equip'!J5</f>
        <v>1.7129252224780733E-2</v>
      </c>
      <c r="E4" s="36">
        <f>'Emissão Maq e Equip'!K5</f>
        <v>0.22100549002049258</v>
      </c>
      <c r="F4" s="36">
        <f>'Emissão Maq e Equip'!L5</f>
        <v>1.8760064040553568E-4</v>
      </c>
      <c r="G4" s="36">
        <f>'Emissão Maq e Equip'!M5</f>
        <v>0.11151846033220075</v>
      </c>
      <c r="H4" s="36">
        <f>'Emissão Maq e Equip'!N5</f>
        <v>3.4003773555916848E-2</v>
      </c>
    </row>
    <row r="5" spans="1:9" ht="15" customHeight="1" x14ac:dyDescent="0.25">
      <c r="A5" s="70" t="s">
        <v>82</v>
      </c>
      <c r="B5" s="36">
        <f>'Emissão Vias '!X4</f>
        <v>0.25322165018366188</v>
      </c>
      <c r="C5" s="36">
        <f>'Emissão Vias '!Y4</f>
        <v>6.7424816428944212E-2</v>
      </c>
      <c r="D5" s="36">
        <f>'Emissão Vias '!Z4</f>
        <v>6.8103445698677132E-3</v>
      </c>
      <c r="E5" s="36">
        <f>'Emissão Vias '!AA4</f>
        <v>2.3429621104584927E-3</v>
      </c>
      <c r="F5" s="36">
        <f>'Emissão Vias '!AB4</f>
        <v>9.0675073255214715E-5</v>
      </c>
      <c r="G5" s="36">
        <f>'Emissão Vias '!AC4</f>
        <v>4.4766994577694682E-4</v>
      </c>
      <c r="H5" s="36">
        <f>'Emissão Vias '!AD4</f>
        <v>1.0677421594148171E-4</v>
      </c>
    </row>
    <row r="6" spans="1:9" ht="15" customHeight="1" x14ac:dyDescent="0.25">
      <c r="A6" s="70" t="s">
        <v>83</v>
      </c>
      <c r="B6" s="36">
        <v>0.74937759289431571</v>
      </c>
      <c r="C6" s="36">
        <v>0.37468879644715786</v>
      </c>
      <c r="D6" s="36">
        <v>5.620331946707368E-2</v>
      </c>
      <c r="E6" s="36" t="s">
        <v>86</v>
      </c>
      <c r="F6" s="36" t="s">
        <v>86</v>
      </c>
      <c r="G6" s="36" t="s">
        <v>86</v>
      </c>
      <c r="H6" s="36" t="s">
        <v>86</v>
      </c>
    </row>
    <row r="7" spans="1:9" ht="15" customHeight="1" x14ac:dyDescent="0.25">
      <c r="A7" s="63" t="s">
        <v>85</v>
      </c>
      <c r="B7" s="71">
        <f t="shared" ref="B7:H7" si="0">SUM(B3:B6)</f>
        <v>1.0234503398495178</v>
      </c>
      <c r="C7" s="71">
        <f t="shared" si="0"/>
        <v>0.46100319698110692</v>
      </c>
      <c r="D7" s="71">
        <f>SUM(D3:D6)</f>
        <v>8.0409480803584649E-2</v>
      </c>
      <c r="E7" s="71">
        <f t="shared" si="0"/>
        <v>0.22334845213095106</v>
      </c>
      <c r="F7" s="71">
        <f t="shared" si="0"/>
        <v>2.7827571366075042E-4</v>
      </c>
      <c r="G7" s="71">
        <f t="shared" si="0"/>
        <v>0.11196613027797769</v>
      </c>
      <c r="H7" s="71">
        <f t="shared" si="0"/>
        <v>3.4110547771858332E-2</v>
      </c>
      <c r="I7" s="46"/>
    </row>
    <row r="9" spans="1:9" ht="15" customHeight="1" x14ac:dyDescent="0.25">
      <c r="A9" s="2" t="s">
        <v>141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Dados</vt:lpstr>
      <vt:lpstr>FE-Maq e Equip</vt:lpstr>
      <vt:lpstr>FE-Transferências</vt:lpstr>
      <vt:lpstr>FE-Vias</vt:lpstr>
      <vt:lpstr>Emissão Transferências</vt:lpstr>
      <vt:lpstr>Emissão Maq e Equip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2019-06-07T11:34:04Z</dcterms:modified>
</cp:coreProperties>
</file>