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arca Ambiental\"/>
    </mc:Choice>
  </mc:AlternateContent>
  <bookViews>
    <workbookView xWindow="0" yWindow="0" windowWidth="24000" windowHeight="9735" tabRatio="856" firstSheet="3" activeTab="12"/>
  </bookViews>
  <sheets>
    <sheet name="FE-Solid Waste" sheetId="13" r:id="rId1"/>
    <sheet name="FE-Maq e Equip" sheetId="3" r:id="rId2"/>
    <sheet name="FE-Transferências" sheetId="7" r:id="rId3"/>
    <sheet name="FE-Escavação" sheetId="10" r:id="rId4"/>
    <sheet name="FE-Vias" sheetId="5" r:id="rId5"/>
    <sheet name="Dados" sheetId="1" r:id="rId6"/>
    <sheet name="Emissão Aterro" sheetId="9" r:id="rId7"/>
    <sheet name="Emissão Flare" sheetId="14" r:id="rId8"/>
    <sheet name="Emissão Escavação" sheetId="6" r:id="rId9"/>
    <sheet name="Emissão Transferências" sheetId="11" r:id="rId10"/>
    <sheet name="Emissão Vias" sheetId="4" r:id="rId11"/>
    <sheet name="Emissão Maq e Equip" sheetId="2" r:id="rId12"/>
    <sheet name="Resumo" sheetId="12" r:id="rId13"/>
  </sheets>
  <definedNames>
    <definedName name="Fator_Emissao">'FE-Maq e Equip'!$B$4:$G$46</definedName>
    <definedName name="Pot_Equip">'FE-Maq e Equip'!$B$4:$B$45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2" l="1"/>
  <c r="H7" i="12"/>
  <c r="G7" i="12"/>
  <c r="B16" i="4" l="1"/>
  <c r="E22" i="4"/>
  <c r="E21" i="4"/>
  <c r="F11" i="4"/>
  <c r="G12" i="4"/>
  <c r="G10" i="4"/>
  <c r="E11" i="4"/>
  <c r="E9" i="4"/>
  <c r="F12" i="4"/>
  <c r="F10" i="4"/>
  <c r="F9" i="4"/>
  <c r="B4" i="4"/>
  <c r="B3" i="4"/>
  <c r="D22" i="4" l="1"/>
  <c r="F22" i="4" s="1"/>
  <c r="D21" i="4"/>
  <c r="F21" i="4" s="1"/>
  <c r="B1" i="4" l="1"/>
  <c r="I22" i="4" s="1"/>
  <c r="L22" i="4" s="1"/>
  <c r="K22" i="4" l="1"/>
  <c r="N22" i="4" s="1"/>
  <c r="J21" i="4"/>
  <c r="M21" i="4" s="1"/>
  <c r="J22" i="4"/>
  <c r="M22" i="4" s="1"/>
  <c r="I21" i="4"/>
  <c r="L21" i="4" s="1"/>
  <c r="K21" i="4"/>
  <c r="N21" i="4" l="1"/>
  <c r="N23" i="4" s="1"/>
  <c r="M23" i="4"/>
  <c r="L23" i="4"/>
  <c r="M4" i="14" l="1"/>
  <c r="D4" i="14"/>
  <c r="F3" i="9"/>
  <c r="M5" i="14" l="1"/>
  <c r="H8" i="12"/>
  <c r="G4" i="14"/>
  <c r="F4" i="14"/>
  <c r="E4" i="14"/>
  <c r="K4" i="14"/>
  <c r="K5" i="14" s="1"/>
  <c r="E8" i="12" s="1"/>
  <c r="G3" i="9"/>
  <c r="H4" i="14" l="1"/>
  <c r="H5" i="14" s="1"/>
  <c r="B8" i="12" s="1"/>
  <c r="L4" i="14"/>
  <c r="L5" i="14" s="1"/>
  <c r="G8" i="12" s="1"/>
  <c r="I18" i="2"/>
  <c r="J18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4" i="2"/>
  <c r="J4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5" i="2"/>
  <c r="H4" i="2"/>
  <c r="E8" i="11"/>
  <c r="E7" i="11"/>
  <c r="E6" i="11"/>
  <c r="I4" i="14" l="1"/>
  <c r="I5" i="14" s="1"/>
  <c r="C8" i="12" s="1"/>
  <c r="J4" i="14"/>
  <c r="J5" i="14" s="1"/>
  <c r="D8" i="12" s="1"/>
  <c r="M30" i="1" l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G4" i="9" l="1"/>
  <c r="F4" i="9"/>
  <c r="I8" i="11" l="1"/>
  <c r="I7" i="11"/>
  <c r="I6" i="11"/>
  <c r="H8" i="11"/>
  <c r="H7" i="11"/>
  <c r="H6" i="11"/>
  <c r="G8" i="11"/>
  <c r="G7" i="11"/>
  <c r="G6" i="11"/>
  <c r="J6" i="11" s="1"/>
  <c r="L7" i="11" l="1"/>
  <c r="L8" i="11"/>
  <c r="K7" i="11"/>
  <c r="K6" i="11"/>
  <c r="K8" i="11"/>
  <c r="L6" i="11"/>
  <c r="J7" i="11"/>
  <c r="J8" i="11"/>
  <c r="O11" i="4"/>
  <c r="O9" i="4"/>
  <c r="J9" i="11" l="1"/>
  <c r="B6" i="12" s="1"/>
  <c r="L9" i="11"/>
  <c r="D6" i="12" s="1"/>
  <c r="K9" i="11"/>
  <c r="C6" i="12" s="1"/>
  <c r="D7" i="6" l="1"/>
  <c r="B2" i="6" l="1"/>
  <c r="E7" i="6" s="1"/>
  <c r="O5" i="2" l="1"/>
  <c r="V5" i="2" s="1"/>
  <c r="O6" i="2"/>
  <c r="V6" i="2" s="1"/>
  <c r="O7" i="2"/>
  <c r="V7" i="2" s="1"/>
  <c r="O8" i="2"/>
  <c r="V8" i="2" s="1"/>
  <c r="O9" i="2"/>
  <c r="V9" i="2" s="1"/>
  <c r="O10" i="2"/>
  <c r="V10" i="2" s="1"/>
  <c r="O11" i="2"/>
  <c r="V11" i="2" s="1"/>
  <c r="O12" i="2"/>
  <c r="V12" i="2" s="1"/>
  <c r="O13" i="2"/>
  <c r="V13" i="2" s="1"/>
  <c r="O14" i="2"/>
  <c r="V14" i="2" s="1"/>
  <c r="O15" i="2"/>
  <c r="V15" i="2" s="1"/>
  <c r="O16" i="2"/>
  <c r="V16" i="2" s="1"/>
  <c r="O17" i="2"/>
  <c r="V17" i="2" s="1"/>
  <c r="O18" i="2"/>
  <c r="V18" i="2" s="1"/>
  <c r="O4" i="2"/>
  <c r="V4" i="2" s="1"/>
  <c r="N5" i="2"/>
  <c r="U5" i="2" s="1"/>
  <c r="N6" i="2"/>
  <c r="U6" i="2" s="1"/>
  <c r="N7" i="2"/>
  <c r="U7" i="2" s="1"/>
  <c r="N8" i="2"/>
  <c r="U8" i="2" s="1"/>
  <c r="N9" i="2"/>
  <c r="U9" i="2" s="1"/>
  <c r="N10" i="2"/>
  <c r="U10" i="2" s="1"/>
  <c r="N11" i="2"/>
  <c r="U11" i="2" s="1"/>
  <c r="N12" i="2"/>
  <c r="U12" i="2" s="1"/>
  <c r="N13" i="2"/>
  <c r="U13" i="2" s="1"/>
  <c r="N14" i="2"/>
  <c r="U14" i="2" s="1"/>
  <c r="N15" i="2"/>
  <c r="U15" i="2" s="1"/>
  <c r="N16" i="2"/>
  <c r="U16" i="2" s="1"/>
  <c r="N17" i="2"/>
  <c r="U17" i="2" s="1"/>
  <c r="N18" i="2"/>
  <c r="U18" i="2" s="1"/>
  <c r="N4" i="2"/>
  <c r="U4" i="2" s="1"/>
  <c r="M5" i="2"/>
  <c r="T5" i="2" s="1"/>
  <c r="M6" i="2"/>
  <c r="T6" i="2" s="1"/>
  <c r="M7" i="2"/>
  <c r="T7" i="2" s="1"/>
  <c r="M8" i="2"/>
  <c r="T8" i="2" s="1"/>
  <c r="M9" i="2"/>
  <c r="T9" i="2" s="1"/>
  <c r="M10" i="2"/>
  <c r="T10" i="2" s="1"/>
  <c r="M11" i="2"/>
  <c r="T11" i="2" s="1"/>
  <c r="M12" i="2"/>
  <c r="T12" i="2" s="1"/>
  <c r="M13" i="2"/>
  <c r="T13" i="2" s="1"/>
  <c r="M14" i="2"/>
  <c r="T14" i="2" s="1"/>
  <c r="M15" i="2"/>
  <c r="T15" i="2" s="1"/>
  <c r="M16" i="2"/>
  <c r="T16" i="2" s="1"/>
  <c r="M17" i="2"/>
  <c r="T17" i="2" s="1"/>
  <c r="M18" i="2"/>
  <c r="T18" i="2" s="1"/>
  <c r="M4" i="2"/>
  <c r="T4" i="2" s="1"/>
  <c r="L5" i="2"/>
  <c r="S5" i="2" s="1"/>
  <c r="L6" i="2"/>
  <c r="S6" i="2" s="1"/>
  <c r="L7" i="2"/>
  <c r="S7" i="2" s="1"/>
  <c r="L8" i="2"/>
  <c r="S8" i="2" s="1"/>
  <c r="L9" i="2"/>
  <c r="S9" i="2" s="1"/>
  <c r="L10" i="2"/>
  <c r="S10" i="2" s="1"/>
  <c r="L11" i="2"/>
  <c r="S11" i="2" s="1"/>
  <c r="L12" i="2"/>
  <c r="S12" i="2" s="1"/>
  <c r="L13" i="2"/>
  <c r="S13" i="2" s="1"/>
  <c r="L14" i="2"/>
  <c r="S14" i="2" s="1"/>
  <c r="L15" i="2"/>
  <c r="S15" i="2" s="1"/>
  <c r="L16" i="2"/>
  <c r="S16" i="2" s="1"/>
  <c r="L17" i="2"/>
  <c r="S17" i="2" s="1"/>
  <c r="L18" i="2"/>
  <c r="S18" i="2" s="1"/>
  <c r="L4" i="2"/>
  <c r="S4" i="2" s="1"/>
  <c r="K5" i="2"/>
  <c r="P5" i="2" s="1"/>
  <c r="K6" i="2"/>
  <c r="P6" i="2" s="1"/>
  <c r="K7" i="2"/>
  <c r="P7" i="2" s="1"/>
  <c r="K8" i="2"/>
  <c r="P8" i="2" s="1"/>
  <c r="K9" i="2"/>
  <c r="P9" i="2" s="1"/>
  <c r="K10" i="2"/>
  <c r="P10" i="2" s="1"/>
  <c r="K11" i="2"/>
  <c r="P11" i="2" s="1"/>
  <c r="K12" i="2"/>
  <c r="P12" i="2" s="1"/>
  <c r="K13" i="2"/>
  <c r="P13" i="2" s="1"/>
  <c r="K14" i="2"/>
  <c r="P14" i="2" s="1"/>
  <c r="K15" i="2"/>
  <c r="P15" i="2" s="1"/>
  <c r="K16" i="2"/>
  <c r="P16" i="2" s="1"/>
  <c r="K17" i="2"/>
  <c r="P17" i="2" s="1"/>
  <c r="K18" i="2"/>
  <c r="P18" i="2" s="1"/>
  <c r="K4" i="2"/>
  <c r="P4" i="2" s="1"/>
  <c r="F7" i="6" l="1"/>
  <c r="H7" i="6" s="1"/>
  <c r="K7" i="6" l="1"/>
  <c r="K8" i="6" s="1"/>
  <c r="B5" i="12" s="1"/>
  <c r="I7" i="6"/>
  <c r="L7" i="6" s="1"/>
  <c r="L8" i="6" s="1"/>
  <c r="C5" i="12" s="1"/>
  <c r="J7" i="6"/>
  <c r="M7" i="6" s="1"/>
  <c r="M8" i="6" s="1"/>
  <c r="D5" i="12" s="1"/>
  <c r="Q10" i="4" l="1"/>
  <c r="R10" i="4"/>
  <c r="S10" i="4"/>
  <c r="T10" i="4"/>
  <c r="U10" i="4"/>
  <c r="P10" i="4"/>
  <c r="Q9" i="4"/>
  <c r="R9" i="4"/>
  <c r="S9" i="4"/>
  <c r="T9" i="4"/>
  <c r="U9" i="4"/>
  <c r="P9" i="4"/>
  <c r="N10" i="4"/>
  <c r="M10" i="4"/>
  <c r="L10" i="4"/>
  <c r="K10" i="4"/>
  <c r="J10" i="4"/>
  <c r="I10" i="4"/>
  <c r="H10" i="4"/>
  <c r="V10" i="4" s="1"/>
  <c r="N11" i="4"/>
  <c r="M11" i="4"/>
  <c r="L11" i="4"/>
  <c r="K11" i="4"/>
  <c r="J11" i="4"/>
  <c r="I11" i="4"/>
  <c r="H11" i="4"/>
  <c r="N12" i="4"/>
  <c r="M12" i="4"/>
  <c r="L12" i="4"/>
  <c r="K12" i="4"/>
  <c r="J12" i="4"/>
  <c r="I12" i="4"/>
  <c r="H12" i="4"/>
  <c r="I9" i="4"/>
  <c r="J9" i="4"/>
  <c r="K9" i="4"/>
  <c r="L9" i="4"/>
  <c r="M9" i="4"/>
  <c r="N9" i="4"/>
  <c r="H9" i="4"/>
  <c r="X10" i="4" l="1"/>
  <c r="W10" i="4"/>
  <c r="W12" i="4"/>
  <c r="G11" i="4"/>
  <c r="V11" i="4" s="1"/>
  <c r="G9" i="4"/>
  <c r="X9" i="4" s="1"/>
  <c r="V9" i="4" l="1"/>
  <c r="W9" i="4"/>
  <c r="X11" i="4"/>
  <c r="W11" i="4"/>
  <c r="X12" i="4"/>
  <c r="V12" i="4"/>
  <c r="AB9" i="4"/>
  <c r="AB11" i="4"/>
  <c r="AB12" i="4"/>
  <c r="AB10" i="4"/>
  <c r="G21" i="4"/>
  <c r="V13" i="4" l="1"/>
  <c r="AA11" i="4"/>
  <c r="Z11" i="4"/>
  <c r="Y11" i="4"/>
  <c r="AA10" i="4"/>
  <c r="Z10" i="4"/>
  <c r="Y10" i="4"/>
  <c r="AA12" i="4"/>
  <c r="Z12" i="4"/>
  <c r="Y12" i="4"/>
  <c r="AA9" i="4"/>
  <c r="Z9" i="4"/>
  <c r="Y9" i="4"/>
  <c r="G35" i="5"/>
  <c r="J34" i="5"/>
  <c r="J33" i="5"/>
  <c r="J32" i="5"/>
  <c r="J31" i="5"/>
  <c r="J30" i="5"/>
  <c r="J29" i="5"/>
  <c r="J28" i="5"/>
  <c r="J27" i="5"/>
  <c r="J26" i="5"/>
  <c r="J25" i="5"/>
  <c r="J24" i="5"/>
  <c r="J23" i="5"/>
  <c r="G17" i="5"/>
  <c r="J15" i="5"/>
  <c r="J14" i="5"/>
  <c r="J13" i="5"/>
  <c r="J12" i="5"/>
  <c r="J11" i="5"/>
  <c r="J10" i="5"/>
  <c r="J9" i="5"/>
  <c r="J8" i="5"/>
  <c r="J7" i="5"/>
  <c r="J6" i="5"/>
  <c r="J5" i="5"/>
  <c r="J4" i="5"/>
  <c r="W13" i="4" l="1"/>
  <c r="C4" i="12" s="1"/>
  <c r="Y13" i="4"/>
  <c r="E4" i="12" s="1"/>
  <c r="Z13" i="4"/>
  <c r="F4" i="12" s="1"/>
  <c r="AA13" i="4"/>
  <c r="G4" i="12" s="1"/>
  <c r="X13" i="4"/>
  <c r="D4" i="12" s="1"/>
  <c r="B4" i="12"/>
  <c r="AB13" i="4"/>
  <c r="H4" i="12" s="1"/>
  <c r="R6" i="2"/>
  <c r="Q5" i="2"/>
  <c r="R8" i="2"/>
  <c r="R9" i="2"/>
  <c r="Q10" i="2"/>
  <c r="R12" i="2"/>
  <c r="R13" i="2"/>
  <c r="R14" i="2"/>
  <c r="Q17" i="2"/>
  <c r="Q18" i="2"/>
  <c r="R16" i="2" l="1"/>
  <c r="Q16" i="2"/>
  <c r="Q6" i="2"/>
  <c r="R10" i="2"/>
  <c r="R18" i="2"/>
  <c r="R4" i="2"/>
  <c r="R15" i="2"/>
  <c r="Q14" i="2"/>
  <c r="R17" i="2"/>
  <c r="Q13" i="2"/>
  <c r="Q12" i="2"/>
  <c r="Q9" i="2"/>
  <c r="Q8" i="2"/>
  <c r="R5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Q4" i="2" l="1"/>
  <c r="P19" i="2"/>
  <c r="B3" i="12" s="1"/>
  <c r="B9" i="12" s="1"/>
  <c r="V19" i="2"/>
  <c r="H3" i="12" s="1"/>
  <c r="H9" i="12" s="1"/>
  <c r="U19" i="2"/>
  <c r="G3" i="12" s="1"/>
  <c r="G9" i="12" s="1"/>
  <c r="S19" i="2"/>
  <c r="E3" i="12" s="1"/>
  <c r="E9" i="12" s="1"/>
  <c r="T19" i="2"/>
  <c r="F3" i="12" s="1"/>
  <c r="F9" i="12" s="1"/>
  <c r="Q15" i="2"/>
  <c r="Q11" i="2"/>
  <c r="R11" i="2"/>
  <c r="R7" i="2"/>
  <c r="Q7" i="2"/>
  <c r="R19" i="2" l="1"/>
  <c r="D3" i="12" s="1"/>
  <c r="D9" i="12" s="1"/>
  <c r="Q19" i="2"/>
  <c r="C3" i="12" s="1"/>
</calcChain>
</file>

<file path=xl/comments1.xml><?xml version="1.0" encoding="utf-8"?>
<comments xmlns="http://schemas.openxmlformats.org/spreadsheetml/2006/main">
  <authors>
    <author>Vanessa Brusco Filete</author>
  </authors>
  <commentList>
    <comment ref="N3" authorId="0" shapeId="0">
      <text>
        <r>
          <rPr>
            <sz val="9"/>
            <color indexed="81"/>
            <rFont val="Segoe UI"/>
            <family val="2"/>
          </rPr>
          <t>Fonte: 
http://www.rio.rj.gov.br/dlstatic/10112/7219844/4197840/TabelasO.pdf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Table 13.2.3-1 da Seção 13.2.3 estabelece este fator para a atividade de escavação 
https://www3.epa.gov/ttn/chief/ap42/ch13/final/c13s02-3.pdf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2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F21" authorId="1" shapeId="0">
      <text>
        <r>
          <rPr>
            <sz val="9"/>
            <color indexed="81"/>
            <rFont val="Segoe UI"/>
            <family val="2"/>
          </rPr>
          <t>Fonte: Estação INMET 
ES_A612_Vitoria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4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4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4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4.xml><?xml version="1.0" encoding="utf-8"?>
<comments xmlns="http://schemas.openxmlformats.org/spreadsheetml/2006/main">
  <authors>
    <author>Vanessa Brusco Filete</author>
  </authors>
  <commentList>
    <comment ref="E3" authorId="0" shapeId="0">
      <text>
        <r>
          <rPr>
            <sz val="9"/>
            <color indexed="81"/>
            <rFont val="Segoe UI"/>
            <family val="2"/>
          </rPr>
          <t>Fonte: resposta ao ofício Nº 412-2016 em arquivo (.xlsx) "Planilha Equipamentos</t>
        </r>
        <r>
          <rPr>
            <b/>
            <sz val="9"/>
            <color indexed="81"/>
            <rFont val="Segoe UI"/>
            <family val="2"/>
          </rPr>
          <t>"</t>
        </r>
      </text>
    </comment>
    <comment ref="E22" authorId="0" shapeId="0">
      <text>
        <r>
          <rPr>
            <sz val="9"/>
            <color indexed="81"/>
            <rFont val="Segoe UI"/>
            <family val="2"/>
          </rPr>
          <t>Dados baseados em Imagens de Satélite (Google Earth) para a data de 07/06/2015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L29" authorId="0" shapeId="0">
      <text>
        <r>
          <rPr>
            <sz val="9"/>
            <color indexed="81"/>
            <rFont val="Segoe UI"/>
            <family val="2"/>
          </rPr>
          <t>Taxa de crescimento populacional utilizada: 1,1% (ao ano).
Fonte: IJSN,2016. http://www.ijsn.es.gov.br/component/attachments/download/5496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F3" authorId="0" shapeId="0">
      <text>
        <r>
          <rPr>
            <sz val="9"/>
            <color indexed="81"/>
            <rFont val="Segoe UI"/>
            <family val="2"/>
          </rPr>
          <t>Considerado fator de NO2 como sendo NOX</t>
        </r>
      </text>
    </comment>
    <comment ref="I3" authorId="0" shapeId="0">
      <text>
        <r>
          <rPr>
            <sz val="9"/>
            <color indexed="81"/>
            <rFont val="Segoe UI"/>
            <family val="2"/>
          </rPr>
          <t>Considerado que PM = PM10 = PM2.5, pois no rodapé da Tabela 2.4-4:
"</t>
        </r>
        <r>
          <rPr>
            <i/>
            <sz val="9"/>
            <color indexed="81"/>
            <rFont val="Segoe UI"/>
            <family val="2"/>
          </rPr>
          <t>No data on PM size distributions were available, however for other gas-fired combustion sources, most of the particulate matter is less than 2.5 microns in diameter. Hence, this emission factor can be used to provide estimates of PM-10 or PM-2.5 emissions</t>
        </r>
        <r>
          <rPr>
            <sz val="9"/>
            <color indexed="81"/>
            <rFont val="Segoe UI"/>
            <family val="2"/>
          </rPr>
          <t xml:space="preserve">". </t>
        </r>
      </text>
    </comment>
    <comment ref="J3" authorId="0" shapeId="0">
      <text>
        <r>
          <rPr>
            <sz val="9"/>
            <color indexed="81"/>
            <rFont val="Segoe UI"/>
            <family val="2"/>
          </rPr>
          <t>Considerado que PM = PM10 = PM2.5, pois no rodapé da Tabela 2.4-4:
"</t>
        </r>
        <r>
          <rPr>
            <i/>
            <sz val="9"/>
            <color indexed="81"/>
            <rFont val="Segoe UI"/>
            <family val="2"/>
          </rPr>
          <t>No data on PM size distributions were available, however for other gas-fired combustion sources, most of the particulate matter is less than 2.5 microns in diameter. Hence, this emission factor can be used to provide estimates of PM-10 or PM-2.5 emissions</t>
        </r>
        <r>
          <rPr>
            <sz val="9"/>
            <color indexed="81"/>
            <rFont val="Segoe UI"/>
            <family val="2"/>
          </rPr>
          <t xml:space="preserve">". 
</t>
        </r>
      </text>
    </comment>
    <comment ref="M3" authorId="0" shapeId="0">
      <text>
        <r>
          <rPr>
            <b/>
            <sz val="9"/>
            <color indexed="81"/>
            <rFont val="Segoe UI"/>
            <family val="2"/>
          </rPr>
          <t xml:space="preserve">Considerada eficiência de controle COV (86%) da Table 2.4-3 do AP42 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Vanessa Brusco Filete</author>
    <author>Alinie Rossi dos Santos</author>
  </authors>
  <commentList>
    <comment ref="B1" authorId="0" shapeId="0">
      <text>
        <r>
          <rPr>
            <sz val="9"/>
            <color indexed="81"/>
            <rFont val="Segoe UI"/>
            <family val="2"/>
          </rPr>
          <t>Fonte: https://www.dias-uteis.com/#aocd</t>
        </r>
      </text>
    </comment>
    <comment ref="G5" authorId="1" shapeId="0">
      <text>
        <r>
          <rPr>
            <sz val="9"/>
            <color indexed="81"/>
            <rFont val="Segoe UI"/>
            <family val="2"/>
          </rPr>
          <t xml:space="preserve">USEPA (2006): umidade para a argila (clay) obtida da Tabela 13.2.4-1: TYPICAL SILT AND MOISTURE CONTENTS OF MATERIALS AT VARIOUS INDUSTRIES. 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 xml:space="preserve">Fonte: </t>
        </r>
        <r>
          <rPr>
            <sz val="9"/>
            <color indexed="81"/>
            <rFont val="Segoe UI"/>
            <family val="2"/>
          </rPr>
          <t>AP 42 11.9 Western Surface Coal Mining.
Table 11.9-1 (English Units). EMISSION FACTOR EQUATIONS FOR UNCONTROLLED OPEN DUST SOURCES
AT WESTERN SURFACE COAL MINESa
Considerou-se a operação "Bulldozing" e o material "overburden"</t>
        </r>
      </text>
    </comment>
  </commentList>
</comments>
</file>

<file path=xl/comments7.xml><?xml version="1.0" encoding="utf-8"?>
<comments xmlns="http://schemas.openxmlformats.org/spreadsheetml/2006/main">
  <authors>
    <author>Alinie Rossi dos Santos</author>
    <author>Gabriel Aarão Gonçalves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  <comment ref="E4" authorId="1" shapeId="0">
      <text>
        <r>
          <rPr>
            <sz val="9"/>
            <color indexed="81"/>
            <rFont val="Segoe UI"/>
            <family val="2"/>
          </rPr>
          <t xml:space="preserve">Como não há informação sobre a quantidade movimentada de material em cada processo, foi considerado que cada etapa movimenta a mesma quantidade (valor médio)
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 xml:space="preserve">USEPA (2006) : umidade para a argila (clay) obtida da Tabela 13.2.4-1: TYPICAL SILT AND MOISTURE CONTENTS OF MATERIALS AT VARIOUS INDUSTRIES. </t>
        </r>
      </text>
    </comment>
  </commentList>
</comments>
</file>

<file path=xl/comments8.xml><?xml version="1.0" encoding="utf-8"?>
<comments xmlns="http://schemas.openxmlformats.org/spreadsheetml/2006/main">
  <authors>
    <author>Vanessa Brusco Filete</author>
    <author>Andrielly Moutinho Knupp</author>
    <author>Alinie Rossi dos Santos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 xml:space="preserve">Tara 9t; PBT 19t </t>
        </r>
        <r>
          <rPr>
            <sz val="9"/>
            <color indexed="81"/>
            <rFont val="Segoe UI"/>
            <family val="2"/>
          </rPr>
          <t xml:space="preserve">= caminhão compactador de lixo
</t>
        </r>
        <r>
          <rPr>
            <b/>
            <sz val="9"/>
            <color indexed="81"/>
            <rFont val="Segoe UI"/>
            <family val="2"/>
          </rPr>
          <t>Tara 9t; PBT 16t</t>
        </r>
        <r>
          <rPr>
            <sz val="9"/>
            <color indexed="81"/>
            <rFont val="Segoe UI"/>
            <family val="2"/>
          </rPr>
          <t xml:space="preserve"> = caminhão caçamba</t>
        </r>
      </text>
    </comment>
    <comment ref="B2" authorId="1" shapeId="0">
      <text>
        <r>
          <rPr>
            <sz val="9"/>
            <color indexed="81"/>
            <rFont val="Segoe UI"/>
            <family val="2"/>
          </rPr>
          <t>Peso médio - (veículo cheio + veículo vazio) /2 
Documento consultado para obtenção do peso médio: http://www1.dnit.gov.br/Pesagem/sis_sgpv/QFV/QFV%202008%20Divulgação.pdf</t>
        </r>
      </text>
    </comment>
    <comment ref="F9" authorId="1" shapeId="0">
      <text>
        <r>
          <rPr>
            <sz val="9"/>
            <color indexed="81"/>
            <rFont val="Segoe UI"/>
            <family val="2"/>
          </rPr>
          <t>Considerado que 50% da frota de veículos leves passam nas vias pavimentadas</t>
        </r>
      </text>
    </comment>
    <comment ref="F10" authorId="1" shapeId="0">
      <text>
        <r>
          <rPr>
            <sz val="9"/>
            <color indexed="81"/>
            <rFont val="Segoe UI"/>
            <family val="2"/>
          </rPr>
          <t xml:space="preserve">Considerado que 20% da frota de veículos pesados passam nas vias pavimentadas
</t>
        </r>
      </text>
    </comment>
    <comment ref="F11" authorId="1" shapeId="0">
      <text>
        <r>
          <rPr>
            <sz val="9"/>
            <color indexed="81"/>
            <rFont val="Segoe UI"/>
            <family val="2"/>
          </rPr>
          <t xml:space="preserve">Considerado que 50% da frota de veículos leves passam nas vias não pavimentadas
</t>
        </r>
      </text>
    </comment>
    <comment ref="F12" authorId="1" shapeId="0">
      <text>
        <r>
          <rPr>
            <sz val="9"/>
            <color indexed="81"/>
            <rFont val="Segoe UI"/>
            <family val="2"/>
          </rPr>
          <t xml:space="preserve">Considerado que 80% da frota de veículos pesados passam nas vias não pavimentadas
</t>
        </r>
      </text>
    </comment>
    <comment ref="A17" authorId="0" shapeId="0">
      <text>
        <r>
          <rPr>
            <sz val="9"/>
            <color indexed="81"/>
            <rFont val="Segoe UI"/>
            <family val="2"/>
          </rPr>
          <t xml:space="preserve">USEPA (2011) - Paved Roads. Table 13.2.1-3 - Municipal solid waste landfill 
Como não foi informado o teor de silte das vias internas, foi considerado o valor médio referente à "Municipal solid waste landfills".
</t>
        </r>
      </text>
    </comment>
    <comment ref="A18" authorId="0" shapeId="0">
      <text>
        <r>
          <rPr>
            <sz val="9"/>
            <color indexed="81"/>
            <rFont val="Segoe UI"/>
            <family val="2"/>
          </rPr>
          <t xml:space="preserve">USEPA (2011) - Unpaved Roads. Table 13.2.2-1 - Municipal solid waste landfills
Como não foi informado o teor de silte das vias internas, foi considerado o valor médio referente à "Municipal solid waste landfills".
</t>
        </r>
      </text>
    </comment>
    <comment ref="H19" authorId="2" shapeId="0">
      <text>
        <r>
          <rPr>
            <sz val="9"/>
            <color indexed="81"/>
            <rFont val="Segoe UI"/>
            <family val="2"/>
          </rPr>
          <t xml:space="preserve">WRAP Fugitive Dust Handbook (2006)
</t>
        </r>
      </text>
    </comment>
    <comment ref="B28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</commentList>
</comments>
</file>

<file path=xl/comments9.xml><?xml version="1.0" encoding="utf-8"?>
<comments xmlns="http://schemas.openxmlformats.org/spreadsheetml/2006/main">
  <authors>
    <author>Vanessa Brusco Filete</author>
    <author>Andrielly Moutinho Knupp</author>
  </authors>
  <commentList>
    <comment ref="C2" authorId="0" shapeId="0">
      <text>
        <r>
          <rPr>
            <sz val="9"/>
            <color indexed="81"/>
            <rFont val="Segoe UI"/>
            <family val="2"/>
          </rPr>
          <t>1 kW = 1,34102 HP</t>
        </r>
      </text>
    </comment>
    <comment ref="M3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para cálculo o fator de emissão de SOx.</t>
        </r>
      </text>
    </comment>
    <comment ref="O3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Q3" authorId="1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R3" authorId="1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</commentList>
</comments>
</file>

<file path=xl/sharedStrings.xml><?xml version="1.0" encoding="utf-8"?>
<sst xmlns="http://schemas.openxmlformats.org/spreadsheetml/2006/main" count="581" uniqueCount="314">
  <si>
    <t>Operação aterro (início)</t>
  </si>
  <si>
    <t xml:space="preserve">Ano </t>
  </si>
  <si>
    <t xml:space="preserve">Classe II A (t) </t>
  </si>
  <si>
    <t>Total:</t>
  </si>
  <si>
    <t>Horário de Funcionamento:</t>
  </si>
  <si>
    <t>7 às 17</t>
  </si>
  <si>
    <t>7 às 16</t>
  </si>
  <si>
    <t>Captação de Biogás</t>
  </si>
  <si>
    <t>Vias de Tráfego Internas</t>
  </si>
  <si>
    <t>Controle:</t>
  </si>
  <si>
    <t>Umectação</t>
  </si>
  <si>
    <t>Freq. Pav. (por dia)</t>
  </si>
  <si>
    <t>Freq. Npav. (por dia)</t>
  </si>
  <si>
    <t xml:space="preserve">Equipamento </t>
  </si>
  <si>
    <t>Modelo</t>
  </si>
  <si>
    <t>Quantidade</t>
  </si>
  <si>
    <t>Potência (kW)</t>
  </si>
  <si>
    <t>Horas Trabalhadas</t>
  </si>
  <si>
    <t>Consumo de Combustível (L)</t>
  </si>
  <si>
    <t>Escavadeira Hidráulica</t>
  </si>
  <si>
    <t>312-D</t>
  </si>
  <si>
    <t>E240LC</t>
  </si>
  <si>
    <t>210-G</t>
  </si>
  <si>
    <t>Mini Carregadeira</t>
  </si>
  <si>
    <t>S650</t>
  </si>
  <si>
    <t>Motoniveladora</t>
  </si>
  <si>
    <t>120-G</t>
  </si>
  <si>
    <t>Pá Carregadeira</t>
  </si>
  <si>
    <t>924-G</t>
  </si>
  <si>
    <t>W20</t>
  </si>
  <si>
    <t>Retroescavadeira</t>
  </si>
  <si>
    <t>580M 4X2</t>
  </si>
  <si>
    <t>Rolo Compactador</t>
  </si>
  <si>
    <t>CA-15</t>
  </si>
  <si>
    <t>CA-250</t>
  </si>
  <si>
    <t>Trator de Esteiras</t>
  </si>
  <si>
    <t>D6K</t>
  </si>
  <si>
    <t>D6N</t>
  </si>
  <si>
    <t>D61EX</t>
  </si>
  <si>
    <t>D51</t>
  </si>
  <si>
    <t>D6D</t>
  </si>
  <si>
    <t>Máquinas e Equipamentos</t>
  </si>
  <si>
    <t>Leves:</t>
  </si>
  <si>
    <t>Pesados:</t>
  </si>
  <si>
    <t>Equipamentos - Escapamento</t>
  </si>
  <si>
    <t>Classificação dos fatores de emissão</t>
  </si>
  <si>
    <t>Quantidade Equipamentos</t>
  </si>
  <si>
    <t>Horas/dia</t>
  </si>
  <si>
    <t>Fator de Emissão [kg/h]</t>
  </si>
  <si>
    <t>Taxa de Emissão [kg/h]</t>
  </si>
  <si>
    <t>PM</t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</si>
  <si>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</si>
  <si>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</si>
  <si>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CO</t>
  </si>
  <si>
    <t>Referência: AQMD (2016) - http://www.aqmd.gov/home/regulations/ceqa/air-quality-analysis-handbook/off-road-mobile-source-emission-factors</t>
  </si>
  <si>
    <t>Equipment</t>
  </si>
  <si>
    <t>MaxHP</t>
  </si>
  <si>
    <t>ROG</t>
  </si>
  <si>
    <t>Equação Geral:</t>
  </si>
  <si>
    <t>Onde:
E - emissão (lb/dia)
n - número de equipamentos de cada categoria
H - número de horas diárias de operação do equipamento
EF - fator de emissão (lb/h)</t>
  </si>
  <si>
    <t>Consideração:</t>
  </si>
  <si>
    <t>Como não foi informado o ano dos equipamentos, foi considerado, de forma conservadora, os fatores de 2007.</t>
  </si>
  <si>
    <t>Horas/ano</t>
  </si>
  <si>
    <t>Fonte: USEPA (2006) https://www3.epa.gov/ttn/chief/ap42/ch13/final/c13s0202.pdf</t>
  </si>
  <si>
    <t>Ano 2015</t>
  </si>
  <si>
    <t>AP42 - 13.2.2 Unpaved Roads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</si>
  <si>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</si>
  <si>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</si>
  <si>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</si>
  <si>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</si>
  <si>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</si>
  <si>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Table 13.2.2-2 Constants for Equations 1a and 1b</t>
  </si>
  <si>
    <t>Jan</t>
  </si>
  <si>
    <t>Constant</t>
  </si>
  <si>
    <t>Industrial Roads (Equation 1a)</t>
  </si>
  <si>
    <t>Fev</t>
  </si>
  <si>
    <t>PM2.5</t>
  </si>
  <si>
    <t>PM10</t>
  </si>
  <si>
    <t>PM30</t>
  </si>
  <si>
    <t>Mar</t>
  </si>
  <si>
    <t>k (lb/VMT)</t>
  </si>
  <si>
    <t>Abr</t>
  </si>
  <si>
    <t>a</t>
  </si>
  <si>
    <t>Mai</t>
  </si>
  <si>
    <t>b</t>
  </si>
  <si>
    <t>Jun</t>
  </si>
  <si>
    <t>1 lb/VMT</t>
  </si>
  <si>
    <t>g/VKT</t>
  </si>
  <si>
    <t>Jul</t>
  </si>
  <si>
    <t>Equation</t>
  </si>
  <si>
    <t>Ago</t>
  </si>
  <si>
    <t>Set</t>
  </si>
  <si>
    <r>
      <t>k, a e b: constantes empíricas
s: teor de</t>
    </r>
    <r>
      <rPr>
        <i/>
        <sz val="8"/>
        <color theme="1"/>
        <rFont val="Arial"/>
        <family val="2"/>
      </rPr>
      <t xml:space="preserve"> silt</t>
    </r>
    <r>
      <rPr>
        <sz val="8"/>
        <color theme="1"/>
        <rFont val="Arial"/>
        <family val="2"/>
      </rPr>
      <t xml:space="preserve"> do material da superfície (%)
W: peso médio do veículo (t)</t>
    </r>
  </si>
  <si>
    <t>Out</t>
  </si>
  <si>
    <t>Nov</t>
  </si>
  <si>
    <t>Dez</t>
  </si>
  <si>
    <t>Fator Ajuste:</t>
  </si>
  <si>
    <t xml:space="preserve">Fonte: USEPA (2011)https://www3.epa.gov/ttn/chief/ap42/ch13/final/c13s0201.pdf </t>
  </si>
  <si>
    <t>Table 13.2.1-1. PARTICLE SIZE MULTIPLIERS FOR PAVED ROAD EQUATION</t>
  </si>
  <si>
    <t>Número de Horas com Precipitação &gt; 0,254 mm</t>
  </si>
  <si>
    <t>Size Range</t>
  </si>
  <si>
    <t>Particle Size Multiplier (k)</t>
  </si>
  <si>
    <t>Onde:
FE - fator de emissão de material particulado (g/km)
k - constante de tamanho da partícula (g/VKT)
sL - taxa de silt na superfície de rodagem (g/m²)
W - peso médio dos veículos que trafegam na via (t)
P - número de horas onde a precipitação durante o período observado foi no mínimo 0,254 mm
N - número de horas do período observado (Ex: 8760 para anual, 2124 por estação, 720 para mensal)</t>
  </si>
  <si>
    <t>Classe de Veículo</t>
  </si>
  <si>
    <t>Fator de emissão médio da frota veicular da RGV [g/km]</t>
  </si>
  <si>
    <t>Escapamento</t>
  </si>
  <si>
    <t>Desgaste Pneus e Freio</t>
  </si>
  <si>
    <t>Desgaste da Pista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</si>
  <si>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</si>
  <si>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</si>
  <si>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</si>
  <si>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</si>
  <si>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HCT</t>
  </si>
  <si>
    <t>Veículos Pesados</t>
  </si>
  <si>
    <t xml:space="preserve">Fonte Emissora </t>
  </si>
  <si>
    <t>Tipo</t>
  </si>
  <si>
    <t>Comprimento [m]</t>
  </si>
  <si>
    <t>DMT  [km/h]</t>
  </si>
  <si>
    <t>Controle</t>
  </si>
  <si>
    <t>Eficiência de Controle [%]</t>
  </si>
  <si>
    <t>Fator de Emissão - Ressuspensão [kg/VKT]</t>
  </si>
  <si>
    <t>Fator de Emissão - Gases Escapamento [kg/km]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</si>
  <si>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</si>
  <si>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</si>
  <si>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Via 1</t>
  </si>
  <si>
    <t>Via 3</t>
  </si>
  <si>
    <t>Via 4</t>
  </si>
  <si>
    <t>Via 5</t>
  </si>
  <si>
    <t>Via 6</t>
  </si>
  <si>
    <t>Via 7</t>
  </si>
  <si>
    <t>Via 8</t>
  </si>
  <si>
    <t>Via 9</t>
  </si>
  <si>
    <t>Via 10</t>
  </si>
  <si>
    <t>Via 11</t>
  </si>
  <si>
    <t>Via 12</t>
  </si>
  <si>
    <t>Quantidade diária de veículos</t>
  </si>
  <si>
    <t>Total: 136</t>
  </si>
  <si>
    <t>Auxiliar</t>
  </si>
  <si>
    <t>Veículos Leves</t>
  </si>
  <si>
    <r>
      <t>Nº de Veículos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</si>
  <si>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-</t>
  </si>
  <si>
    <t>Fonte Emissora</t>
  </si>
  <si>
    <t>Movimentação material [t/h]</t>
  </si>
  <si>
    <t>Umidade do Material [%]</t>
  </si>
  <si>
    <t>Fator de Emissão [kg/t]</t>
  </si>
  <si>
    <t xml:space="preserve">PM 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</si>
  <si>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</si>
  <si>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</si>
  <si>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Velocidade do Vento (m/s)</t>
  </si>
  <si>
    <t>Fonte: USEPA (2006) - https://www3.epa.gov/ttn/chief/ap42/ch13/final/c13s0204.pdf</t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</si>
  <si>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</si>
  <si>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</si>
  <si>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</si>
  <si>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 xml:space="preserve">Table 13.2.4-1. TYPICAL SILT AND MOISTURE CONTENTS OF MATERIALS AT VARIOUS INDUSTRIES </t>
  </si>
  <si>
    <t>Industry</t>
  </si>
  <si>
    <t>Material</t>
  </si>
  <si>
    <t>Silt Content (%)</t>
  </si>
  <si>
    <t>Moisture Content (%)</t>
  </si>
  <si>
    <t>Range</t>
  </si>
  <si>
    <t>Mean</t>
  </si>
  <si>
    <t>Municipal solid waste landfills</t>
  </si>
  <si>
    <t>Sand</t>
  </si>
  <si>
    <t>Slag</t>
  </si>
  <si>
    <t>3,0 - 4,7</t>
  </si>
  <si>
    <t>2,3 - 4,9</t>
  </si>
  <si>
    <t>Cover</t>
  </si>
  <si>
    <t>5,0 - 16</t>
  </si>
  <si>
    <t>8,9 - 16</t>
  </si>
  <si>
    <t>Clay/dirty mix</t>
  </si>
  <si>
    <t>Clay</t>
  </si>
  <si>
    <t>4,5 - 7,4</t>
  </si>
  <si>
    <t>8,9 - 11</t>
  </si>
  <si>
    <t>Fly ash</t>
  </si>
  <si>
    <t>78 - 81</t>
  </si>
  <si>
    <t>26 - 29</t>
  </si>
  <si>
    <t>Misc. Fill materials</t>
  </si>
  <si>
    <t>Massa específica (kg/m³)</t>
  </si>
  <si>
    <t>Fonte: USEPA (1998) - https://www3.epa.gov/ttn/chief/ap42/ch11/final/c11s09.pdf</t>
  </si>
  <si>
    <t>AP42 - Section 11.9 - Table 11.9-2 - Bulldozing (Overburden)</t>
  </si>
  <si>
    <r>
      <t>PM</t>
    </r>
    <r>
      <rPr>
        <b/>
        <vertAlign val="subscript"/>
        <sz val="8"/>
        <color theme="1"/>
        <rFont val="Arial"/>
        <family val="2"/>
      </rPr>
      <t>10</t>
    </r>
  </si>
  <si>
    <r>
      <t>PM</t>
    </r>
    <r>
      <rPr>
        <b/>
        <vertAlign val="subscript"/>
        <sz val="8"/>
        <color theme="1"/>
        <rFont val="Arial"/>
        <family val="2"/>
      </rPr>
      <t>2.5</t>
    </r>
  </si>
  <si>
    <t>Onde:
E - emissão (kg/h)
s - teor de silt (%)
M - teor de umidade do material (%)</t>
  </si>
  <si>
    <t>Foi utilizado para a estimativa da emissão da atividade de compactação a operação Bulldozing para o material overburden, apresentada na Tabela 11.9-2. Fonte: USEPA (1998)</t>
  </si>
  <si>
    <t>Argila</t>
  </si>
  <si>
    <t>Teor de Silte [%]</t>
  </si>
  <si>
    <t>Escavação</t>
  </si>
  <si>
    <t>TR - Pilha</t>
  </si>
  <si>
    <t>TR - Caminhão</t>
  </si>
  <si>
    <t>TR - Célula</t>
  </si>
  <si>
    <t>Movimentação de 
Argila 2015 - (t/ano)</t>
  </si>
  <si>
    <t xml:space="preserve">Latitude:    </t>
  </si>
  <si>
    <t xml:space="preserve">Longitude:  </t>
  </si>
  <si>
    <t>h/dia</t>
  </si>
  <si>
    <t>Dados Iniciais</t>
  </si>
  <si>
    <t>Eficiência de captação (%):</t>
  </si>
  <si>
    <t>Pavimentadas</t>
  </si>
  <si>
    <t>Não Pavimentadas</t>
  </si>
  <si>
    <t>Características do Flare</t>
  </si>
  <si>
    <t>Via</t>
  </si>
  <si>
    <t>Latitude [º]</t>
  </si>
  <si>
    <t>Longitude [º]</t>
  </si>
  <si>
    <t>Excavators
(Escavadeira)</t>
  </si>
  <si>
    <t>Rubber Tired Loaders
(Pá Carregadeira)</t>
  </si>
  <si>
    <t>Rubber Tired Loaders - 25</t>
  </si>
  <si>
    <t>Rubber Tired Loaders - 50</t>
  </si>
  <si>
    <t>Rubber Tired Loaders - 120</t>
  </si>
  <si>
    <t>Rubber Tired Loaders - 175</t>
  </si>
  <si>
    <t>Rubber Tired Loaders - 250</t>
  </si>
  <si>
    <t>Rubber Tired Loaders - 500</t>
  </si>
  <si>
    <t>Rubber Tired Loaders - 750</t>
  </si>
  <si>
    <t>Rubber Tired Loaders - 1000</t>
  </si>
  <si>
    <t>Tractors/Loaders/Backhoes
(Trator/Carregadeira/Retroescavadeira)</t>
  </si>
  <si>
    <t>Tractors/Loaders/Backhoes - 15</t>
  </si>
  <si>
    <t>Tractors/Loaders/Backhoes - 25</t>
  </si>
  <si>
    <t>Tractors/Loaders/Backhoes - 50</t>
  </si>
  <si>
    <t>Tractors/Loaders/Backhoes - 120</t>
  </si>
  <si>
    <t>Tractors/Loaders/Backhoes - 175</t>
  </si>
  <si>
    <t>Tractors/Loaders/Backhoes - 250</t>
  </si>
  <si>
    <t>Tractors/Loaders/Backhoes - 500</t>
  </si>
  <si>
    <t>Tractors/Loaders/Backhoes - 750</t>
  </si>
  <si>
    <t>Excavators - 25</t>
  </si>
  <si>
    <t>Excavators - 50</t>
  </si>
  <si>
    <t>Excavators - 120</t>
  </si>
  <si>
    <t>Excavators - 175</t>
  </si>
  <si>
    <t>Excavators - 250</t>
  </si>
  <si>
    <t>Excavators - 500</t>
  </si>
  <si>
    <t>Excavators - 750</t>
  </si>
  <si>
    <t>TOTAL</t>
  </si>
  <si>
    <t>Crawler Tractors
(Trator Esteira)</t>
  </si>
  <si>
    <t>Graders
(Máquina Niveladora)</t>
  </si>
  <si>
    <t>Graders - 50</t>
  </si>
  <si>
    <t>Graders - 120</t>
  </si>
  <si>
    <t>Graders - 175</t>
  </si>
  <si>
    <t>Graders - 250</t>
  </si>
  <si>
    <t>Graders - 500</t>
  </si>
  <si>
    <t>Graders - 750</t>
  </si>
  <si>
    <t>Rollers 
(Compactadores)</t>
  </si>
  <si>
    <t>Rollers - 15</t>
  </si>
  <si>
    <t>Rollers - 25</t>
  </si>
  <si>
    <t>Rollers - 50</t>
  </si>
  <si>
    <t>Rollers - 120</t>
  </si>
  <si>
    <t>Rollers - 175</t>
  </si>
  <si>
    <t>Rollers - 250</t>
  </si>
  <si>
    <t>Rollers - 500</t>
  </si>
  <si>
    <t>Crawler Tractors - 50</t>
  </si>
  <si>
    <t>Crawler Tractors - 120</t>
  </si>
  <si>
    <t>Crawler Tractors - 175</t>
  </si>
  <si>
    <t>Crawler Tractors - 250</t>
  </si>
  <si>
    <t>Crawler Tractors - 500</t>
  </si>
  <si>
    <t>Crawler Tractors - 750</t>
  </si>
  <si>
    <t>Crawler Tractors - 1000</t>
  </si>
  <si>
    <t>Consumo de Combustível [L]</t>
  </si>
  <si>
    <t>Potência [HP]</t>
  </si>
  <si>
    <t>Peso médio - Veículos Pesados [t]:</t>
  </si>
  <si>
    <t>Peso médio - Veículos Leves [t]:</t>
  </si>
  <si>
    <t>Teor Silt [%]:</t>
  </si>
  <si>
    <t>Taxa Silt [g/m²]:</t>
  </si>
  <si>
    <t>Dias Úteis 2015:</t>
  </si>
  <si>
    <t>Jornada Trabalho (h):</t>
  </si>
  <si>
    <t>Taxa de Emissão LandGEM [t/ano]</t>
  </si>
  <si>
    <t>Evaporativa</t>
  </si>
  <si>
    <t>Fator de Emissão - Evaporativa [g/km]</t>
  </si>
  <si>
    <t>Fator de Emissão - Desgaste Pneus e Freios [kg/km]</t>
  </si>
  <si>
    <t>Fator de Emissão - Desgaste da Pista [kg/km]</t>
  </si>
  <si>
    <t>Sexta-feira</t>
  </si>
  <si>
    <t>Segunda à Quinta-feira</t>
  </si>
  <si>
    <t>AP42 - 13.2.1 Paved Roads</t>
  </si>
  <si>
    <t>Onde:
Ei - taxa de emissão de material particulado com diâmetro aerodinâmico &lt; i µm (kg/h)
FEi - fator de emissão com atenuação por precipitação, para material particulado com diâmetro aerodinâmico ≤ i µm (g/km)
DMT - distância média trafegada pelos veículos (km/h)</t>
  </si>
  <si>
    <r>
      <t>Onde:
TE - taxa de emissão (kg/h)
FE - fator de emissão (g/km)
DMT - distância média trafegada (km/h)
10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- conversão de g para kg
ER - eficiência de controle </t>
    </r>
  </si>
  <si>
    <t>Equação
(Ressuspensão):</t>
  </si>
  <si>
    <t>Onde:
TE - taxa de emissão (kg/h)
k - particle size multiplier (dimensionless)
U - mean wind speed, meters per second (m/s) (miles per hour [mph]) 
M - material moisture content (%)
Q - quantidade de material movimentada (t/h)</t>
  </si>
  <si>
    <t>Onde:
E - emissão (kg/h)
n - número de equipamentos de cada categoria
H - número de horas diárias de operação do equipamento
EF - fator de emissão (kg/h)</t>
  </si>
  <si>
    <t xml:space="preserve">Estimativa de dados futuros </t>
  </si>
  <si>
    <t>Com base no crescimento populacional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</si>
  <si>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</si>
  <si>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 xml:space="preserve">Vias </t>
  </si>
  <si>
    <t>Transferências</t>
  </si>
  <si>
    <t>Aterro</t>
  </si>
  <si>
    <r>
      <t xml:space="preserve">Nota: O empreendimento informou que a eficiência de captação do </t>
    </r>
    <r>
      <rPr>
        <i/>
        <sz val="8"/>
        <color theme="1"/>
        <rFont val="Arial"/>
        <family val="2"/>
      </rPr>
      <t>flare</t>
    </r>
    <r>
      <rPr>
        <sz val="8"/>
        <color theme="1"/>
        <rFont val="Arial"/>
        <family val="2"/>
      </rPr>
      <t xml:space="preserve"> é de 80%. Considera-se assim, que apenas 20% dos gases gerados no aterro são lançados à atmosfera. </t>
    </r>
  </si>
  <si>
    <r>
      <t>NO</t>
    </r>
    <r>
      <rPr>
        <vertAlign val="subscript"/>
        <sz val="8"/>
        <rFont val="Arial"/>
        <family val="2"/>
      </rPr>
      <t>X</t>
    </r>
  </si>
  <si>
    <r>
      <t>SO</t>
    </r>
    <r>
      <rPr>
        <vertAlign val="subscript"/>
        <sz val="8"/>
        <rFont val="Arial"/>
        <family val="2"/>
      </rPr>
      <t>X</t>
    </r>
  </si>
  <si>
    <t>Equação geral</t>
  </si>
  <si>
    <t>Onde:
E - emissão (kg/h)
s - teor de silt (%)
M - teor de umidade do material (%)
Ht - Horas trabalhadas (h)</t>
  </si>
  <si>
    <t>Vida útil (anos)</t>
  </si>
  <si>
    <t>Recebimento de resíduos CRT MARCA AMBIENTAL</t>
  </si>
  <si>
    <t>Taxa de Emissão LandGEM [kg/h]</t>
  </si>
  <si>
    <t>Vazão (m³/h):</t>
  </si>
  <si>
    <t>Referência: AP42 (USEPA, 2008)- https://www3.epa.gov/ttn/chief/ap42/ch02/draft/d02s04.pdf</t>
  </si>
  <si>
    <t>Table 2.4-4. EMISSION FACTORS FOR SECONDARY COMPOUNDS EXITING CONTROL DEVICES</t>
  </si>
  <si>
    <t xml:space="preserve">Control Device </t>
  </si>
  <si>
    <t>Pollutant</t>
  </si>
  <si>
    <t xml:space="preserve">Emission Factor
Rating </t>
  </si>
  <si>
    <t>Flare</t>
  </si>
  <si>
    <t>Nitrogen Dioxide</t>
  </si>
  <si>
    <t>A</t>
  </si>
  <si>
    <t>Carbon Monoxide</t>
  </si>
  <si>
    <t>Particulate Matter</t>
  </si>
  <si>
    <r>
      <t>Typical Rate kg/10</t>
    </r>
    <r>
      <rPr>
        <vertAlign val="superscript"/>
        <sz val="8"/>
        <color theme="1"/>
        <rFont val="Arial"/>
        <family val="2"/>
      </rPr>
      <t>6</t>
    </r>
    <r>
      <rPr>
        <sz val="8"/>
        <color theme="1"/>
        <rFont val="Arial"/>
        <family val="2"/>
      </rPr>
      <t xml:space="preserve"> dscm</t>
    </r>
  </si>
  <si>
    <t>Fonte: Informações enviadas pelo empreendimento através do Ofício IEMA N° 412/2016/DP</t>
  </si>
  <si>
    <r>
      <t xml:space="preserve">Nota: O empreendimento informou que a eficiência de captação do </t>
    </r>
    <r>
      <rPr>
        <i/>
        <sz val="8"/>
        <color theme="1"/>
        <rFont val="Arial"/>
        <family val="2"/>
      </rPr>
      <t>flare</t>
    </r>
    <r>
      <rPr>
        <sz val="8"/>
        <color theme="1"/>
        <rFont val="Arial"/>
        <family val="2"/>
      </rPr>
      <t xml:space="preserve"> é de 80%. </t>
    </r>
  </si>
  <si>
    <t>Vazão Biogás [m³/h]</t>
  </si>
  <si>
    <r>
      <t>Fator de Emissão [kg/10</t>
    </r>
    <r>
      <rPr>
        <b/>
        <vertAlign val="superscript"/>
        <sz val="8"/>
        <color theme="0"/>
        <rFont val="Arial"/>
        <family val="2"/>
      </rPr>
      <t>6</t>
    </r>
    <r>
      <rPr>
        <b/>
        <sz val="8"/>
        <color theme="0"/>
        <rFont val="Arial"/>
        <family val="2"/>
      </rPr>
      <t xml:space="preserve"> dscm]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</si>
  <si>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</si>
  <si>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Células do Aterro</t>
  </si>
  <si>
    <t>Via 2</t>
  </si>
  <si>
    <t>Pavimentada</t>
  </si>
  <si>
    <t>Não Pavimentada</t>
  </si>
  <si>
    <t>Vias Pavimentadas</t>
  </si>
  <si>
    <t>Vias Não Pavimentadas</t>
  </si>
  <si>
    <t>Peso médio - Veículos Leves e Pesados [t]:</t>
  </si>
  <si>
    <t>Quantidade Diária - Veículos Leves:</t>
  </si>
  <si>
    <t>Quantidade Diária - Veículos Pesados:</t>
  </si>
  <si>
    <t>Nota:</t>
  </si>
  <si>
    <t>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</si>
</sst>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"/>
    <numFmt numFmtId="166" formatCode="0.00000"/>
    <numFmt numFmtId="167" formatCode="0.000"/>
    <numFmt numFmtId="168" formatCode="0.000000"/>
    <numFmt numFmtId="169" formatCode="#,##0.0"/>
    <numFmt numFmtId="170" formatCode="[&gt;=0.005]\ #,##0.00;[&lt;0.005]&quot;&lt;0,01&quot;"/>
    <numFmt numFmtId="171" formatCode="[&gt;=0.005]\ #,##0.0000;[&lt;0.005]&quot;&lt;0,01&quot;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Segoe UI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b/>
      <vertAlign val="superscript"/>
      <sz val="8"/>
      <color theme="0"/>
      <name val="Arial"/>
      <family val="2"/>
    </font>
    <font>
      <b/>
      <vertAlign val="subscript"/>
      <sz val="8"/>
      <color theme="1"/>
      <name val="Arial"/>
      <family val="2"/>
    </font>
    <font>
      <sz val="8"/>
      <color rgb="FFFF0000"/>
      <name val="Arial"/>
      <family val="2"/>
    </font>
    <font>
      <vertAlign val="superscript"/>
      <sz val="8"/>
      <color theme="1"/>
      <name val="Arial"/>
      <family val="2"/>
    </font>
    <font>
      <vertAlign val="subscript"/>
      <sz val="8"/>
      <name val="Arial"/>
      <family val="2"/>
    </font>
    <font>
      <i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rgb="FFD9D9D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D9D9D9"/>
      </top>
      <bottom style="thin">
        <color indexed="64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indexed="64"/>
      </left>
      <right style="thin">
        <color rgb="FFD9D9D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D9D9D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D9D9D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D9D9D9"/>
      </right>
      <top style="thin">
        <color indexed="64"/>
      </top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/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horizontal="left" vertical="center"/>
    </xf>
    <xf numFmtId="0" fontId="1" fillId="0" borderId="0" xfId="0" applyFont="1" applyFill="1"/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165" fontId="1" fillId="0" borderId="0" xfId="0" applyNumberFormat="1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Fill="1" applyAlignment="1"/>
    <xf numFmtId="3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7" fillId="0" borderId="13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1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0" fontId="7" fillId="0" borderId="12" xfId="0" applyFont="1" applyFill="1" applyBorder="1" applyAlignment="1">
      <alignment horizontal="left" vertical="center"/>
    </xf>
    <xf numFmtId="2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2" fontId="7" fillId="4" borderId="12" xfId="0" applyNumberFormat="1" applyFont="1" applyFill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left" vertical="center"/>
    </xf>
    <xf numFmtId="170" fontId="1" fillId="4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171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68" fontId="1" fillId="0" borderId="0" xfId="0" applyNumberFormat="1" applyFont="1" applyFill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21" xfId="0" applyBorder="1"/>
    <xf numFmtId="0" fontId="0" fillId="0" borderId="28" xfId="0" applyBorder="1"/>
    <xf numFmtId="169" fontId="1" fillId="0" borderId="0" xfId="0" applyNumberFormat="1" applyFont="1" applyFill="1" applyAlignment="1">
      <alignment horizontal="center" vertical="center"/>
    </xf>
    <xf numFmtId="3" fontId="1" fillId="0" borderId="17" xfId="0" applyNumberFormat="1" applyFont="1" applyBorder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0" borderId="0" xfId="0" applyFont="1" applyFill="1"/>
    <xf numFmtId="0" fontId="1" fillId="5" borderId="20" xfId="0" applyFont="1" applyFill="1" applyBorder="1" applyAlignment="1">
      <alignment vertical="center"/>
    </xf>
    <xf numFmtId="0" fontId="1" fillId="5" borderId="2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 wrapText="1"/>
    </xf>
    <xf numFmtId="0" fontId="6" fillId="0" borderId="32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6" fillId="0" borderId="28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" fontId="1" fillId="0" borderId="0" xfId="0" applyNumberFormat="1" applyFont="1"/>
    <xf numFmtId="0" fontId="4" fillId="3" borderId="1" xfId="0" applyNumberFormat="1" applyFont="1" applyFill="1" applyBorder="1" applyAlignment="1" applyProtection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26" xfId="0" applyBorder="1"/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16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170" fontId="1" fillId="0" borderId="0" xfId="0" applyNumberFormat="1" applyFont="1" applyFill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166" fontId="1" fillId="0" borderId="16" xfId="0" applyNumberFormat="1" applyFont="1" applyFill="1" applyBorder="1" applyAlignment="1">
      <alignment horizontal="center" vertical="center"/>
    </xf>
    <xf numFmtId="168" fontId="1" fillId="0" borderId="16" xfId="0" applyNumberFormat="1" applyFont="1" applyFill="1" applyBorder="1" applyAlignment="1">
      <alignment horizontal="center" vertical="center"/>
    </xf>
    <xf numFmtId="170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0" fontId="1" fillId="0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165" fontId="15" fillId="0" borderId="0" xfId="0" applyNumberFormat="1" applyFont="1" applyFill="1" applyAlignment="1">
      <alignment horizontal="center" vertical="center"/>
    </xf>
    <xf numFmtId="0" fontId="1" fillId="0" borderId="24" xfId="0" applyFont="1" applyFill="1" applyBorder="1" applyAlignment="1">
      <alignment vertical="center"/>
    </xf>
    <xf numFmtId="166" fontId="1" fillId="0" borderId="17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left" vertical="center" wrapText="1"/>
    </xf>
    <xf numFmtId="0" fontId="1" fillId="5" borderId="36" xfId="0" applyFont="1" applyFill="1" applyBorder="1" applyAlignment="1">
      <alignment horizontal="left" vertical="center" wrapText="1"/>
    </xf>
    <xf numFmtId="0" fontId="1" fillId="5" borderId="37" xfId="0" applyFont="1" applyFill="1" applyBorder="1" applyAlignment="1">
      <alignment horizontal="left" vertical="center" wrapText="1"/>
    </xf>
    <xf numFmtId="0" fontId="1" fillId="5" borderId="42" xfId="0" applyFont="1" applyFill="1" applyBorder="1" applyAlignment="1">
      <alignment horizontal="left" vertical="center" wrapText="1"/>
    </xf>
    <xf numFmtId="0" fontId="1" fillId="5" borderId="33" xfId="0" applyFont="1" applyFill="1" applyBorder="1" applyAlignment="1">
      <alignment horizontal="left" vertical="center" wrapText="1"/>
    </xf>
    <xf numFmtId="0" fontId="1" fillId="5" borderId="38" xfId="0" applyFont="1" applyFill="1" applyBorder="1" applyAlignment="1">
      <alignment horizontal="left" vertical="center" wrapText="1"/>
    </xf>
    <xf numFmtId="0" fontId="1" fillId="5" borderId="43" xfId="0" applyFont="1" applyFill="1" applyBorder="1" applyAlignment="1">
      <alignment horizontal="left" vertical="center" wrapText="1"/>
    </xf>
    <xf numFmtId="0" fontId="1" fillId="5" borderId="34" xfId="0" applyFont="1" applyFill="1" applyBorder="1" applyAlignment="1">
      <alignment horizontal="left" vertical="center" wrapText="1"/>
    </xf>
    <xf numFmtId="0" fontId="1" fillId="5" borderId="39" xfId="0" applyFont="1" applyFill="1" applyBorder="1" applyAlignment="1">
      <alignment horizontal="left" vertical="center" wrapText="1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5" fillId="0" borderId="26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4" fillId="3" borderId="26" xfId="0" applyNumberFormat="1" applyFont="1" applyFill="1" applyBorder="1" applyAlignment="1" applyProtection="1">
      <alignment horizontal="center" vertical="center" wrapText="1"/>
    </xf>
    <xf numFmtId="0" fontId="4" fillId="3" borderId="27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16" xfId="0" applyNumberFormat="1" applyFont="1" applyFill="1" applyBorder="1" applyAlignment="1" applyProtection="1">
      <alignment horizontal="center" vertical="center" wrapText="1"/>
    </xf>
    <xf numFmtId="0" fontId="4" fillId="3" borderId="48" xfId="0" applyNumberFormat="1" applyFont="1" applyFill="1" applyBorder="1" applyAlignment="1" applyProtection="1">
      <alignment horizontal="center" vertical="center" wrapText="1"/>
    </xf>
    <xf numFmtId="0" fontId="4" fillId="3" borderId="17" xfId="0" applyNumberFormat="1" applyFont="1" applyFill="1" applyBorder="1" applyAlignment="1" applyProtection="1">
      <alignment horizontal="center" vertical="center" wrapText="1"/>
    </xf>
    <xf numFmtId="0" fontId="4" fillId="3" borderId="25" xfId="0" applyNumberFormat="1" applyFont="1" applyFill="1" applyBorder="1" applyAlignment="1" applyProtection="1">
      <alignment horizontal="center" vertical="center" wrapText="1"/>
    </xf>
    <xf numFmtId="0" fontId="8" fillId="0" borderId="3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0" borderId="40" xfId="0" applyFont="1" applyFill="1" applyBorder="1" applyAlignment="1">
      <alignment horizontal="left" vertical="center" wrapText="1"/>
    </xf>
    <xf numFmtId="0" fontId="1" fillId="0" borderId="4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1" fillId="0" borderId="38" xfId="0" applyFont="1" applyFill="1" applyBorder="1" applyAlignment="1">
      <alignment horizontal="left" vertical="center" wrapText="1"/>
    </xf>
    <xf numFmtId="0" fontId="1" fillId="0" borderId="45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0" borderId="47" xfId="0" applyFont="1" applyFill="1" applyBorder="1" applyAlignment="1">
      <alignment horizontal="left" vertical="center" wrapText="1"/>
    </xf>
    <xf numFmtId="0" fontId="1" fillId="5" borderId="41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5" borderId="4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0" xfId="0" applyNumberFormat="1" applyFont="1" applyFill="1" applyBorder="1" applyAlignment="1" applyProtection="1">
      <alignment horizontal="center" vertical="center" wrapText="1"/>
    </xf>
    <xf numFmtId="0" fontId="4" fillId="3" borderId="0" xfId="0" applyNumberFormat="1" applyFont="1" applyFill="1" applyBorder="1" applyAlignment="1" applyProtection="1">
      <alignment horizontal="center" vertical="center" wrapText="1"/>
    </xf>
    <xf numFmtId="0" fontId="4" fillId="3" borderId="31" xfId="0" applyNumberFormat="1" applyFont="1" applyFill="1" applyBorder="1" applyAlignment="1" applyProtection="1">
      <alignment horizontal="center" vertical="center" wrapText="1"/>
    </xf>
    <xf numFmtId="0" fontId="4" fillId="3" borderId="3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  <color rgb="FFFFFFFF"/>
      <color rgb="FF4F81BD"/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13</xdr:col>
      <xdr:colOff>342900</xdr:colOff>
      <xdr:row>19</xdr:row>
      <xdr:rowOff>76200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0"/>
          <a:ext cx="5219700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49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886075" y="5729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2886075" y="5729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(𝑈/2,2)^1,3∕(𝑀/2)^1,4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1828801</xdr:colOff>
      <xdr:row>2</xdr:row>
      <xdr:rowOff>100012</xdr:rowOff>
    </xdr:from>
    <xdr:ext cx="24003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1828801" y="3233737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𝑃𝑀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=2,6×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28801" y="3233737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𝐸_𝑃𝑀=2,6×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(𝑠)^1,2∕(𝑀)^1,3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</xdr:row>
      <xdr:rowOff>123825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1876425" y="363855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=0,75×0,45×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1,5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76425" y="363855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𝐸=0,75×0,45×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(𝑠)^1,5∕(𝑀)^1,4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1809750</xdr:colOff>
      <xdr:row>6</xdr:row>
      <xdr:rowOff>142875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1809750" y="403860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=0,105×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𝑃𝑀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09750" y="403860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𝐸=0,105×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𝐸_𝑃𝑀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27</xdr:row>
      <xdr:rowOff>4762</xdr:rowOff>
    </xdr:from>
    <xdr:ext cx="23431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143000" y="524351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𝑠𝐿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0,91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1,02</m:t>
                            </m:r>
                          </m:sup>
                        </m:s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1−1,2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143000" y="524351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𝐹𝐸=(𝑘 . 〖𝑠𝐿〗^0,91. 𝑊^1,02 )  . (1−1,2𝑃/𝑁) 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600076</xdr:colOff>
      <xdr:row>26</xdr:row>
      <xdr:rowOff>142875</xdr:rowOff>
    </xdr:from>
    <xdr:to>
      <xdr:col>3</xdr:col>
      <xdr:colOff>552450</xdr:colOff>
      <xdr:row>28</xdr:row>
      <xdr:rowOff>47625</xdr:rowOff>
    </xdr:to>
    <xdr:sp macro="" textlink="">
      <xdr:nvSpPr>
        <xdr:cNvPr id="3" name="Elipse 2"/>
        <xdr:cNvSpPr/>
      </xdr:nvSpPr>
      <xdr:spPr>
        <a:xfrm>
          <a:off x="2581276" y="5191125"/>
          <a:ext cx="942974" cy="28575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</xdr:colOff>
      <xdr:row>10</xdr:row>
      <xdr:rowOff>0</xdr:rowOff>
    </xdr:from>
    <xdr:ext cx="2628900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id="{00000000-0008-0000-0400-000002000000}"/>
                </a:ext>
              </a:extLst>
            </xdr:cNvPr>
            <xdr:cNvSpPr txBox="1"/>
          </xdr:nvSpPr>
          <xdr:spPr>
            <a:xfrm>
              <a:off x="990601" y="1952625"/>
              <a:ext cx="2628900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990601" y="1952625"/>
              <a:ext cx="2628900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  <xdr:twoCellAnchor>
    <xdr:from>
      <xdr:col>2</xdr:col>
      <xdr:colOff>552450</xdr:colOff>
      <xdr:row>10</xdr:row>
      <xdr:rowOff>0</xdr:rowOff>
    </xdr:from>
    <xdr:to>
      <xdr:col>3</xdr:col>
      <xdr:colOff>533400</xdr:colOff>
      <xdr:row>11</xdr:row>
      <xdr:rowOff>180976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2533650" y="1952625"/>
          <a:ext cx="971550" cy="37147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533401</xdr:colOff>
      <xdr:row>9</xdr:row>
      <xdr:rowOff>119063</xdr:rowOff>
    </xdr:from>
    <xdr:ext cx="206692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2895601" y="1643063"/>
              <a:ext cx="206692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𝑃𝑀</m:t>
                      </m:r>
                    </m:sub>
                  </m:sSub>
                  <m:r>
                    <a:rPr lang="pt-BR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BR" sz="1100" b="0" i="1">
                          <a:latin typeface="Cambria Math" panose="02040503050406030204" pitchFamily="18" charset="0"/>
                        </a:rPr>
                        <m:t>2,6×</m:t>
                      </m:r>
                      <m:f>
                        <m:fPr>
                          <m:type m:val="lin"/>
                          <m:ctrlPr>
                            <a:rPr lang="pt-BR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e>
                              </m:d>
                            </m:e>
                            <m:sup>
                              <m: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1,2</m:t>
                              </m:r>
                            </m:sup>
                          </m:sSup>
                        </m:num>
                        <m:den>
                          <m:sSup>
                            <m:sSupPr>
                              <m:ctrlP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𝑀</m:t>
                                  </m:r>
                                </m:e>
                              </m:d>
                            </m:e>
                            <m:sup>
                              <m: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1,3</m:t>
                              </m:r>
                            </m:sup>
                          </m:sSup>
                        </m:den>
                      </m:f>
                    </m:e>
                  </m:d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</m:oMath>
              </a14:m>
              <a:r>
                <a:rPr lang="pt-BR" sz="1100"/>
                <a:t> Ht</a:t>
              </a: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2895601" y="1643063"/>
              <a:ext cx="206692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𝐸_𝑃𝑀=(2,6×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(𝑠)^1,2∕(𝑀)^1,3 )×</a:t>
              </a:r>
              <a:r>
                <a:rPr lang="pt-BR" sz="1100"/>
                <a:t> Ht</a:t>
              </a:r>
            </a:p>
          </xdr:txBody>
        </xdr:sp>
      </mc:Fallback>
    </mc:AlternateContent>
    <xdr:clientData/>
  </xdr:oneCellAnchor>
  <xdr:oneCellAnchor>
    <xdr:from>
      <xdr:col>2</xdr:col>
      <xdr:colOff>333375</xdr:colOff>
      <xdr:row>11</xdr:row>
      <xdr:rowOff>95250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2695575" y="200025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=0,75×0,45×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1,5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×</m:t>
                    </m:r>
                    <m:r>
                      <m:rPr>
                        <m:nor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Ht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2695575" y="200025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0" i="0">
                  <a:latin typeface="Cambria Math" panose="02040503050406030204" pitchFamily="18" charset="0"/>
                </a:rPr>
                <a:t>𝐸=0,75×0,45×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(𝑠)^1,5∕(𝑀)^1,4  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Ht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200025</xdr:colOff>
      <xdr:row>13</xdr:row>
      <xdr:rowOff>95250</xdr:rowOff>
    </xdr:from>
    <xdr:ext cx="1466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3181350" y="2381250"/>
              <a:ext cx="1466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𝐸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=0,105×</m:t>
                  </m:r>
                  <m:sSub>
                    <m:sSubPr>
                      <m:ctrlPr>
                        <a:rPr lang="pt-B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lang="pt-B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𝑃𝑀</m:t>
                      </m:r>
                    </m:sub>
                  </m:sSub>
                </m:oMath>
              </a14:m>
              <a:r>
                <a:rPr lang="pt-BR" sz="1100"/>
                <a:t> </a:t>
              </a:r>
              <a14:m>
                <m:oMath xmlns:m="http://schemas.openxmlformats.org/officeDocument/2006/math"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r>
                    <m:rPr>
                      <m:nor/>
                    </m:rPr>
                    <a:rPr lang="pt-BR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pt-B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Ht</m:t>
                  </m:r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3181350" y="2381250"/>
              <a:ext cx="1466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𝐸=0,105×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𝐸_𝑃𝑀</a:t>
              </a:r>
              <a:r>
                <a:rPr lang="pt-BR" sz="1100"/>
                <a:t>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×"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Ht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806161</xdr:colOff>
      <xdr:row>10</xdr:row>
      <xdr:rowOff>165821</xdr:rowOff>
    </xdr:from>
    <xdr:ext cx="3222914" cy="66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3330286" y="16548821"/>
              <a:ext cx="3222914" cy="66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0,0016</m:t>
                            </m:r>
                          </m:e>
                        </m:d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𝑈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2,2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1,3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𝑀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1,4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3330286" y="16548821"/>
              <a:ext cx="3222914" cy="66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𝑘(0,0016)  (𝑈/2,2)^1,3/(𝑀/2)^1,4 )</a:t>
              </a:r>
              <a:r>
                <a:rPr lang="pt-BR" sz="1100" b="0" i="0">
                  <a:latin typeface="Cambria Math" panose="02040503050406030204" pitchFamily="18" charset="0"/>
                </a:rPr>
                <a:t>. 𝑄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24</xdr:row>
      <xdr:rowOff>185737</xdr:rowOff>
    </xdr:from>
    <xdr:ext cx="21907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066925" y="2995612"/>
              <a:ext cx="2190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𝐹𝐸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𝐷𝑀𝑇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)/10³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66925" y="2995612"/>
              <a:ext cx="2190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𝐸_𝑖=(〖𝐹𝐸〗_𝑖  . 𝐷𝑀𝑇)/10³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323851</xdr:colOff>
      <xdr:row>33</xdr:row>
      <xdr:rowOff>119062</xdr:rowOff>
    </xdr:from>
    <xdr:ext cx="1981200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419351" y="6415087"/>
              <a:ext cx="198120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</a:rPr>
                      <m:t>FE</m:t>
                    </m:r>
                    <m:r>
                      <a:rPr lang="pt-BR" sz="1100" b="0" i="0">
                        <a:latin typeface="Cambria Math" panose="02040503050406030204" pitchFamily="18" charset="0"/>
                      </a:rPr>
                      <m:t> .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BR" sz="1100" b="0" i="0">
                            <a:latin typeface="Cambria Math" panose="02040503050406030204" pitchFamily="18" charset="0"/>
                          </a:rPr>
                          <m:t>DMT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pt-BR" sz="1100" b="0" i="0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m:rPr>
                            <m:sty m:val="p"/>
                          </m:rPr>
                          <a:rPr lang="pt-BR" sz="1100" b="0" i="0">
                            <a:latin typeface="Cambria Math" panose="02040503050406030204" pitchFamily="18" charset="0"/>
                          </a:rPr>
                          <m:t>ER</m:t>
                        </m:r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/100</m:t>
                        </m:r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419351" y="6415087"/>
              <a:ext cx="198120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𝑇𝐸=FE .DMT/〖10〗^3   . (1−ER1/100)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20</xdr:row>
      <xdr:rowOff>119062</xdr:rowOff>
    </xdr:from>
    <xdr:ext cx="160972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867025" y="2786062"/>
              <a:ext cx="16097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𝐸𝐹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867025" y="2786062"/>
              <a:ext cx="16097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𝐸=(𝑛 𝑥 𝐻 𝑥 𝐸𝐹 )/24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7.5703125" customWidth="1"/>
    <col min="2" max="2" width="22.5703125" customWidth="1"/>
    <col min="3" max="3" width="20.140625" customWidth="1"/>
    <col min="4" max="4" width="18.42578125" customWidth="1"/>
  </cols>
  <sheetData>
    <row r="1" spans="1:4" x14ac:dyDescent="0.25">
      <c r="A1" s="3" t="s">
        <v>287</v>
      </c>
    </row>
    <row r="2" spans="1:4" x14ac:dyDescent="0.25">
      <c r="A2" s="144" t="s">
        <v>288</v>
      </c>
      <c r="B2" s="145"/>
      <c r="C2" s="145"/>
      <c r="D2" s="145"/>
    </row>
    <row r="3" spans="1:4" x14ac:dyDescent="0.25">
      <c r="A3" s="111" t="s">
        <v>289</v>
      </c>
      <c r="B3" s="111" t="s">
        <v>290</v>
      </c>
      <c r="C3" s="111" t="s">
        <v>297</v>
      </c>
      <c r="D3" s="111" t="s">
        <v>291</v>
      </c>
    </row>
    <row r="4" spans="1:4" x14ac:dyDescent="0.25">
      <c r="A4" s="146" t="s">
        <v>292</v>
      </c>
      <c r="B4" s="3" t="s">
        <v>293</v>
      </c>
      <c r="C4" s="112">
        <v>631</v>
      </c>
      <c r="D4" s="112" t="s">
        <v>294</v>
      </c>
    </row>
    <row r="5" spans="1:4" x14ac:dyDescent="0.25">
      <c r="A5" s="146"/>
      <c r="B5" s="3" t="s">
        <v>295</v>
      </c>
      <c r="C5" s="112">
        <v>737</v>
      </c>
      <c r="D5" s="112" t="s">
        <v>294</v>
      </c>
    </row>
    <row r="6" spans="1:4" x14ac:dyDescent="0.25">
      <c r="A6" s="146"/>
      <c r="B6" s="3" t="s">
        <v>296</v>
      </c>
      <c r="C6" s="112">
        <v>238</v>
      </c>
      <c r="D6" s="112" t="s">
        <v>294</v>
      </c>
    </row>
  </sheetData>
  <sheetProtection password="B056" sheet="1" objects="1" scenarios="1"/>
  <mergeCells count="2">
    <mergeCell ref="A2:D2"/>
    <mergeCell ref="A4:A6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activeCell="D2" sqref="D2"/>
    </sheetView>
  </sheetViews>
  <sheetFormatPr defaultRowHeight="15" x14ac:dyDescent="0.25"/>
  <cols>
    <col min="1" max="1" width="19.7109375" bestFit="1" customWidth="1"/>
    <col min="2" max="2" width="11.7109375" customWidth="1"/>
    <col min="3" max="3" width="11.140625" customWidth="1"/>
    <col min="5" max="5" width="17.7109375" customWidth="1"/>
    <col min="6" max="6" width="20.140625" bestFit="1" customWidth="1"/>
    <col min="7" max="12" width="10.7109375" customWidth="1"/>
  </cols>
  <sheetData>
    <row r="1" spans="1:12" x14ac:dyDescent="0.25">
      <c r="A1" s="16" t="s">
        <v>148</v>
      </c>
      <c r="B1" s="65">
        <v>4.1937865160171146</v>
      </c>
      <c r="C1" s="33"/>
    </row>
    <row r="2" spans="1:12" x14ac:dyDescent="0.25">
      <c r="A2" s="64"/>
      <c r="B2" s="65"/>
      <c r="C2" s="33"/>
    </row>
    <row r="3" spans="1:12" x14ac:dyDescent="0.25">
      <c r="A3" s="3" t="s">
        <v>298</v>
      </c>
      <c r="C3" s="33"/>
    </row>
    <row r="4" spans="1:12" x14ac:dyDescent="0.25">
      <c r="A4" s="233" t="s">
        <v>141</v>
      </c>
      <c r="B4" s="224" t="s">
        <v>199</v>
      </c>
      <c r="C4" s="224" t="s">
        <v>200</v>
      </c>
      <c r="D4" s="235" t="s">
        <v>155</v>
      </c>
      <c r="E4" s="235" t="s">
        <v>142</v>
      </c>
      <c r="F4" s="235" t="s">
        <v>143</v>
      </c>
      <c r="G4" s="230" t="s">
        <v>144</v>
      </c>
      <c r="H4" s="231"/>
      <c r="I4" s="232"/>
      <c r="J4" s="230" t="s">
        <v>49</v>
      </c>
      <c r="K4" s="231"/>
      <c r="L4" s="232"/>
    </row>
    <row r="5" spans="1:12" x14ac:dyDescent="0.25">
      <c r="A5" s="234"/>
      <c r="B5" s="224"/>
      <c r="C5" s="224"/>
      <c r="D5" s="229"/>
      <c r="E5" s="229"/>
      <c r="F5" s="229"/>
      <c r="G5" s="42" t="s">
        <v>145</v>
      </c>
      <c r="H5" s="42" t="s">
        <v>146</v>
      </c>
      <c r="I5" s="42" t="s">
        <v>147</v>
      </c>
      <c r="J5" s="42" t="s">
        <v>145</v>
      </c>
      <c r="K5" s="42" t="s">
        <v>146</v>
      </c>
      <c r="L5" s="42" t="s">
        <v>147</v>
      </c>
    </row>
    <row r="6" spans="1:12" x14ac:dyDescent="0.25">
      <c r="A6" s="4" t="s">
        <v>186</v>
      </c>
      <c r="B6" s="37">
        <v>-20.241633</v>
      </c>
      <c r="C6" s="37">
        <v>-40.385174999999997</v>
      </c>
      <c r="D6" s="34" t="s">
        <v>183</v>
      </c>
      <c r="E6" s="62">
        <f>Dados!$A$12/8760</f>
        <v>3.1931506849315068</v>
      </c>
      <c r="F6" s="2">
        <v>10</v>
      </c>
      <c r="G6" s="36">
        <f>'FE-Transferências'!$B$3*0.0016*(($B$1/2.2)^1.3)/(($F$6/2)^1.4)</f>
        <v>2.8776132594540281E-4</v>
      </c>
      <c r="H6" s="36">
        <f>'FE-Transferências'!$C$3*0.0016*(($B$1/2.2)^1.3)/(($F$6/2)^1.4)</f>
        <v>1.3610332983904184E-4</v>
      </c>
      <c r="I6" s="36">
        <f>'FE-Transferências'!$D$3*0.0016*(($B$1/2.2)^1.3)/(($F$6/2)^1.4)</f>
        <v>2.0609932804197768E-5</v>
      </c>
      <c r="J6" s="115">
        <f>$E$6*$G$6</f>
        <v>9.1886527503936156E-4</v>
      </c>
      <c r="K6" s="115">
        <f>$E$6*$H$6</f>
        <v>4.3459844089699525E-4</v>
      </c>
      <c r="L6" s="115">
        <f>$E$6*$I$6</f>
        <v>6.5810621050116426E-5</v>
      </c>
    </row>
    <row r="7" spans="1:12" x14ac:dyDescent="0.25">
      <c r="A7" s="4" t="s">
        <v>187</v>
      </c>
      <c r="B7" s="37">
        <v>-20.241633</v>
      </c>
      <c r="C7" s="37">
        <v>-40.385174999999997</v>
      </c>
      <c r="D7" s="34" t="s">
        <v>183</v>
      </c>
      <c r="E7" s="62">
        <f>Dados!$A$12/8760</f>
        <v>3.1931506849315068</v>
      </c>
      <c r="F7" s="2">
        <v>10</v>
      </c>
      <c r="G7" s="36">
        <f>'FE-Transferências'!$B$3*0.0016*(($B$1/2.2)^1.3)/(($F$7/2)^1.4)</f>
        <v>2.8776132594540281E-4</v>
      </c>
      <c r="H7" s="36">
        <f>'FE-Transferências'!$C$3*0.0016*(($B$1/2.2)^1.3)/(($F$7/2)^1.4)</f>
        <v>1.3610332983904184E-4</v>
      </c>
      <c r="I7" s="36">
        <f>'FE-Transferências'!$D$3*0.0016*(($B$1/2.2)^1.3)/(($F$7/2)^1.4)</f>
        <v>2.0609932804197768E-5</v>
      </c>
      <c r="J7" s="115">
        <f>$E$7*$G$7</f>
        <v>9.1886527503936156E-4</v>
      </c>
      <c r="K7" s="115">
        <f>$E$7*$H$7</f>
        <v>4.3459844089699525E-4</v>
      </c>
      <c r="L7" s="115">
        <f>$E$7*$I$7</f>
        <v>6.5810621050116426E-5</v>
      </c>
    </row>
    <row r="8" spans="1:12" x14ac:dyDescent="0.25">
      <c r="A8" s="4" t="s">
        <v>188</v>
      </c>
      <c r="B8" s="37">
        <v>-20.241633</v>
      </c>
      <c r="C8" s="37">
        <v>-40.385174999999997</v>
      </c>
      <c r="D8" s="34" t="s">
        <v>183</v>
      </c>
      <c r="E8" s="62">
        <f>Dados!$A$12/8760</f>
        <v>3.1931506849315068</v>
      </c>
      <c r="F8" s="2">
        <v>10</v>
      </c>
      <c r="G8" s="36">
        <f>'FE-Transferências'!$B$3*0.0016*(($B$1/2.2)^1.3)/(($F$8/2)^1.4)</f>
        <v>2.8776132594540281E-4</v>
      </c>
      <c r="H8" s="36">
        <f>'FE-Transferências'!$C$3*0.0016*(($B$1/2.2)^1.3)/(($F$8/2)^1.4)</f>
        <v>1.3610332983904184E-4</v>
      </c>
      <c r="I8" s="36">
        <f>'FE-Transferências'!$D$3*0.0016*(($B$1/2.2)^1.3)/(($F$8/2)^1.4)</f>
        <v>2.0609932804197768E-5</v>
      </c>
      <c r="J8" s="115">
        <f>$E$8*$G$8</f>
        <v>9.1886527503936156E-4</v>
      </c>
      <c r="K8" s="115">
        <f>$E$8*$H$8</f>
        <v>4.3459844089699525E-4</v>
      </c>
      <c r="L8" s="115">
        <f>$E$8*$I$8</f>
        <v>6.5810621050116426E-5</v>
      </c>
    </row>
    <row r="9" spans="1:12" x14ac:dyDescent="0.25">
      <c r="A9" s="255" t="s">
        <v>227</v>
      </c>
      <c r="B9" s="255"/>
      <c r="C9" s="255"/>
      <c r="D9" s="255"/>
      <c r="E9" s="255"/>
      <c r="F9" s="255"/>
      <c r="G9" s="255"/>
      <c r="H9" s="255"/>
      <c r="I9" s="255"/>
      <c r="J9" s="58">
        <f>SUM(J6:J8)</f>
        <v>2.7565958251180847E-3</v>
      </c>
      <c r="K9" s="58">
        <f t="shared" ref="K9:L9" si="0">SUM(K6:K8)</f>
        <v>1.3037953226909859E-3</v>
      </c>
      <c r="L9" s="58">
        <f t="shared" si="0"/>
        <v>1.9743186315034929E-4</v>
      </c>
    </row>
    <row r="11" spans="1:12" x14ac:dyDescent="0.25">
      <c r="A11" s="236" t="s">
        <v>58</v>
      </c>
      <c r="B11" s="246"/>
      <c r="C11" s="247"/>
      <c r="D11" s="247"/>
      <c r="E11" s="247"/>
      <c r="F11" s="248"/>
      <c r="G11" s="71"/>
    </row>
    <row r="12" spans="1:12" x14ac:dyDescent="0.25">
      <c r="A12" s="236"/>
      <c r="B12" s="249"/>
      <c r="C12" s="250"/>
      <c r="D12" s="250"/>
      <c r="E12" s="250"/>
      <c r="F12" s="251"/>
      <c r="G12" s="71"/>
    </row>
    <row r="13" spans="1:12" x14ac:dyDescent="0.25">
      <c r="A13" s="236"/>
      <c r="B13" s="249"/>
      <c r="C13" s="250"/>
      <c r="D13" s="250"/>
      <c r="E13" s="250"/>
      <c r="F13" s="251"/>
      <c r="G13" s="71"/>
    </row>
    <row r="14" spans="1:12" x14ac:dyDescent="0.25">
      <c r="A14" s="236"/>
      <c r="B14" s="249"/>
      <c r="C14" s="250"/>
      <c r="D14" s="250"/>
      <c r="E14" s="250"/>
      <c r="F14" s="251"/>
      <c r="G14" s="71"/>
    </row>
    <row r="15" spans="1:12" x14ac:dyDescent="0.25">
      <c r="A15" s="236"/>
      <c r="B15" s="252"/>
      <c r="C15" s="253"/>
      <c r="D15" s="253"/>
      <c r="E15" s="253"/>
      <c r="F15" s="254"/>
    </row>
    <row r="16" spans="1:12" ht="15" customHeight="1" x14ac:dyDescent="0.25">
      <c r="A16" s="236"/>
      <c r="B16" s="237" t="s">
        <v>270</v>
      </c>
      <c r="C16" s="238"/>
      <c r="D16" s="238"/>
      <c r="E16" s="238"/>
      <c r="F16" s="239"/>
    </row>
    <row r="17" spans="1:8" x14ac:dyDescent="0.25">
      <c r="A17" s="236"/>
      <c r="B17" s="240"/>
      <c r="C17" s="241"/>
      <c r="D17" s="241"/>
      <c r="E17" s="241"/>
      <c r="F17" s="242"/>
    </row>
    <row r="18" spans="1:8" x14ac:dyDescent="0.25">
      <c r="A18" s="236"/>
      <c r="B18" s="240"/>
      <c r="C18" s="241"/>
      <c r="D18" s="241"/>
      <c r="E18" s="241"/>
      <c r="F18" s="242"/>
      <c r="G18" s="71"/>
      <c r="H18" s="110"/>
    </row>
    <row r="19" spans="1:8" x14ac:dyDescent="0.25">
      <c r="A19" s="236"/>
      <c r="B19" s="240"/>
      <c r="C19" s="241"/>
      <c r="D19" s="241"/>
      <c r="E19" s="241"/>
      <c r="F19" s="242"/>
    </row>
    <row r="20" spans="1:8" x14ac:dyDescent="0.25">
      <c r="A20" s="236"/>
      <c r="B20" s="240"/>
      <c r="C20" s="241"/>
      <c r="D20" s="241"/>
      <c r="E20" s="241"/>
      <c r="F20" s="242"/>
    </row>
    <row r="21" spans="1:8" x14ac:dyDescent="0.25">
      <c r="A21" s="236"/>
      <c r="B21" s="243"/>
      <c r="C21" s="244"/>
      <c r="D21" s="244"/>
      <c r="E21" s="244"/>
      <c r="F21" s="245"/>
    </row>
    <row r="22" spans="1:8" x14ac:dyDescent="0.25">
      <c r="B22" s="72"/>
      <c r="C22" s="72"/>
      <c r="D22" s="72"/>
      <c r="E22" s="72"/>
      <c r="F22" s="73"/>
    </row>
  </sheetData>
  <sheetProtection password="B056" sheet="1" objects="1" scenarios="1"/>
  <mergeCells count="12">
    <mergeCell ref="A11:A21"/>
    <mergeCell ref="B16:F21"/>
    <mergeCell ref="B11:F15"/>
    <mergeCell ref="D4:D5"/>
    <mergeCell ref="J4:L4"/>
    <mergeCell ref="G4:I4"/>
    <mergeCell ref="A4:A5"/>
    <mergeCell ref="E4:E5"/>
    <mergeCell ref="F4:F5"/>
    <mergeCell ref="A9:I9"/>
    <mergeCell ref="B4:B5"/>
    <mergeCell ref="C4:C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2"/>
  <sheetViews>
    <sheetView workbookViewId="0">
      <selection activeCell="D14" sqref="D14"/>
    </sheetView>
  </sheetViews>
  <sheetFormatPr defaultRowHeight="15" customHeight="1" x14ac:dyDescent="0.2"/>
  <cols>
    <col min="1" max="1" width="31.42578125" style="1" customWidth="1"/>
    <col min="2" max="2" width="13.85546875" style="1" bestFit="1" customWidth="1"/>
    <col min="3" max="3" width="12.85546875" style="1" customWidth="1"/>
    <col min="4" max="4" width="15.28515625" style="1" bestFit="1" customWidth="1"/>
    <col min="5" max="5" width="12.85546875" style="1" customWidth="1"/>
    <col min="6" max="6" width="13.140625" style="1" customWidth="1"/>
    <col min="7" max="7" width="9.140625" style="1"/>
    <col min="8" max="8" width="13.28515625" style="1" customWidth="1"/>
    <col min="9" max="9" width="11.28515625" style="1" customWidth="1"/>
    <col min="10" max="14" width="9.140625" style="1"/>
    <col min="15" max="15" width="17.28515625" style="1" customWidth="1"/>
    <col min="16" max="19" width="10.7109375" style="1" customWidth="1"/>
    <col min="20" max="20" width="10.7109375" style="33" customWidth="1"/>
    <col min="21" max="28" width="10.7109375" style="1" customWidth="1"/>
    <col min="29" max="30" width="9.140625" style="1"/>
    <col min="31" max="31" width="10.42578125" style="1" bestFit="1" customWidth="1"/>
    <col min="32" max="16384" width="9.140625" style="1"/>
  </cols>
  <sheetData>
    <row r="1" spans="1:28" s="33" customFormat="1" ht="15" customHeight="1" x14ac:dyDescent="0.2">
      <c r="A1" s="3" t="s">
        <v>253</v>
      </c>
      <c r="B1" s="34">
        <f>(((9+19)/2)+((9+16)/2))/2</f>
        <v>13.25</v>
      </c>
    </row>
    <row r="2" spans="1:28" s="33" customFormat="1" ht="15" customHeight="1" x14ac:dyDescent="0.2">
      <c r="A2" s="3" t="s">
        <v>254</v>
      </c>
      <c r="B2" s="74">
        <v>2</v>
      </c>
    </row>
    <row r="3" spans="1:28" s="33" customFormat="1" ht="15" customHeight="1" x14ac:dyDescent="0.2">
      <c r="A3" s="3" t="s">
        <v>310</v>
      </c>
      <c r="B3" s="116">
        <f>Dados!B16</f>
        <v>36</v>
      </c>
    </row>
    <row r="4" spans="1:28" s="33" customFormat="1" ht="15" customHeight="1" x14ac:dyDescent="0.2">
      <c r="A4" s="3" t="s">
        <v>311</v>
      </c>
      <c r="B4" s="116">
        <f>Dados!B17</f>
        <v>100</v>
      </c>
    </row>
    <row r="5" spans="1:28" s="33" customFormat="1" ht="15" customHeight="1" x14ac:dyDescent="0.2">
      <c r="A5" s="4"/>
      <c r="B5" s="63"/>
    </row>
    <row r="6" spans="1:28" s="33" customFormat="1" ht="15" customHeight="1" x14ac:dyDescent="0.2">
      <c r="A6" s="3" t="s">
        <v>298</v>
      </c>
      <c r="H6" s="35"/>
      <c r="I6" s="35"/>
      <c r="J6" s="35"/>
      <c r="K6" s="35"/>
      <c r="L6" s="35"/>
      <c r="M6" s="35"/>
    </row>
    <row r="7" spans="1:28" ht="24" customHeight="1" x14ac:dyDescent="0.2">
      <c r="A7" s="256" t="s">
        <v>114</v>
      </c>
      <c r="B7" s="256" t="s">
        <v>115</v>
      </c>
      <c r="C7" s="224" t="s">
        <v>199</v>
      </c>
      <c r="D7" s="224" t="s">
        <v>200</v>
      </c>
      <c r="E7" s="256" t="s">
        <v>116</v>
      </c>
      <c r="F7" s="235" t="s">
        <v>139</v>
      </c>
      <c r="G7" s="257" t="s">
        <v>117</v>
      </c>
      <c r="H7" s="256" t="s">
        <v>121</v>
      </c>
      <c r="I7" s="256"/>
      <c r="J7" s="256"/>
      <c r="K7" s="256"/>
      <c r="L7" s="256"/>
      <c r="M7" s="256"/>
      <c r="N7" s="256"/>
      <c r="O7" s="41" t="s">
        <v>261</v>
      </c>
      <c r="P7" s="257" t="s">
        <v>262</v>
      </c>
      <c r="Q7" s="258"/>
      <c r="R7" s="259"/>
      <c r="S7" s="257" t="s">
        <v>263</v>
      </c>
      <c r="T7" s="258"/>
      <c r="U7" s="259"/>
      <c r="V7" s="260" t="s">
        <v>49</v>
      </c>
      <c r="W7" s="260"/>
      <c r="X7" s="260"/>
      <c r="Y7" s="260"/>
      <c r="Z7" s="260"/>
      <c r="AA7" s="260"/>
      <c r="AB7" s="260"/>
    </row>
    <row r="8" spans="1:28" ht="18" customHeight="1" x14ac:dyDescent="0.2">
      <c r="A8" s="256"/>
      <c r="B8" s="256"/>
      <c r="C8" s="224"/>
      <c r="D8" s="224"/>
      <c r="E8" s="256"/>
      <c r="F8" s="229"/>
      <c r="G8" s="257"/>
      <c r="H8" s="5" t="s">
        <v>50</v>
      </c>
      <c r="I8" s="5" t="s">
        <v>122</v>
      </c>
      <c r="J8" s="5" t="s">
        <v>123</v>
      </c>
      <c r="K8" s="5" t="s">
        <v>52</v>
      </c>
      <c r="L8" s="5" t="s">
        <v>51</v>
      </c>
      <c r="M8" s="5" t="s">
        <v>53</v>
      </c>
      <c r="N8" s="5" t="s">
        <v>313</v>
      </c>
      <c r="O8" s="42" t="s">
        <v>313</v>
      </c>
      <c r="P8" s="5" t="s">
        <v>50</v>
      </c>
      <c r="Q8" s="5" t="s">
        <v>122</v>
      </c>
      <c r="R8" s="5" t="s">
        <v>123</v>
      </c>
      <c r="S8" s="5" t="s">
        <v>50</v>
      </c>
      <c r="T8" s="5" t="s">
        <v>122</v>
      </c>
      <c r="U8" s="5" t="s">
        <v>123</v>
      </c>
      <c r="V8" s="5" t="s">
        <v>50</v>
      </c>
      <c r="W8" s="5" t="s">
        <v>122</v>
      </c>
      <c r="X8" s="5" t="s">
        <v>123</v>
      </c>
      <c r="Y8" s="5" t="s">
        <v>52</v>
      </c>
      <c r="Z8" s="5" t="s">
        <v>51</v>
      </c>
      <c r="AA8" s="5" t="s">
        <v>53</v>
      </c>
      <c r="AB8" s="5" t="s">
        <v>313</v>
      </c>
    </row>
    <row r="9" spans="1:28" ht="15" customHeight="1" x14ac:dyDescent="0.2">
      <c r="A9" s="4" t="s">
        <v>138</v>
      </c>
      <c r="B9" s="34" t="s">
        <v>195</v>
      </c>
      <c r="C9" s="36">
        <v>-20.242398000000001</v>
      </c>
      <c r="D9" s="36">
        <v>-40.376873000000003</v>
      </c>
      <c r="E9" s="261">
        <f>SUM(Dados!I24:I28)</f>
        <v>2509.1999999999998</v>
      </c>
      <c r="F9" s="65">
        <f>($B$3*0.5)/24</f>
        <v>0.75</v>
      </c>
      <c r="G9" s="19">
        <f>(2*($E9*$F9))/1000</f>
        <v>3.7637999999999998</v>
      </c>
      <c r="H9" s="78">
        <f>'FE-Vias'!B$43/1000</f>
        <v>4.3301894442712283E-6</v>
      </c>
      <c r="I9" s="78">
        <f>'FE-Vias'!C$43/1000</f>
        <v>4.3301894442712283E-6</v>
      </c>
      <c r="J9" s="78">
        <f>'FE-Vias'!D$43/1000</f>
        <v>4.3301894442712283E-6</v>
      </c>
      <c r="K9" s="67">
        <f>'FE-Vias'!E$43/1000</f>
        <v>7.6881387189536702E-4</v>
      </c>
      <c r="L9" s="67">
        <f>'FE-Vias'!F$43/1000</f>
        <v>1.2085926243704635E-5</v>
      </c>
      <c r="M9" s="67">
        <f>'FE-Vias'!G$43/1000</f>
        <v>8.9869997362060047E-4</v>
      </c>
      <c r="N9" s="67">
        <f>'FE-Vias'!H$43/1000</f>
        <v>7.4972188096282641E-4</v>
      </c>
      <c r="O9" s="67">
        <f>'FE-Vias'!I$43/1000</f>
        <v>7.3569432736630302E-5</v>
      </c>
      <c r="P9" s="67">
        <f>'FE-Vias'!J$43/1000</f>
        <v>1.8200043257992801E-5</v>
      </c>
      <c r="Q9" s="67">
        <f>'FE-Vias'!K$43/1000</f>
        <v>1.3800032800016518E-5</v>
      </c>
      <c r="R9" s="67">
        <f>'FE-Vias'!L$43/1000</f>
        <v>7.4000175884146558E-6</v>
      </c>
      <c r="S9" s="67">
        <f>'FE-Vias'!M$43/1000</f>
        <v>1.5000035652191864E-5</v>
      </c>
      <c r="T9" s="67">
        <f>'FE-Vias'!N$43/1000</f>
        <v>7.5000178260959318E-6</v>
      </c>
      <c r="U9" s="67">
        <f>'FE-Vias'!O$43/1000</f>
        <v>4.1000097449324447E-6</v>
      </c>
      <c r="V9" s="61">
        <f>($H9*$G9)+($P9*$G9)+($S9*$G9)</f>
        <v>1.4125642403250109E-4</v>
      </c>
      <c r="W9" s="61">
        <f>($I9*$G9)+($Q9*$G9)+($T9*$G9)</f>
        <v>9.6467097576910076E-5</v>
      </c>
      <c r="X9" s="61">
        <f>($J9*$G9)+($R9*$G9)+($U9*$G9)</f>
        <v>5.9581769907599856E-5</v>
      </c>
      <c r="Y9" s="61">
        <f>$K9*$G9</f>
        <v>2.893661651039782E-3</v>
      </c>
      <c r="Z9" s="61">
        <f>$L9*$G9</f>
        <v>4.5489009196055502E-5</v>
      </c>
      <c r="AA9" s="61">
        <f>$M9*$G9</f>
        <v>3.3825269607132159E-3</v>
      </c>
      <c r="AB9" s="61">
        <f>($N9*$O9)*$G9</f>
        <v>2.0759846186372869E-7</v>
      </c>
    </row>
    <row r="10" spans="1:28" ht="15" customHeight="1" x14ac:dyDescent="0.2">
      <c r="A10" s="4" t="s">
        <v>113</v>
      </c>
      <c r="B10" s="34" t="s">
        <v>195</v>
      </c>
      <c r="C10" s="36">
        <v>-20.242398000000001</v>
      </c>
      <c r="D10" s="36">
        <v>-40.376873000000003</v>
      </c>
      <c r="E10" s="262"/>
      <c r="F10" s="65">
        <f>($B$4*0.2)/24</f>
        <v>0.83333333333333337</v>
      </c>
      <c r="G10" s="19">
        <f>(2*($E9*$F10))/1000</f>
        <v>4.1820000000000004</v>
      </c>
      <c r="H10" s="67">
        <f>'FE-Vias'!B$42/1000</f>
        <v>1.7489827604766657E-4</v>
      </c>
      <c r="I10" s="67">
        <f>'FE-Vias'!C$42/1000</f>
        <v>1.7489827604766657E-4</v>
      </c>
      <c r="J10" s="67">
        <f>'FE-Vias'!D$42/1000</f>
        <v>1.7489827604766657E-4</v>
      </c>
      <c r="K10" s="67">
        <f>'FE-Vias'!E$42/1000</f>
        <v>5.4345140567386742E-3</v>
      </c>
      <c r="L10" s="78">
        <f>'FE-Vias'!F$42/1000</f>
        <v>2.1032135261668511E-4</v>
      </c>
      <c r="M10" s="67">
        <f>'FE-Vias'!G$42/1000</f>
        <v>1.0383730075038094E-3</v>
      </c>
      <c r="N10" s="67">
        <f>'FE-Vias'!H$42/1000</f>
        <v>2.4766340643796463E-4</v>
      </c>
      <c r="O10" s="67" t="s">
        <v>140</v>
      </c>
      <c r="P10" s="67">
        <f>'FE-Vias'!J$42/1000</f>
        <v>6.7633804693835879E-5</v>
      </c>
      <c r="Q10" s="67">
        <f>'FE-Vias'!K$42/1000</f>
        <v>5.1332470377789449E-5</v>
      </c>
      <c r="R10" s="67">
        <f>'FE-Vias'!L$42/1000</f>
        <v>2.7520218195668728E-5</v>
      </c>
      <c r="S10" s="67">
        <f>'FE-Vias'!M$42/1000</f>
        <v>6.3494136177677979E-5</v>
      </c>
      <c r="T10" s="67">
        <f>'FE-Vias'!N$42/1000</f>
        <v>3.1747068088838989E-5</v>
      </c>
      <c r="U10" s="67">
        <f>'FE-Vias'!O$42/1000</f>
        <v>1.7137767759244576E-5</v>
      </c>
      <c r="V10" s="61">
        <f>($H10*$G10)+($P10*$G10)+($S10*$G10)</f>
        <v>1.2798016391560127E-3</v>
      </c>
      <c r="W10" s="61">
        <f>($I10*$G10)+($Q10*$G10)+($T10*$G10)</f>
        <v>1.0788632202987818E-3</v>
      </c>
      <c r="X10" s="61">
        <f>($J10*$G10)+($R10*$G10)+($U10*$G10)</f>
        <v>9.1818428769478906E-4</v>
      </c>
      <c r="Y10" s="61">
        <f>$K10*$G10</f>
        <v>2.2727137785281137E-2</v>
      </c>
      <c r="Z10" s="61">
        <f>$L10*$G10</f>
        <v>8.7956389664297719E-4</v>
      </c>
      <c r="AA10" s="61">
        <f>$M10*$G10</f>
        <v>4.3424759173809309E-3</v>
      </c>
      <c r="AB10" s="61">
        <f>$N10*$G10</f>
        <v>1.0357283657235683E-3</v>
      </c>
    </row>
    <row r="11" spans="1:28" ht="15" customHeight="1" x14ac:dyDescent="0.2">
      <c r="A11" s="4" t="s">
        <v>138</v>
      </c>
      <c r="B11" s="34" t="s">
        <v>196</v>
      </c>
      <c r="C11" s="36">
        <v>-20.242398000000001</v>
      </c>
      <c r="D11" s="36">
        <v>-40.376873000000003</v>
      </c>
      <c r="E11" s="262">
        <f>SUM(Dados!I29:I35)</f>
        <v>2096.9</v>
      </c>
      <c r="F11" s="65">
        <f>($B$3*0.5)/24</f>
        <v>0.75</v>
      </c>
      <c r="G11" s="19">
        <f>(2*($E11*$F11))/1000</f>
        <v>3.1453500000000005</v>
      </c>
      <c r="H11" s="78">
        <f>'FE-Vias'!B$43/1000</f>
        <v>4.3301894442712283E-6</v>
      </c>
      <c r="I11" s="78">
        <f>'FE-Vias'!C$43/1000</f>
        <v>4.3301894442712283E-6</v>
      </c>
      <c r="J11" s="78">
        <f>'FE-Vias'!D$43/1000</f>
        <v>4.3301894442712283E-6</v>
      </c>
      <c r="K11" s="67">
        <f>'FE-Vias'!E$43/1000</f>
        <v>7.6881387189536702E-4</v>
      </c>
      <c r="L11" s="67">
        <f>'FE-Vias'!F$43/1000</f>
        <v>1.2085926243704635E-5</v>
      </c>
      <c r="M11" s="67">
        <f>'FE-Vias'!G$43/1000</f>
        <v>8.9869997362060047E-4</v>
      </c>
      <c r="N11" s="67">
        <f>'FE-Vias'!H$43/1000</f>
        <v>7.4972188096282641E-4</v>
      </c>
      <c r="O11" s="67">
        <f>'FE-Vias'!I$43/1000</f>
        <v>7.3569432736630302E-5</v>
      </c>
      <c r="P11" s="34" t="s">
        <v>140</v>
      </c>
      <c r="Q11" s="34" t="s">
        <v>140</v>
      </c>
      <c r="R11" s="34" t="s">
        <v>140</v>
      </c>
      <c r="S11" s="34" t="s">
        <v>140</v>
      </c>
      <c r="T11" s="34" t="s">
        <v>140</v>
      </c>
      <c r="U11" s="34" t="s">
        <v>140</v>
      </c>
      <c r="V11" s="61">
        <f>($H11*$G11)</f>
        <v>1.3619961368538511E-5</v>
      </c>
      <c r="W11" s="61">
        <f>($I11*$G11)</f>
        <v>1.3619961368538511E-5</v>
      </c>
      <c r="X11" s="61">
        <f>($J11*$G11)</f>
        <v>1.3619961368538511E-5</v>
      </c>
      <c r="Y11" s="61">
        <f>$K11*$G11</f>
        <v>2.4181887119660932E-3</v>
      </c>
      <c r="Z11" s="61">
        <f>$L11*$G11</f>
        <v>3.801446811063638E-5</v>
      </c>
      <c r="AA11" s="61">
        <f>$M11*$G11</f>
        <v>2.8267259620275561E-3</v>
      </c>
      <c r="AB11" s="61">
        <f>($N11*$O11)*$G9</f>
        <v>2.0759846186372869E-7</v>
      </c>
    </row>
    <row r="12" spans="1:28" ht="15" customHeight="1" x14ac:dyDescent="0.2">
      <c r="A12" s="4" t="s">
        <v>113</v>
      </c>
      <c r="B12" s="34" t="s">
        <v>196</v>
      </c>
      <c r="C12" s="36">
        <v>-20.242398000000001</v>
      </c>
      <c r="D12" s="36">
        <v>-40.376873000000003</v>
      </c>
      <c r="E12" s="263"/>
      <c r="F12" s="65">
        <f>($B$4*0.8)/24</f>
        <v>3.3333333333333335</v>
      </c>
      <c r="G12" s="19">
        <f>(2*($E11*$F12))/1000</f>
        <v>13.979333333333335</v>
      </c>
      <c r="H12" s="128">
        <f>'FE-Vias'!B$42/1000</f>
        <v>1.7489827604766657E-4</v>
      </c>
      <c r="I12" s="128">
        <f>'FE-Vias'!C$42/1000</f>
        <v>1.7489827604766657E-4</v>
      </c>
      <c r="J12" s="128">
        <f>'FE-Vias'!D$42/1000</f>
        <v>1.7489827604766657E-4</v>
      </c>
      <c r="K12" s="128">
        <f>'FE-Vias'!E$42/1000</f>
        <v>5.4345140567386742E-3</v>
      </c>
      <c r="L12" s="129">
        <f>'FE-Vias'!F$42/1000</f>
        <v>2.1032135261668511E-4</v>
      </c>
      <c r="M12" s="128">
        <f>'FE-Vias'!G$42/1000</f>
        <v>1.0383730075038094E-3</v>
      </c>
      <c r="N12" s="128">
        <f>'FE-Vias'!H$42/1000</f>
        <v>2.4766340643796463E-4</v>
      </c>
      <c r="O12" s="68" t="s">
        <v>140</v>
      </c>
      <c r="P12" s="34" t="s">
        <v>140</v>
      </c>
      <c r="Q12" s="34" t="s">
        <v>140</v>
      </c>
      <c r="R12" s="34" t="s">
        <v>140</v>
      </c>
      <c r="S12" s="34" t="s">
        <v>140</v>
      </c>
      <c r="T12" s="34" t="s">
        <v>140</v>
      </c>
      <c r="U12" s="34" t="s">
        <v>140</v>
      </c>
      <c r="V12" s="61">
        <f>($H12*$G12)</f>
        <v>2.4449613002956805E-3</v>
      </c>
      <c r="W12" s="61">
        <f>($I12*$G12)</f>
        <v>2.4449613002956805E-3</v>
      </c>
      <c r="X12" s="61">
        <f>($J12*$G12)</f>
        <v>2.4449613002956805E-3</v>
      </c>
      <c r="Y12" s="61">
        <f>$K12*$G12</f>
        <v>7.5970883503835518E-2</v>
      </c>
      <c r="Z12" s="61">
        <f>$L12*$G12</f>
        <v>2.9401522953461804E-3</v>
      </c>
      <c r="AA12" s="61">
        <f>$M12*$G12</f>
        <v>1.4515762396231587E-2</v>
      </c>
      <c r="AB12" s="61">
        <f>$N12*$G12</f>
        <v>3.4621693130651205E-3</v>
      </c>
    </row>
    <row r="13" spans="1:28" ht="15" customHeight="1" x14ac:dyDescent="0.2">
      <c r="A13" s="181" t="s">
        <v>227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5"/>
      <c r="V13" s="130">
        <f>SUM(V9:V12)</f>
        <v>3.8796393248527331E-3</v>
      </c>
      <c r="W13" s="130">
        <f t="shared" ref="W13:AB13" si="0">SUM(W9:W12)</f>
        <v>3.6339115795399109E-3</v>
      </c>
      <c r="X13" s="130">
        <f t="shared" si="0"/>
        <v>3.4363473192666081E-3</v>
      </c>
      <c r="Y13" s="130">
        <f t="shared" si="0"/>
        <v>0.10400987165212253</v>
      </c>
      <c r="Z13" s="130">
        <f t="shared" si="0"/>
        <v>3.9032196692958495E-3</v>
      </c>
      <c r="AA13" s="130">
        <f t="shared" si="0"/>
        <v>2.5067491236353288E-2</v>
      </c>
      <c r="AB13" s="130">
        <f t="shared" si="0"/>
        <v>4.4983128757124166E-3</v>
      </c>
    </row>
    <row r="14" spans="1:28" s="35" customFormat="1" ht="15" customHeight="1" x14ac:dyDescent="0.2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3"/>
      <c r="W14" s="133"/>
      <c r="X14" s="133"/>
      <c r="Y14" s="133"/>
      <c r="Z14" s="133"/>
      <c r="AA14" s="133"/>
      <c r="AB14" s="133"/>
    </row>
    <row r="15" spans="1:28" s="60" customFormat="1" ht="15" customHeight="1" x14ac:dyDescent="0.25"/>
    <row r="16" spans="1:28" s="60" customFormat="1" ht="15" customHeight="1" x14ac:dyDescent="0.25">
      <c r="A16" s="60" t="s">
        <v>309</v>
      </c>
      <c r="B16" s="62">
        <f>((B1*B4)+(B2*B3))/(B3+B4)</f>
        <v>10.272058823529411</v>
      </c>
    </row>
    <row r="17" spans="1:14" s="60" customFormat="1" ht="15" customHeight="1" x14ac:dyDescent="0.25">
      <c r="A17" s="3" t="s">
        <v>255</v>
      </c>
      <c r="B17" s="34">
        <v>7.4</v>
      </c>
    </row>
    <row r="18" spans="1:14" s="60" customFormat="1" ht="15" customHeight="1" x14ac:dyDescent="0.2">
      <c r="A18" s="3" t="s">
        <v>256</v>
      </c>
      <c r="B18" s="34">
        <v>6.4</v>
      </c>
      <c r="J18" s="33"/>
      <c r="K18" s="33"/>
      <c r="L18" s="33"/>
    </row>
    <row r="19" spans="1:14" s="60" customFormat="1" ht="24.75" customHeight="1" x14ac:dyDescent="0.25">
      <c r="A19" s="256" t="s">
        <v>114</v>
      </c>
      <c r="B19" s="224" t="s">
        <v>199</v>
      </c>
      <c r="C19" s="224" t="s">
        <v>200</v>
      </c>
      <c r="D19" s="256" t="s">
        <v>116</v>
      </c>
      <c r="E19" s="235" t="s">
        <v>139</v>
      </c>
      <c r="F19" s="257" t="s">
        <v>117</v>
      </c>
      <c r="G19" s="256" t="s">
        <v>118</v>
      </c>
      <c r="H19" s="235" t="s">
        <v>119</v>
      </c>
      <c r="I19" s="257" t="s">
        <v>120</v>
      </c>
      <c r="J19" s="258"/>
      <c r="K19" s="259"/>
      <c r="L19" s="230" t="s">
        <v>49</v>
      </c>
      <c r="M19" s="231"/>
      <c r="N19" s="232"/>
    </row>
    <row r="20" spans="1:14" s="60" customFormat="1" ht="24" customHeight="1" x14ac:dyDescent="0.25">
      <c r="A20" s="256"/>
      <c r="B20" s="224"/>
      <c r="C20" s="224"/>
      <c r="D20" s="256"/>
      <c r="E20" s="229"/>
      <c r="F20" s="257"/>
      <c r="G20" s="256"/>
      <c r="H20" s="229"/>
      <c r="I20" s="124" t="s">
        <v>50</v>
      </c>
      <c r="J20" s="122" t="s">
        <v>122</v>
      </c>
      <c r="K20" s="122" t="s">
        <v>123</v>
      </c>
      <c r="L20" s="124" t="s">
        <v>50</v>
      </c>
      <c r="M20" s="122" t="s">
        <v>122</v>
      </c>
      <c r="N20" s="123" t="s">
        <v>123</v>
      </c>
    </row>
    <row r="21" spans="1:14" s="60" customFormat="1" ht="15" customHeight="1" x14ac:dyDescent="0.25">
      <c r="A21" s="4" t="s">
        <v>307</v>
      </c>
      <c r="B21" s="36">
        <v>-20.242398000000001</v>
      </c>
      <c r="C21" s="36">
        <v>-40.376873000000003</v>
      </c>
      <c r="D21" s="32">
        <f>SUM(Dados!$I$24:$I$28)</f>
        <v>2509.1999999999998</v>
      </c>
      <c r="E21" s="125">
        <f>SUM(F9:F10)</f>
        <v>1.5833333333333335</v>
      </c>
      <c r="F21" s="126">
        <f>(2*($E21*$D21))/1000</f>
        <v>7.9458000000000002</v>
      </c>
      <c r="G21" s="277" t="str">
        <f>Dados!$B$20</f>
        <v>Umectação</v>
      </c>
      <c r="H21" s="121">
        <v>55</v>
      </c>
      <c r="I21" s="62">
        <f>('FE-Vias'!$D$25*($B$17^0.91)*($B$16^1.02)/1000)*'FE-Vias'!$G$35</f>
        <v>0.20491208391956597</v>
      </c>
      <c r="J21" s="62">
        <f>('FE-Vias'!$C$25*($B$17^0.91)*($B$16^1.02)/1000)*'FE-Vias'!$G$35</f>
        <v>3.933296966877118E-2</v>
      </c>
      <c r="K21" s="77">
        <f>('FE-Vias'!$B$25*($B$17^0.91)*($B$16^1.02)/1000)*'FE-Vias'!$G$35</f>
        <v>9.5160410488962545E-3</v>
      </c>
      <c r="L21" s="62">
        <f>$F$21*$I$21*(1-$H$21/100)</f>
        <v>0.73268569638363923</v>
      </c>
      <c r="M21" s="62">
        <f>$F$21*$J$21*(1-$H$21/100)</f>
        <v>0.14063935967735491</v>
      </c>
      <c r="N21" s="62">
        <f>$F$21*$K$21*(1-$H$21/100)</f>
        <v>3.402565153484393E-2</v>
      </c>
    </row>
    <row r="22" spans="1:14" s="60" customFormat="1" ht="15" customHeight="1" x14ac:dyDescent="0.25">
      <c r="A22" s="4" t="s">
        <v>308</v>
      </c>
      <c r="B22" s="36">
        <v>-20.242398000000001</v>
      </c>
      <c r="C22" s="36">
        <v>-40.376873000000003</v>
      </c>
      <c r="D22" s="32">
        <f>SUM(Dados!$I$29:$I$35)</f>
        <v>2096.9</v>
      </c>
      <c r="E22" s="125">
        <f>SUM(F11:F12)</f>
        <v>4.0833333333333339</v>
      </c>
      <c r="F22" s="126">
        <f>(2*($E22*$D22))/1000</f>
        <v>17.124683333333337</v>
      </c>
      <c r="G22" s="278"/>
      <c r="H22" s="121">
        <v>55</v>
      </c>
      <c r="I22" s="127">
        <f>'FE-Vias'!$D$7*(($B$18/12)^'FE-Vias'!$D$8*(($B$16/3)^'FE-Vias'!$D$9*('FE-Vias'!$B$10/1000)*'FE-Vias'!$G$17))</f>
        <v>1.1577141925808154</v>
      </c>
      <c r="J22" s="127">
        <f>'FE-Vias'!$C$7*(($B$18/12)^'FE-Vias'!$C$8*(($B$16/3)^'FE-Vias'!$C$9*('FE-Vias'!$B$10/1000)*'FE-Vias'!$G$17))</f>
        <v>0.3125332887597338</v>
      </c>
      <c r="K22" s="127">
        <f>'FE-Vias'!$B$7*(($B$18/12)^'FE-Vias'!$B$8*(($B$16/3)^'FE-Vias'!$B$9*('FE-Vias'!$B$10/1000)*'FE-Vias'!$G$17))</f>
        <v>3.1253328875973381E-2</v>
      </c>
      <c r="L22" s="62">
        <f>$F$22*$I$22*(1-$H$22/100)</f>
        <v>8.9214700223034669</v>
      </c>
      <c r="M22" s="62">
        <f>$F$22*$J$22*(1-$H$22/100)</f>
        <v>2.4084151205110507</v>
      </c>
      <c r="N22" s="62">
        <f>$F$22*$K$22*(1-$H$22/100)</f>
        <v>0.24084151205110504</v>
      </c>
    </row>
    <row r="23" spans="1:14" s="33" customFormat="1" ht="15" customHeight="1" x14ac:dyDescent="0.2">
      <c r="A23" s="186" t="s">
        <v>227</v>
      </c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31">
        <f>SUM(L21:L22)</f>
        <v>9.6541557186871056</v>
      </c>
      <c r="M23" s="131">
        <f t="shared" ref="M23:N23" si="1">SUM(M21:M22)</f>
        <v>2.5490544801884054</v>
      </c>
      <c r="N23" s="131">
        <f t="shared" si="1"/>
        <v>0.27486716358594898</v>
      </c>
    </row>
    <row r="24" spans="1:14" s="60" customFormat="1" ht="15" customHeight="1" x14ac:dyDescent="0.25">
      <c r="A24" s="4"/>
      <c r="B24" s="36"/>
      <c r="C24" s="36"/>
      <c r="D24" s="32"/>
      <c r="E24" s="34"/>
      <c r="F24" s="34"/>
      <c r="G24" s="21"/>
      <c r="H24" s="21"/>
      <c r="I24" s="21"/>
    </row>
    <row r="25" spans="1:14" ht="15" customHeight="1" x14ac:dyDescent="0.2">
      <c r="A25" s="264" t="s">
        <v>58</v>
      </c>
      <c r="B25" s="265"/>
      <c r="C25" s="266"/>
      <c r="D25" s="266"/>
      <c r="E25" s="267"/>
      <c r="H25" s="4"/>
    </row>
    <row r="26" spans="1:14" ht="15" customHeight="1" x14ac:dyDescent="0.2">
      <c r="A26" s="148"/>
      <c r="B26" s="268"/>
      <c r="C26" s="269"/>
      <c r="D26" s="269"/>
      <c r="E26" s="270"/>
    </row>
    <row r="27" spans="1:14" ht="15" customHeight="1" x14ac:dyDescent="0.2">
      <c r="A27" s="148"/>
      <c r="B27" s="271"/>
      <c r="C27" s="272"/>
      <c r="D27" s="272"/>
      <c r="E27" s="273"/>
    </row>
    <row r="28" spans="1:14" ht="15" customHeight="1" x14ac:dyDescent="0.2">
      <c r="A28" s="148"/>
      <c r="B28" s="204" t="s">
        <v>267</v>
      </c>
      <c r="C28" s="205"/>
      <c r="D28" s="205"/>
      <c r="E28" s="274"/>
    </row>
    <row r="29" spans="1:14" ht="15" customHeight="1" x14ac:dyDescent="0.2">
      <c r="A29" s="148"/>
      <c r="B29" s="206"/>
      <c r="C29" s="207"/>
      <c r="D29" s="207"/>
      <c r="E29" s="275"/>
    </row>
    <row r="30" spans="1:14" ht="15" customHeight="1" x14ac:dyDescent="0.2">
      <c r="A30" s="148"/>
      <c r="B30" s="206"/>
      <c r="C30" s="207"/>
      <c r="D30" s="207"/>
      <c r="E30" s="275"/>
    </row>
    <row r="31" spans="1:14" ht="15" customHeight="1" x14ac:dyDescent="0.2">
      <c r="A31" s="148"/>
      <c r="B31" s="206"/>
      <c r="C31" s="207"/>
      <c r="D31" s="207"/>
      <c r="E31" s="275"/>
    </row>
    <row r="32" spans="1:14" ht="15" customHeight="1" x14ac:dyDescent="0.2">
      <c r="A32" s="149"/>
      <c r="B32" s="208"/>
      <c r="C32" s="209"/>
      <c r="D32" s="209"/>
      <c r="E32" s="276"/>
    </row>
    <row r="34" spans="1:4" ht="15" customHeight="1" x14ac:dyDescent="0.2">
      <c r="A34" s="264" t="s">
        <v>269</v>
      </c>
      <c r="B34" s="190"/>
      <c r="C34" s="190"/>
      <c r="D34" s="190"/>
    </row>
    <row r="35" spans="1:4" ht="15" customHeight="1" x14ac:dyDescent="0.2">
      <c r="A35" s="148"/>
      <c r="B35" s="190"/>
      <c r="C35" s="190"/>
      <c r="D35" s="190"/>
    </row>
    <row r="36" spans="1:4" ht="15" customHeight="1" x14ac:dyDescent="0.2">
      <c r="A36" s="148"/>
      <c r="B36" s="190"/>
      <c r="C36" s="190"/>
      <c r="D36" s="190"/>
    </row>
    <row r="37" spans="1:4" ht="15" customHeight="1" x14ac:dyDescent="0.2">
      <c r="A37" s="148"/>
      <c r="B37" s="187" t="s">
        <v>268</v>
      </c>
      <c r="C37" s="187"/>
      <c r="D37" s="187"/>
    </row>
    <row r="38" spans="1:4" ht="15" customHeight="1" x14ac:dyDescent="0.2">
      <c r="A38" s="148"/>
      <c r="B38" s="187"/>
      <c r="C38" s="187"/>
      <c r="D38" s="187"/>
    </row>
    <row r="39" spans="1:4" ht="15" customHeight="1" x14ac:dyDescent="0.2">
      <c r="A39" s="148"/>
      <c r="B39" s="187"/>
      <c r="C39" s="187"/>
      <c r="D39" s="187"/>
    </row>
    <row r="40" spans="1:4" ht="15" customHeight="1" x14ac:dyDescent="0.2">
      <c r="A40" s="148"/>
      <c r="B40" s="187"/>
      <c r="C40" s="187"/>
      <c r="D40" s="187"/>
    </row>
    <row r="41" spans="1:4" ht="15" customHeight="1" x14ac:dyDescent="0.2">
      <c r="A41" s="149"/>
      <c r="B41" s="187"/>
      <c r="C41" s="187"/>
      <c r="D41" s="187"/>
    </row>
    <row r="52" spans="6:6" ht="15" customHeight="1" x14ac:dyDescent="0.2">
      <c r="F52" s="25"/>
    </row>
  </sheetData>
  <sheetProtection password="B056" sheet="1" objects="1" scenarios="1"/>
  <mergeCells count="32">
    <mergeCell ref="H19:H20"/>
    <mergeCell ref="I19:K19"/>
    <mergeCell ref="L19:N19"/>
    <mergeCell ref="A23:K23"/>
    <mergeCell ref="A25:A32"/>
    <mergeCell ref="B25:E27"/>
    <mergeCell ref="B28:E32"/>
    <mergeCell ref="G19:G20"/>
    <mergeCell ref="G21:G22"/>
    <mergeCell ref="A19:A20"/>
    <mergeCell ref="D19:D20"/>
    <mergeCell ref="E19:E20"/>
    <mergeCell ref="F19:F20"/>
    <mergeCell ref="A34:A41"/>
    <mergeCell ref="B34:D36"/>
    <mergeCell ref="B37:D41"/>
    <mergeCell ref="F7:F8"/>
    <mergeCell ref="A7:A8"/>
    <mergeCell ref="B7:B8"/>
    <mergeCell ref="E7:E8"/>
    <mergeCell ref="B19:B20"/>
    <mergeCell ref="C19:C20"/>
    <mergeCell ref="H7:N7"/>
    <mergeCell ref="P7:R7"/>
    <mergeCell ref="S7:U7"/>
    <mergeCell ref="A13:U13"/>
    <mergeCell ref="V7:AB7"/>
    <mergeCell ref="G7:G8"/>
    <mergeCell ref="E9:E10"/>
    <mergeCell ref="E11:E12"/>
    <mergeCell ref="C7:C8"/>
    <mergeCell ref="D7:D8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H10:N10" formula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8"/>
  <sheetViews>
    <sheetView topLeftCell="C1" workbookViewId="0">
      <selection activeCell="O27" sqref="O27"/>
    </sheetView>
  </sheetViews>
  <sheetFormatPr defaultRowHeight="15" customHeight="1" x14ac:dyDescent="0.2"/>
  <cols>
    <col min="1" max="1" width="24.7109375" style="1" bestFit="1" customWidth="1"/>
    <col min="2" max="2" width="9.140625" style="1"/>
    <col min="3" max="3" width="11.28515625" style="1" bestFit="1" customWidth="1"/>
    <col min="4" max="4" width="33" style="1" customWidth="1"/>
    <col min="5" max="5" width="9.5703125" style="1" customWidth="1"/>
    <col min="6" max="6" width="11.7109375" style="1" customWidth="1"/>
    <col min="7" max="7" width="13.28515625" style="1" customWidth="1"/>
    <col min="8" max="9" width="11.28515625" style="1" customWidth="1"/>
    <col min="10" max="16384" width="9.140625" style="1"/>
  </cols>
  <sheetData>
    <row r="1" spans="1:22" s="33" customFormat="1" ht="15" customHeight="1" x14ac:dyDescent="0.2">
      <c r="A1" s="3" t="s">
        <v>298</v>
      </c>
    </row>
    <row r="2" spans="1:22" ht="23.25" customHeight="1" x14ac:dyDescent="0.2">
      <c r="A2" s="282" t="s">
        <v>44</v>
      </c>
      <c r="B2" s="282" t="s">
        <v>14</v>
      </c>
      <c r="C2" s="282" t="s">
        <v>252</v>
      </c>
      <c r="D2" s="282" t="s">
        <v>45</v>
      </c>
      <c r="E2" s="224" t="s">
        <v>199</v>
      </c>
      <c r="F2" s="224" t="s">
        <v>200</v>
      </c>
      <c r="G2" s="282" t="s">
        <v>46</v>
      </c>
      <c r="H2" s="282" t="s">
        <v>251</v>
      </c>
      <c r="I2" s="282" t="s">
        <v>62</v>
      </c>
      <c r="J2" s="282" t="s">
        <v>47</v>
      </c>
      <c r="K2" s="285" t="s">
        <v>48</v>
      </c>
      <c r="L2" s="286"/>
      <c r="M2" s="286"/>
      <c r="N2" s="286"/>
      <c r="O2" s="287"/>
      <c r="P2" s="279" t="s">
        <v>49</v>
      </c>
      <c r="Q2" s="280"/>
      <c r="R2" s="280"/>
      <c r="S2" s="280"/>
      <c r="T2" s="280"/>
      <c r="U2" s="280"/>
      <c r="V2" s="281"/>
    </row>
    <row r="3" spans="1:22" ht="15.75" customHeight="1" x14ac:dyDescent="0.2">
      <c r="A3" s="284"/>
      <c r="B3" s="284"/>
      <c r="C3" s="284"/>
      <c r="D3" s="284"/>
      <c r="E3" s="224"/>
      <c r="F3" s="224"/>
      <c r="G3" s="284"/>
      <c r="H3" s="283"/>
      <c r="I3" s="284"/>
      <c r="J3" s="284"/>
      <c r="K3" s="8" t="s">
        <v>50</v>
      </c>
      <c r="L3" s="9" t="s">
        <v>52</v>
      </c>
      <c r="M3" s="9" t="s">
        <v>51</v>
      </c>
      <c r="N3" s="9" t="s">
        <v>53</v>
      </c>
      <c r="O3" s="9" t="s">
        <v>313</v>
      </c>
      <c r="P3" s="104" t="s">
        <v>50</v>
      </c>
      <c r="Q3" s="104" t="s">
        <v>122</v>
      </c>
      <c r="R3" s="9" t="s">
        <v>123</v>
      </c>
      <c r="S3" s="104" t="s">
        <v>52</v>
      </c>
      <c r="T3" s="104" t="s">
        <v>51</v>
      </c>
      <c r="U3" s="104" t="s">
        <v>53</v>
      </c>
      <c r="V3" s="104" t="s">
        <v>313</v>
      </c>
    </row>
    <row r="4" spans="1:22" ht="15" customHeight="1" x14ac:dyDescent="0.2">
      <c r="A4" s="16" t="s">
        <v>19</v>
      </c>
      <c r="B4" s="29" t="s">
        <v>20</v>
      </c>
      <c r="C4" s="79">
        <f>67*1.34102</f>
        <v>89.848340000000007</v>
      </c>
      <c r="D4" s="34" t="s">
        <v>222</v>
      </c>
      <c r="E4" s="36">
        <v>-20.240155000000001</v>
      </c>
      <c r="F4" s="36">
        <v>-40.386515000000003</v>
      </c>
      <c r="G4" s="29">
        <v>1</v>
      </c>
      <c r="H4" s="80">
        <f>Dados!$J5</f>
        <v>14527</v>
      </c>
      <c r="I4" s="80">
        <f>Dados!$I5</f>
        <v>1077</v>
      </c>
      <c r="J4" s="19">
        <f>$I4/365</f>
        <v>2.9506849315068493</v>
      </c>
      <c r="K4" s="12">
        <f t="shared" ref="K4:K18" si="0">INDEX(Fator_Emissao,MATCH($D4,Pot_Equip,0),2)</f>
        <v>4.3689955953397884E-2</v>
      </c>
      <c r="L4" s="12">
        <f t="shared" ref="L4:L18" si="1">INDEX(Fator_Emissao,MATCH($D4,Pot_Equip,0),3)</f>
        <v>3.9173850602458582E-4</v>
      </c>
      <c r="M4" s="12">
        <f t="shared" ref="M4:M18" si="2">INDEX(Fator_Emissao,MATCH($D4,Pot_Equip,0),4)</f>
        <v>0.46744735992116221</v>
      </c>
      <c r="N4" s="12">
        <f t="shared" ref="N4:N18" si="3">INDEX(Fator_Emissao,MATCH($D4,Pot_Equip,0),5)</f>
        <v>0.24966648844319658</v>
      </c>
      <c r="O4" s="12">
        <f t="shared" ref="O4:O18" si="4">INDEX(Fator_Emissao,MATCH($D4,Pot_Equip,0),6)</f>
        <v>8.1017998911048009E-2</v>
      </c>
      <c r="P4" s="19">
        <f>$G4*$J4*$K4/24</f>
        <v>5.371470612078713E-3</v>
      </c>
      <c r="Q4" s="62">
        <f>P4</f>
        <v>5.371470612078713E-3</v>
      </c>
      <c r="R4" s="62">
        <f>P4</f>
        <v>5.371470612078713E-3</v>
      </c>
      <c r="S4" s="81">
        <f>$G4*$J4*L$4/24</f>
        <v>4.8162371117406267E-5</v>
      </c>
      <c r="T4" s="19">
        <f>$G4*$J4*M$4/24</f>
        <v>5.7470411716334664E-2</v>
      </c>
      <c r="U4" s="19">
        <f>$G4*$J4*N$4/24</f>
        <v>3.0695297722982046E-2</v>
      </c>
      <c r="V4" s="19">
        <f>$G4*$J4*O$4/24</f>
        <v>9.9607745236528194E-3</v>
      </c>
    </row>
    <row r="5" spans="1:22" ht="15" customHeight="1" x14ac:dyDescent="0.2">
      <c r="A5" s="16" t="s">
        <v>19</v>
      </c>
      <c r="B5" s="29" t="s">
        <v>21</v>
      </c>
      <c r="C5" s="79">
        <f>118*1.34102</f>
        <v>158.24036000000001</v>
      </c>
      <c r="D5" s="34" t="s">
        <v>223</v>
      </c>
      <c r="E5" s="36">
        <v>-20.240155000000001</v>
      </c>
      <c r="F5" s="36">
        <v>-40.386515000000003</v>
      </c>
      <c r="G5" s="29">
        <v>1</v>
      </c>
      <c r="H5" s="80">
        <f>Dados!$J6</f>
        <v>33719</v>
      </c>
      <c r="I5" s="80">
        <f>Dados!$I6</f>
        <v>1571</v>
      </c>
      <c r="J5" s="19">
        <f t="shared" ref="J5:J18" si="5">$I5/365</f>
        <v>4.3041095890410963</v>
      </c>
      <c r="K5" s="12">
        <f t="shared" si="0"/>
        <v>3.6023154684608628E-2</v>
      </c>
      <c r="L5" s="12">
        <f t="shared" si="1"/>
        <v>5.7274397999067218E-4</v>
      </c>
      <c r="M5" s="12">
        <f t="shared" si="2"/>
        <v>0.63034815463312366</v>
      </c>
      <c r="N5" s="12">
        <f t="shared" si="3"/>
        <v>0.30652652990664653</v>
      </c>
      <c r="O5" s="12">
        <f t="shared" si="4"/>
        <v>8.1297557226803041E-2</v>
      </c>
      <c r="P5" s="19">
        <f t="shared" ref="P5:P18" si="6">$G5*$J5*$K5/24</f>
        <v>6.4603168960639451E-3</v>
      </c>
      <c r="Q5" s="62">
        <f t="shared" ref="Q5:Q18" si="7">P5</f>
        <v>6.4603168960639451E-3</v>
      </c>
      <c r="R5" s="62">
        <f t="shared" ref="R5:R18" si="8">P5</f>
        <v>6.4603168960639451E-3</v>
      </c>
      <c r="S5" s="81">
        <f>$G5*$J5*L5/24</f>
        <v>1.0271470234764225E-4</v>
      </c>
      <c r="T5" s="19">
        <f>$G5*$J5*M5/24</f>
        <v>0.11304531403294947</v>
      </c>
      <c r="U5" s="19">
        <f>$G5*$J5*N5/24</f>
        <v>5.4971824027778733E-2</v>
      </c>
      <c r="V5" s="19">
        <f>$G5*$J5*O5/24</f>
        <v>1.4579733151062509E-2</v>
      </c>
    </row>
    <row r="6" spans="1:22" ht="15" customHeight="1" x14ac:dyDescent="0.2">
      <c r="A6" s="16" t="s">
        <v>19</v>
      </c>
      <c r="B6" s="29" t="s">
        <v>22</v>
      </c>
      <c r="C6" s="79">
        <f>119*1.34102</f>
        <v>159.58138000000002</v>
      </c>
      <c r="D6" s="34" t="s">
        <v>223</v>
      </c>
      <c r="E6" s="36">
        <v>-20.240155000000001</v>
      </c>
      <c r="F6" s="36">
        <v>-40.386515000000003</v>
      </c>
      <c r="G6" s="29">
        <v>1</v>
      </c>
      <c r="H6" s="80">
        <f>Dados!$J7</f>
        <v>23339</v>
      </c>
      <c r="I6" s="80">
        <f>Dados!$I7</f>
        <v>1044</v>
      </c>
      <c r="J6" s="19">
        <f t="shared" si="5"/>
        <v>2.8602739726027395</v>
      </c>
      <c r="K6" s="12">
        <f t="shared" si="0"/>
        <v>3.6023154684608628E-2</v>
      </c>
      <c r="L6" s="12">
        <f t="shared" si="1"/>
        <v>5.7274397999067218E-4</v>
      </c>
      <c r="M6" s="12">
        <f t="shared" si="2"/>
        <v>0.63034815463312366</v>
      </c>
      <c r="N6" s="12">
        <f t="shared" si="3"/>
        <v>0.30652652990664653</v>
      </c>
      <c r="O6" s="12">
        <f t="shared" si="4"/>
        <v>8.1297557226803041E-2</v>
      </c>
      <c r="P6" s="81">
        <f t="shared" si="6"/>
        <v>4.2931704898095209E-3</v>
      </c>
      <c r="Q6" s="115">
        <f t="shared" si="7"/>
        <v>4.2931704898095209E-3</v>
      </c>
      <c r="R6" s="115">
        <f t="shared" si="8"/>
        <v>4.2931704898095209E-3</v>
      </c>
      <c r="S6" s="81">
        <f t="shared" ref="S6:S18" si="9">$G6*$J6*L6/24</f>
        <v>6.8258529122175988E-5</v>
      </c>
      <c r="T6" s="19">
        <f t="shared" ref="T6:T18" si="10">$G6*$J6*M6/24</f>
        <v>7.5123684182303765E-2</v>
      </c>
      <c r="U6" s="19">
        <f t="shared" ref="U6:U18" si="11">$G6*$J6*N6/24</f>
        <v>3.6531243975175681E-2</v>
      </c>
      <c r="V6" s="19">
        <f t="shared" ref="V6:V18" si="12">$G6*$J6*O6/24</f>
        <v>9.6888869571669367E-3</v>
      </c>
    </row>
    <row r="7" spans="1:22" ht="15" customHeight="1" x14ac:dyDescent="0.2">
      <c r="A7" s="16" t="s">
        <v>23</v>
      </c>
      <c r="B7" s="29" t="s">
        <v>24</v>
      </c>
      <c r="C7" s="79">
        <f>55*1.34102</f>
        <v>73.756100000000004</v>
      </c>
      <c r="D7" s="34" t="s">
        <v>222</v>
      </c>
      <c r="E7" s="36">
        <v>-20.240155000000001</v>
      </c>
      <c r="F7" s="36">
        <v>-40.386515000000003</v>
      </c>
      <c r="G7" s="29">
        <v>1</v>
      </c>
      <c r="H7" s="80">
        <f>Dados!$J8</f>
        <v>5994</v>
      </c>
      <c r="I7" s="80">
        <f>Dados!$I8</f>
        <v>790</v>
      </c>
      <c r="J7" s="19">
        <f t="shared" si="5"/>
        <v>2.1643835616438358</v>
      </c>
      <c r="K7" s="12">
        <f t="shared" si="0"/>
        <v>4.3689955953397884E-2</v>
      </c>
      <c r="L7" s="12">
        <f t="shared" si="1"/>
        <v>3.9173850602458582E-4</v>
      </c>
      <c r="M7" s="12">
        <f t="shared" si="2"/>
        <v>0.46744735992116221</v>
      </c>
      <c r="N7" s="12">
        <f t="shared" si="3"/>
        <v>0.24966648844319658</v>
      </c>
      <c r="O7" s="12">
        <f t="shared" si="4"/>
        <v>8.1017998911048009E-2</v>
      </c>
      <c r="P7" s="81">
        <f t="shared" si="6"/>
        <v>3.9400759364365675E-3</v>
      </c>
      <c r="Q7" s="115">
        <f t="shared" si="7"/>
        <v>3.9400759364365675E-3</v>
      </c>
      <c r="R7" s="115">
        <f t="shared" si="8"/>
        <v>3.9400759364365675E-3</v>
      </c>
      <c r="S7" s="81">
        <f t="shared" si="9"/>
        <v>3.5328015954272013E-5</v>
      </c>
      <c r="T7" s="19">
        <f t="shared" si="10"/>
        <v>4.2155640906132212E-2</v>
      </c>
      <c r="U7" s="19">
        <f t="shared" si="11"/>
        <v>2.2515585144991471E-2</v>
      </c>
      <c r="V7" s="19">
        <f t="shared" si="12"/>
        <v>7.3064177100146043E-3</v>
      </c>
    </row>
    <row r="8" spans="1:22" ht="15" customHeight="1" x14ac:dyDescent="0.2">
      <c r="A8" s="16" t="s">
        <v>25</v>
      </c>
      <c r="B8" s="29" t="s">
        <v>26</v>
      </c>
      <c r="C8" s="79">
        <f>93*1.34102</f>
        <v>124.71486000000002</v>
      </c>
      <c r="D8" s="34" t="s">
        <v>232</v>
      </c>
      <c r="E8" s="36">
        <v>-20.240155000000001</v>
      </c>
      <c r="F8" s="36">
        <v>-40.386515000000003</v>
      </c>
      <c r="G8" s="29">
        <v>1</v>
      </c>
      <c r="H8" s="80">
        <f>Dados!$J9</f>
        <v>4282</v>
      </c>
      <c r="I8" s="80">
        <f>Dados!$I9</f>
        <v>485</v>
      </c>
      <c r="J8" s="19">
        <f t="shared" si="5"/>
        <v>1.3287671232876712</v>
      </c>
      <c r="K8" s="12">
        <f t="shared" si="0"/>
        <v>4.1133851253363274E-2</v>
      </c>
      <c r="L8" s="12">
        <f t="shared" si="1"/>
        <v>0.73743613111810991</v>
      </c>
      <c r="M8" s="12">
        <f t="shared" si="2"/>
        <v>6.3245652808831298E-4</v>
      </c>
      <c r="N8" s="12">
        <f t="shared" si="3"/>
        <v>0.34201904518939646</v>
      </c>
      <c r="O8" s="12">
        <f t="shared" si="4"/>
        <v>9.4025823002404793E-2</v>
      </c>
      <c r="P8" s="81">
        <f t="shared" si="6"/>
        <v>2.2773878833197703E-3</v>
      </c>
      <c r="Q8" s="115">
        <f t="shared" si="7"/>
        <v>2.2773878833197703E-3</v>
      </c>
      <c r="R8" s="115">
        <f t="shared" si="8"/>
        <v>2.2773878833197703E-3</v>
      </c>
      <c r="S8" s="19">
        <f t="shared" si="9"/>
        <v>4.0828370273091698E-2</v>
      </c>
      <c r="T8" s="81">
        <f t="shared" si="10"/>
        <v>3.5016143393017327E-5</v>
      </c>
      <c r="U8" s="19">
        <f t="shared" si="11"/>
        <v>1.8935985949412933E-2</v>
      </c>
      <c r="V8" s="19">
        <f t="shared" si="12"/>
        <v>5.2057675977358817E-3</v>
      </c>
    </row>
    <row r="9" spans="1:22" ht="15" customHeight="1" x14ac:dyDescent="0.2">
      <c r="A9" s="16" t="s">
        <v>27</v>
      </c>
      <c r="B9" s="29" t="s">
        <v>28</v>
      </c>
      <c r="C9" s="79">
        <f>103*1.34102</f>
        <v>138.12506000000002</v>
      </c>
      <c r="D9" s="34" t="s">
        <v>206</v>
      </c>
      <c r="E9" s="36">
        <v>-20.240155000000001</v>
      </c>
      <c r="F9" s="36">
        <v>-40.386515000000003</v>
      </c>
      <c r="G9" s="29">
        <v>1</v>
      </c>
      <c r="H9" s="80">
        <f>Dados!$J10</f>
        <v>15204</v>
      </c>
      <c r="I9" s="80">
        <f>Dados!$I10</f>
        <v>1483</v>
      </c>
      <c r="J9" s="19">
        <f t="shared" si="5"/>
        <v>4.0630136986301366</v>
      </c>
      <c r="K9" s="12">
        <f t="shared" si="0"/>
        <v>3.4873730864910753E-2</v>
      </c>
      <c r="L9" s="12">
        <f t="shared" si="1"/>
        <v>0.62819014565488085</v>
      </c>
      <c r="M9" s="12">
        <f t="shared" si="2"/>
        <v>5.4259968788077681E-4</v>
      </c>
      <c r="N9" s="12">
        <f t="shared" si="3"/>
        <v>0.29143683660988179</v>
      </c>
      <c r="O9" s="12">
        <f t="shared" si="4"/>
        <v>7.9806989940830519E-2</v>
      </c>
      <c r="P9" s="19">
        <f t="shared" si="6"/>
        <v>5.9038519261030405E-3</v>
      </c>
      <c r="Q9" s="62">
        <f t="shared" si="7"/>
        <v>5.9038519261030405E-3</v>
      </c>
      <c r="R9" s="62">
        <f t="shared" si="8"/>
        <v>5.9038519261030405E-3</v>
      </c>
      <c r="S9" s="19">
        <f t="shared" si="9"/>
        <v>0.10634771529751007</v>
      </c>
      <c r="T9" s="81">
        <f t="shared" si="10"/>
        <v>9.1857915197168035E-5</v>
      </c>
      <c r="U9" s="19">
        <f t="shared" si="11"/>
        <v>4.9337994142974274E-2</v>
      </c>
      <c r="V9" s="19">
        <f t="shared" si="12"/>
        <v>1.3510703890667997E-2</v>
      </c>
    </row>
    <row r="10" spans="1:22" ht="15" customHeight="1" x14ac:dyDescent="0.2">
      <c r="A10" s="16" t="s">
        <v>27</v>
      </c>
      <c r="B10" s="29" t="s">
        <v>29</v>
      </c>
      <c r="C10" s="79">
        <f>113*1.34102</f>
        <v>151.53526000000002</v>
      </c>
      <c r="D10" s="34" t="s">
        <v>206</v>
      </c>
      <c r="E10" s="36">
        <v>-20.240155000000001</v>
      </c>
      <c r="F10" s="36">
        <v>-40.386515000000003</v>
      </c>
      <c r="G10" s="29">
        <v>1</v>
      </c>
      <c r="H10" s="80">
        <f>Dados!$J11</f>
        <v>2617</v>
      </c>
      <c r="I10" s="80">
        <f>Dados!$I11</f>
        <v>344</v>
      </c>
      <c r="J10" s="19">
        <f t="shared" si="5"/>
        <v>0.94246575342465755</v>
      </c>
      <c r="K10" s="12">
        <f t="shared" si="0"/>
        <v>3.4873730864910753E-2</v>
      </c>
      <c r="L10" s="12">
        <f t="shared" si="1"/>
        <v>0.62819014565488085</v>
      </c>
      <c r="M10" s="12">
        <f t="shared" si="2"/>
        <v>5.4259968788077681E-4</v>
      </c>
      <c r="N10" s="12">
        <f t="shared" si="3"/>
        <v>0.29143683660988179</v>
      </c>
      <c r="O10" s="12">
        <f t="shared" si="4"/>
        <v>7.9806989940830519E-2</v>
      </c>
      <c r="P10" s="81">
        <f t="shared" si="6"/>
        <v>1.3694707097636186E-3</v>
      </c>
      <c r="Q10" s="115">
        <f t="shared" si="7"/>
        <v>1.3694707097636186E-3</v>
      </c>
      <c r="R10" s="115">
        <f t="shared" si="8"/>
        <v>1.3694707097636186E-3</v>
      </c>
      <c r="S10" s="19">
        <f t="shared" si="9"/>
        <v>2.4668654121607195E-2</v>
      </c>
      <c r="T10" s="81">
        <f t="shared" si="10"/>
        <v>2.1307567651939181E-5</v>
      </c>
      <c r="U10" s="19">
        <f t="shared" si="11"/>
        <v>1.1444551574634627E-2</v>
      </c>
      <c r="V10" s="19">
        <f t="shared" si="12"/>
        <v>3.1339731209641206E-3</v>
      </c>
    </row>
    <row r="11" spans="1:22" ht="15" customHeight="1" x14ac:dyDescent="0.2">
      <c r="A11" s="16" t="s">
        <v>30</v>
      </c>
      <c r="B11" s="29" t="s">
        <v>31</v>
      </c>
      <c r="C11" s="79">
        <f>63*1.34102</f>
        <v>84.484260000000006</v>
      </c>
      <c r="D11" s="34" t="s">
        <v>215</v>
      </c>
      <c r="E11" s="36">
        <v>-20.240155000000001</v>
      </c>
      <c r="F11" s="36">
        <v>-40.386515000000003</v>
      </c>
      <c r="G11" s="29">
        <v>1</v>
      </c>
      <c r="H11" s="80">
        <f>Dados!$J12</f>
        <v>8628</v>
      </c>
      <c r="I11" s="80">
        <f>Dados!$I12</f>
        <v>1535</v>
      </c>
      <c r="J11" s="19">
        <f t="shared" si="5"/>
        <v>4.2054794520547949</v>
      </c>
      <c r="K11" s="12">
        <f t="shared" si="0"/>
        <v>3.9384469740561555E-2</v>
      </c>
      <c r="L11" s="12">
        <f t="shared" si="1"/>
        <v>0.4729552153703217</v>
      </c>
      <c r="M11" s="12">
        <f t="shared" si="2"/>
        <v>3.4529841364397461E-4</v>
      </c>
      <c r="N11" s="12">
        <f t="shared" si="3"/>
        <v>0.22817502993515104</v>
      </c>
      <c r="O11" s="12">
        <f t="shared" si="4"/>
        <v>8.0159681604441452E-2</v>
      </c>
      <c r="P11" s="19">
        <f t="shared" si="6"/>
        <v>6.9012740926668939E-3</v>
      </c>
      <c r="Q11" s="62">
        <f t="shared" si="7"/>
        <v>6.9012740926668939E-3</v>
      </c>
      <c r="R11" s="62">
        <f t="shared" si="8"/>
        <v>6.9012740926668939E-3</v>
      </c>
      <c r="S11" s="19">
        <f t="shared" si="9"/>
        <v>8.2875143332584916E-2</v>
      </c>
      <c r="T11" s="81">
        <f t="shared" si="10"/>
        <v>6.0506057641952178E-5</v>
      </c>
      <c r="U11" s="19">
        <f t="shared" si="11"/>
        <v>3.9982724994344389E-2</v>
      </c>
      <c r="V11" s="19">
        <f t="shared" si="12"/>
        <v>1.4046245577947218E-2</v>
      </c>
    </row>
    <row r="12" spans="1:22" ht="15" customHeight="1" x14ac:dyDescent="0.2">
      <c r="A12" s="16" t="s">
        <v>32</v>
      </c>
      <c r="B12" s="29" t="s">
        <v>33</v>
      </c>
      <c r="C12" s="79">
        <f>59*1.34102</f>
        <v>79.120180000000005</v>
      </c>
      <c r="D12" s="34" t="s">
        <v>240</v>
      </c>
      <c r="E12" s="36">
        <v>-20.240155000000001</v>
      </c>
      <c r="F12" s="36">
        <v>-40.386515000000003</v>
      </c>
      <c r="G12" s="29">
        <v>1</v>
      </c>
      <c r="H12" s="80">
        <f>Dados!$J13</f>
        <v>563</v>
      </c>
      <c r="I12" s="80">
        <f>Dados!$I13</f>
        <v>132</v>
      </c>
      <c r="J12" s="19">
        <f t="shared" si="5"/>
        <v>0.36164383561643837</v>
      </c>
      <c r="K12" s="12">
        <f t="shared" si="0"/>
        <v>3.3309935982535011E-2</v>
      </c>
      <c r="L12" s="12">
        <f t="shared" si="1"/>
        <v>0.39234610723281199</v>
      </c>
      <c r="M12" s="12">
        <f t="shared" si="2"/>
        <v>3.1387121104473639E-4</v>
      </c>
      <c r="N12" s="12">
        <f t="shared" si="3"/>
        <v>0.19623905859425336</v>
      </c>
      <c r="O12" s="12">
        <f t="shared" si="4"/>
        <v>6.5780792944078362E-2</v>
      </c>
      <c r="P12" s="81">
        <f t="shared" si="6"/>
        <v>5.0193054220258235E-4</v>
      </c>
      <c r="Q12" s="115">
        <f t="shared" si="7"/>
        <v>5.0193054220258235E-4</v>
      </c>
      <c r="R12" s="115">
        <f t="shared" si="8"/>
        <v>5.0193054220258235E-4</v>
      </c>
      <c r="S12" s="19">
        <f t="shared" si="9"/>
        <v>5.9120646295355234E-3</v>
      </c>
      <c r="T12" s="81">
        <f t="shared" si="10"/>
        <v>4.729566193824795E-6</v>
      </c>
      <c r="U12" s="81">
        <f t="shared" si="11"/>
        <v>2.957026910324366E-3</v>
      </c>
      <c r="V12" s="81">
        <f t="shared" si="12"/>
        <v>9.9121742792446861E-4</v>
      </c>
    </row>
    <row r="13" spans="1:22" ht="15" customHeight="1" x14ac:dyDescent="0.2">
      <c r="A13" s="16" t="s">
        <v>32</v>
      </c>
      <c r="B13" s="29" t="s">
        <v>34</v>
      </c>
      <c r="C13" s="79">
        <f>82*1.34102</f>
        <v>109.96364000000001</v>
      </c>
      <c r="D13" s="34" t="s">
        <v>240</v>
      </c>
      <c r="E13" s="36">
        <v>-20.240155000000001</v>
      </c>
      <c r="F13" s="36">
        <v>-40.386515000000003</v>
      </c>
      <c r="G13" s="29">
        <v>1</v>
      </c>
      <c r="H13" s="80">
        <f>Dados!$J14</f>
        <v>1192</v>
      </c>
      <c r="I13" s="80">
        <f>Dados!$I14</f>
        <v>247</v>
      </c>
      <c r="J13" s="19">
        <f t="shared" si="5"/>
        <v>0.67671232876712328</v>
      </c>
      <c r="K13" s="12">
        <f t="shared" si="0"/>
        <v>3.3309935982535011E-2</v>
      </c>
      <c r="L13" s="12">
        <f t="shared" si="1"/>
        <v>0.39234610723281199</v>
      </c>
      <c r="M13" s="12">
        <f t="shared" si="2"/>
        <v>3.1387121104473639E-4</v>
      </c>
      <c r="N13" s="12">
        <f t="shared" si="3"/>
        <v>0.19623905859425336</v>
      </c>
      <c r="O13" s="12">
        <f t="shared" si="4"/>
        <v>6.5780792944078362E-2</v>
      </c>
      <c r="P13" s="81">
        <f t="shared" si="6"/>
        <v>9.3921851457604434E-4</v>
      </c>
      <c r="Q13" s="115">
        <f t="shared" si="7"/>
        <v>9.3921851457604434E-4</v>
      </c>
      <c r="R13" s="115">
        <f t="shared" si="8"/>
        <v>9.3921851457604434E-4</v>
      </c>
      <c r="S13" s="19">
        <f t="shared" si="9"/>
        <v>1.1062726996176319E-2</v>
      </c>
      <c r="T13" s="81">
        <f t="shared" si="10"/>
        <v>8.8500215899600325E-6</v>
      </c>
      <c r="U13" s="19">
        <f t="shared" si="11"/>
        <v>5.5332245973493815E-3</v>
      </c>
      <c r="V13" s="81">
        <f t="shared" si="12"/>
        <v>1.8547780658889675E-3</v>
      </c>
    </row>
    <row r="14" spans="1:22" ht="15" customHeight="1" x14ac:dyDescent="0.2">
      <c r="A14" s="16" t="s">
        <v>35</v>
      </c>
      <c r="B14" s="29" t="s">
        <v>36</v>
      </c>
      <c r="C14" s="79">
        <f>93*1.34102</f>
        <v>124.71486000000002</v>
      </c>
      <c r="D14" s="34" t="s">
        <v>246</v>
      </c>
      <c r="E14" s="36">
        <v>-20.240155000000001</v>
      </c>
      <c r="F14" s="36">
        <v>-40.386515000000003</v>
      </c>
      <c r="G14" s="29">
        <v>1</v>
      </c>
      <c r="H14" s="80">
        <f>Dados!$J15</f>
        <v>10126</v>
      </c>
      <c r="I14" s="80">
        <f>Dados!$I15</f>
        <v>710</v>
      </c>
      <c r="J14" s="19">
        <f t="shared" si="5"/>
        <v>1.9452054794520548</v>
      </c>
      <c r="K14" s="12">
        <f t="shared" si="0"/>
        <v>4.4401235069067839E-2</v>
      </c>
      <c r="L14" s="12">
        <f t="shared" si="1"/>
        <v>0.78775936009992464</v>
      </c>
      <c r="M14" s="12">
        <f t="shared" si="2"/>
        <v>6.1850438977116952E-4</v>
      </c>
      <c r="N14" s="12">
        <f t="shared" si="3"/>
        <v>0.35443648699060287</v>
      </c>
      <c r="O14" s="12">
        <f t="shared" si="4"/>
        <v>0.10233313533498303</v>
      </c>
      <c r="P14" s="81">
        <f t="shared" si="6"/>
        <v>3.5987302396162288E-3</v>
      </c>
      <c r="Q14" s="115">
        <f t="shared" si="7"/>
        <v>3.5987302396162288E-3</v>
      </c>
      <c r="R14" s="115">
        <f t="shared" si="8"/>
        <v>3.5987302396162288E-3</v>
      </c>
      <c r="S14" s="19">
        <f t="shared" si="9"/>
        <v>6.3848075989834066E-2</v>
      </c>
      <c r="T14" s="81">
        <f t="shared" si="10"/>
        <v>5.0129922002001183E-5</v>
      </c>
      <c r="U14" s="19">
        <f t="shared" si="11"/>
        <v>2.8727158192160734E-2</v>
      </c>
      <c r="V14" s="19">
        <f t="shared" si="12"/>
        <v>8.2941239826299033E-3</v>
      </c>
    </row>
    <row r="15" spans="1:22" ht="15" customHeight="1" x14ac:dyDescent="0.2">
      <c r="A15" s="16" t="s">
        <v>35</v>
      </c>
      <c r="B15" s="29" t="s">
        <v>37</v>
      </c>
      <c r="C15" s="79">
        <f>111.8*1.34102</f>
        <v>149.92603600000001</v>
      </c>
      <c r="D15" s="34" t="s">
        <v>246</v>
      </c>
      <c r="E15" s="36">
        <v>-20.240155000000001</v>
      </c>
      <c r="F15" s="36">
        <v>-40.386515000000003</v>
      </c>
      <c r="G15" s="29">
        <v>2</v>
      </c>
      <c r="H15" s="80">
        <f>Dados!$J16</f>
        <v>68688</v>
      </c>
      <c r="I15" s="80">
        <f>Dados!$I16</f>
        <v>3130</v>
      </c>
      <c r="J15" s="19">
        <f t="shared" si="5"/>
        <v>8.5753424657534243</v>
      </c>
      <c r="K15" s="12">
        <f t="shared" si="0"/>
        <v>4.4401235069067839E-2</v>
      </c>
      <c r="L15" s="12">
        <f t="shared" si="1"/>
        <v>0.78775936009992464</v>
      </c>
      <c r="M15" s="12">
        <f t="shared" si="2"/>
        <v>6.1850438977116952E-4</v>
      </c>
      <c r="N15" s="12">
        <f t="shared" si="3"/>
        <v>0.35443648699060287</v>
      </c>
      <c r="O15" s="12">
        <f t="shared" si="4"/>
        <v>0.10233313533498303</v>
      </c>
      <c r="P15" s="19">
        <f t="shared" si="6"/>
        <v>3.1729649718306469E-2</v>
      </c>
      <c r="Q15" s="62">
        <f t="shared" si="7"/>
        <v>3.1729649718306469E-2</v>
      </c>
      <c r="R15" s="62">
        <f t="shared" si="8"/>
        <v>3.1729649718306469E-2</v>
      </c>
      <c r="S15" s="19">
        <f t="shared" si="9"/>
        <v>0.56294219112163557</v>
      </c>
      <c r="T15" s="81">
        <f t="shared" si="10"/>
        <v>4.4199057990496819E-4</v>
      </c>
      <c r="U15" s="19">
        <f t="shared" si="11"/>
        <v>0.25328452152524816</v>
      </c>
      <c r="V15" s="19">
        <f t="shared" si="12"/>
        <v>7.3128473424314347E-2</v>
      </c>
    </row>
    <row r="16" spans="1:22" ht="15" customHeight="1" x14ac:dyDescent="0.2">
      <c r="A16" s="16" t="s">
        <v>35</v>
      </c>
      <c r="B16" s="29" t="s">
        <v>38</v>
      </c>
      <c r="C16" s="79">
        <f>125*1.34102</f>
        <v>167.62750000000003</v>
      </c>
      <c r="D16" s="34" t="s">
        <v>246</v>
      </c>
      <c r="E16" s="36">
        <v>-20.240155000000001</v>
      </c>
      <c r="F16" s="36">
        <v>-40.386515000000003</v>
      </c>
      <c r="G16" s="29">
        <v>2</v>
      </c>
      <c r="H16" s="80">
        <f>Dados!$J17</f>
        <v>50703</v>
      </c>
      <c r="I16" s="80">
        <f>Dados!$I17</f>
        <v>2393</v>
      </c>
      <c r="J16" s="19">
        <f t="shared" si="5"/>
        <v>6.5561643835616437</v>
      </c>
      <c r="K16" s="12">
        <f t="shared" si="0"/>
        <v>4.4401235069067839E-2</v>
      </c>
      <c r="L16" s="12">
        <f t="shared" si="1"/>
        <v>0.78775936009992464</v>
      </c>
      <c r="M16" s="12">
        <f t="shared" si="2"/>
        <v>6.1850438977116952E-4</v>
      </c>
      <c r="N16" s="12">
        <f t="shared" si="3"/>
        <v>0.35443648699060287</v>
      </c>
      <c r="O16" s="12">
        <f t="shared" si="4"/>
        <v>0.10233313533498303</v>
      </c>
      <c r="P16" s="19">
        <f t="shared" si="6"/>
        <v>2.4258482995497568E-2</v>
      </c>
      <c r="Q16" s="62">
        <f t="shared" si="7"/>
        <v>2.4258482995497568E-2</v>
      </c>
      <c r="R16" s="62">
        <f t="shared" si="8"/>
        <v>2.4258482995497568E-2</v>
      </c>
      <c r="S16" s="19">
        <f t="shared" si="9"/>
        <v>0.4303899882920364</v>
      </c>
      <c r="T16" s="81">
        <f t="shared" si="10"/>
        <v>3.3791803760785583E-4</v>
      </c>
      <c r="U16" s="19">
        <f t="shared" si="11"/>
        <v>0.19364532268687504</v>
      </c>
      <c r="V16" s="19">
        <f t="shared" si="12"/>
        <v>5.5909404761784104E-2</v>
      </c>
    </row>
    <row r="17" spans="1:22" ht="15" customHeight="1" x14ac:dyDescent="0.2">
      <c r="A17" s="16" t="s">
        <v>35</v>
      </c>
      <c r="B17" s="29" t="s">
        <v>39</v>
      </c>
      <c r="C17" s="79">
        <f>97*1.34102</f>
        <v>130.07894000000002</v>
      </c>
      <c r="D17" s="34" t="s">
        <v>246</v>
      </c>
      <c r="E17" s="36">
        <v>-20.240155000000001</v>
      </c>
      <c r="F17" s="36">
        <v>-40.386515000000003</v>
      </c>
      <c r="G17" s="29">
        <v>1</v>
      </c>
      <c r="H17" s="80">
        <f>Dados!$J18</f>
        <v>34933</v>
      </c>
      <c r="I17" s="80">
        <f>Dados!$I18</f>
        <v>2031</v>
      </c>
      <c r="J17" s="19">
        <f t="shared" si="5"/>
        <v>5.5643835616438357</v>
      </c>
      <c r="K17" s="12">
        <f t="shared" si="0"/>
        <v>4.4401235069067839E-2</v>
      </c>
      <c r="L17" s="12">
        <f t="shared" si="1"/>
        <v>0.78775936009992464</v>
      </c>
      <c r="M17" s="12">
        <f t="shared" si="2"/>
        <v>6.1850438977116952E-4</v>
      </c>
      <c r="N17" s="12">
        <f t="shared" si="3"/>
        <v>0.35443648699060287</v>
      </c>
      <c r="O17" s="12">
        <f t="shared" si="4"/>
        <v>0.10233313533498303</v>
      </c>
      <c r="P17" s="19">
        <f t="shared" si="6"/>
        <v>1.0294395938958537E-2</v>
      </c>
      <c r="Q17" s="62">
        <f t="shared" si="7"/>
        <v>1.0294395938958537E-2</v>
      </c>
      <c r="R17" s="62">
        <f t="shared" si="8"/>
        <v>1.0294395938958537E-2</v>
      </c>
      <c r="S17" s="19">
        <f t="shared" si="9"/>
        <v>0.182641468077962</v>
      </c>
      <c r="T17" s="81">
        <f t="shared" si="10"/>
        <v>1.4339981913530199E-4</v>
      </c>
      <c r="U17" s="19">
        <f t="shared" si="11"/>
        <v>8.2175856744054157E-2</v>
      </c>
      <c r="V17" s="19">
        <f t="shared" si="12"/>
        <v>2.3725867336227228E-2</v>
      </c>
    </row>
    <row r="18" spans="1:22" ht="15" customHeight="1" x14ac:dyDescent="0.2">
      <c r="A18" s="16" t="s">
        <v>35</v>
      </c>
      <c r="B18" s="29" t="s">
        <v>40</v>
      </c>
      <c r="C18" s="79">
        <f>104*1.34102</f>
        <v>139.46608000000001</v>
      </c>
      <c r="D18" s="34" t="s">
        <v>246</v>
      </c>
      <c r="E18" s="36">
        <v>-20.240155000000001</v>
      </c>
      <c r="F18" s="36">
        <v>-40.386515000000003</v>
      </c>
      <c r="G18" s="29">
        <v>1</v>
      </c>
      <c r="H18" s="80">
        <f>Dados!$J19</f>
        <v>2838</v>
      </c>
      <c r="I18" s="80">
        <f>Dados!$I19</f>
        <v>224</v>
      </c>
      <c r="J18" s="19">
        <f t="shared" si="5"/>
        <v>0.61369863013698633</v>
      </c>
      <c r="K18" s="12">
        <f t="shared" si="0"/>
        <v>4.4401235069067839E-2</v>
      </c>
      <c r="L18" s="12">
        <f t="shared" si="1"/>
        <v>0.78775936009992464</v>
      </c>
      <c r="M18" s="12">
        <f t="shared" si="2"/>
        <v>6.1850438977116952E-4</v>
      </c>
      <c r="N18" s="12">
        <f t="shared" si="3"/>
        <v>0.35443648699060287</v>
      </c>
      <c r="O18" s="12">
        <f t="shared" si="4"/>
        <v>0.10233313533498303</v>
      </c>
      <c r="P18" s="81">
        <f t="shared" si="6"/>
        <v>1.1353740474282189E-3</v>
      </c>
      <c r="Q18" s="115">
        <f t="shared" si="7"/>
        <v>1.1353740474282189E-3</v>
      </c>
      <c r="R18" s="115">
        <f t="shared" si="8"/>
        <v>1.1353740474282189E-3</v>
      </c>
      <c r="S18" s="19">
        <f t="shared" si="9"/>
        <v>2.0143618340454694E-2</v>
      </c>
      <c r="T18" s="81">
        <f t="shared" si="10"/>
        <v>1.5815637364011639E-5</v>
      </c>
      <c r="U18" s="19">
        <f t="shared" si="11"/>
        <v>9.0632161056957827E-3</v>
      </c>
      <c r="V18" s="81">
        <f t="shared" si="12"/>
        <v>2.6167377071959134E-3</v>
      </c>
    </row>
    <row r="19" spans="1:22" ht="15" customHeight="1" x14ac:dyDescent="0.2">
      <c r="A19" s="145" t="s">
        <v>227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51">
        <f>SUM(P4:P18)</f>
        <v>0.10897480054282771</v>
      </c>
      <c r="Q19" s="51">
        <f t="shared" ref="Q19:V19" si="13">SUM(Q4:Q18)</f>
        <v>0.10897480054282771</v>
      </c>
      <c r="R19" s="51">
        <f t="shared" si="13"/>
        <v>0.10897480054282771</v>
      </c>
      <c r="S19" s="51">
        <f>SUM(S4:S18)</f>
        <v>1.5319144800909699</v>
      </c>
      <c r="T19" s="51">
        <f t="shared" si="13"/>
        <v>0.28900657210540215</v>
      </c>
      <c r="U19" s="51">
        <f t="shared" si="13"/>
        <v>0.83980153429400184</v>
      </c>
      <c r="V19" s="51">
        <f t="shared" si="13"/>
        <v>0.24395310523517702</v>
      </c>
    </row>
    <row r="21" spans="1:22" ht="15" customHeight="1" x14ac:dyDescent="0.2">
      <c r="A21" s="201" t="s">
        <v>58</v>
      </c>
      <c r="B21" s="190"/>
      <c r="C21" s="190"/>
      <c r="D21" s="190"/>
      <c r="E21" s="33"/>
    </row>
    <row r="22" spans="1:22" ht="15" customHeight="1" x14ac:dyDescent="0.2">
      <c r="A22" s="202"/>
      <c r="B22" s="190"/>
      <c r="C22" s="190"/>
      <c r="D22" s="190"/>
      <c r="E22" s="33"/>
    </row>
    <row r="23" spans="1:22" ht="15" customHeight="1" x14ac:dyDescent="0.2">
      <c r="A23" s="202"/>
      <c r="B23" s="190"/>
      <c r="C23" s="190"/>
      <c r="D23" s="190"/>
      <c r="E23" s="33"/>
    </row>
    <row r="24" spans="1:22" ht="15" customHeight="1" x14ac:dyDescent="0.2">
      <c r="A24" s="202"/>
      <c r="B24" s="187" t="s">
        <v>271</v>
      </c>
      <c r="C24" s="187"/>
      <c r="D24" s="187"/>
      <c r="E24" s="33"/>
      <c r="G24" s="2"/>
      <c r="H24" s="2"/>
      <c r="I24" s="2"/>
      <c r="J24" s="13"/>
      <c r="M24" s="7"/>
    </row>
    <row r="25" spans="1:22" ht="15" customHeight="1" x14ac:dyDescent="0.2">
      <c r="A25" s="202"/>
      <c r="B25" s="187"/>
      <c r="C25" s="187"/>
      <c r="D25" s="187"/>
      <c r="E25" s="33"/>
      <c r="G25" s="2"/>
      <c r="H25" s="2"/>
      <c r="I25" s="2"/>
      <c r="M25" s="7"/>
    </row>
    <row r="26" spans="1:22" ht="15" customHeight="1" x14ac:dyDescent="0.2">
      <c r="A26" s="202"/>
      <c r="B26" s="187"/>
      <c r="C26" s="187"/>
      <c r="D26" s="187"/>
      <c r="E26" s="33"/>
      <c r="M26" s="7"/>
    </row>
    <row r="27" spans="1:22" ht="15" customHeight="1" x14ac:dyDescent="0.2">
      <c r="A27" s="203"/>
      <c r="B27" s="187"/>
      <c r="C27" s="187"/>
      <c r="D27" s="187"/>
      <c r="E27" s="33"/>
      <c r="M27" s="7"/>
    </row>
    <row r="28" spans="1:22" ht="15" customHeight="1" x14ac:dyDescent="0.2">
      <c r="M28" s="7"/>
    </row>
    <row r="29" spans="1:22" ht="15" customHeight="1" x14ac:dyDescent="0.2">
      <c r="M29" s="7"/>
    </row>
    <row r="30" spans="1:22" ht="15" customHeight="1" x14ac:dyDescent="0.2">
      <c r="M30" s="7"/>
    </row>
    <row r="31" spans="1:22" ht="15" customHeight="1" x14ac:dyDescent="0.2">
      <c r="M31" s="7"/>
    </row>
    <row r="32" spans="1:22" ht="15" customHeight="1" x14ac:dyDescent="0.2">
      <c r="M32" s="7"/>
    </row>
    <row r="33" spans="13:13" ht="15" customHeight="1" x14ac:dyDescent="0.2">
      <c r="M33" s="7"/>
    </row>
    <row r="34" spans="13:13" ht="15" customHeight="1" x14ac:dyDescent="0.2">
      <c r="M34" s="7"/>
    </row>
    <row r="35" spans="13:13" ht="15" customHeight="1" x14ac:dyDescent="0.2">
      <c r="M35" s="7"/>
    </row>
    <row r="36" spans="13:13" ht="15" customHeight="1" x14ac:dyDescent="0.2">
      <c r="M36" s="7"/>
    </row>
    <row r="37" spans="13:13" ht="15" customHeight="1" x14ac:dyDescent="0.2">
      <c r="M37" s="7"/>
    </row>
    <row r="38" spans="13:13" ht="15" customHeight="1" x14ac:dyDescent="0.2">
      <c r="M38" s="7"/>
    </row>
  </sheetData>
  <sheetProtection password="B056" sheet="1" objects="1" scenarios="1"/>
  <mergeCells count="16">
    <mergeCell ref="A21:A27"/>
    <mergeCell ref="B21:D23"/>
    <mergeCell ref="B24:D27"/>
    <mergeCell ref="A19:O19"/>
    <mergeCell ref="J2:J3"/>
    <mergeCell ref="K2:O2"/>
    <mergeCell ref="P2:V2"/>
    <mergeCell ref="H2:H3"/>
    <mergeCell ref="I2:I3"/>
    <mergeCell ref="A2:A3"/>
    <mergeCell ref="B2:B3"/>
    <mergeCell ref="D2:D3"/>
    <mergeCell ref="G2:G3"/>
    <mergeCell ref="C2:C3"/>
    <mergeCell ref="E2:E3"/>
    <mergeCell ref="F2:F3"/>
  </mergeCells>
  <dataValidations count="1">
    <dataValidation type="list" allowBlank="1" showInputMessage="1" showErrorMessage="1" sqref="D4:D18">
      <formula1>Pot_Equip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18" sqref="E18"/>
    </sheetView>
  </sheetViews>
  <sheetFormatPr defaultColWidth="10.7109375" defaultRowHeight="15" customHeight="1" x14ac:dyDescent="0.2"/>
  <cols>
    <col min="1" max="1" width="19.140625" style="33" bestFit="1" customWidth="1"/>
    <col min="2" max="16384" width="10.7109375" style="33"/>
  </cols>
  <sheetData>
    <row r="1" spans="1:8" ht="15" customHeight="1" x14ac:dyDescent="0.2">
      <c r="A1" s="288" t="s">
        <v>141</v>
      </c>
      <c r="B1" s="289" t="s">
        <v>49</v>
      </c>
      <c r="C1" s="290"/>
      <c r="D1" s="290"/>
      <c r="E1" s="290"/>
      <c r="F1" s="290"/>
      <c r="G1" s="290"/>
      <c r="H1" s="290"/>
    </row>
    <row r="2" spans="1:8" ht="15" customHeight="1" x14ac:dyDescent="0.2">
      <c r="A2" s="288"/>
      <c r="B2" s="43" t="s">
        <v>50</v>
      </c>
      <c r="C2" s="43" t="s">
        <v>122</v>
      </c>
      <c r="D2" s="43" t="s">
        <v>274</v>
      </c>
      <c r="E2" s="9" t="s">
        <v>52</v>
      </c>
      <c r="F2" s="9" t="s">
        <v>51</v>
      </c>
      <c r="G2" s="9" t="s">
        <v>53</v>
      </c>
      <c r="H2" s="9" t="s">
        <v>313</v>
      </c>
    </row>
    <row r="3" spans="1:8" ht="15" customHeight="1" x14ac:dyDescent="0.2">
      <c r="A3" s="3" t="s">
        <v>41</v>
      </c>
      <c r="B3" s="19">
        <f>'Emissão Maq e Equip'!P$19</f>
        <v>0.10897480054282771</v>
      </c>
      <c r="C3" s="19">
        <f>'Emissão Maq e Equip'!Q$19</f>
        <v>0.10897480054282771</v>
      </c>
      <c r="D3" s="19">
        <f>'Emissão Maq e Equip'!R$19</f>
        <v>0.10897480054282771</v>
      </c>
      <c r="E3" s="19">
        <f>'Emissão Maq e Equip'!S$19</f>
        <v>1.5319144800909699</v>
      </c>
      <c r="F3" s="19">
        <f>'Emissão Maq e Equip'!T$19</f>
        <v>0.28900657210540215</v>
      </c>
      <c r="G3" s="19">
        <f>'Emissão Maq e Equip'!U$19</f>
        <v>0.83980153429400184</v>
      </c>
      <c r="H3" s="19">
        <f>'Emissão Maq e Equip'!V$19</f>
        <v>0.24395310523517702</v>
      </c>
    </row>
    <row r="4" spans="1:8" ht="15" customHeight="1" x14ac:dyDescent="0.2">
      <c r="A4" s="3" t="s">
        <v>275</v>
      </c>
      <c r="B4" s="62">
        <f>SUM('Emissão Vias'!L23,'Emissão Vias'!V13)</f>
        <v>9.6580353580119578</v>
      </c>
      <c r="C4" s="62">
        <f>SUM('Emissão Vias'!M23,'Emissão Vias'!W13)</f>
        <v>2.5526883917679455</v>
      </c>
      <c r="D4" s="62">
        <f>SUM('Emissão Vias'!N23,'Emissão Vias'!X13)</f>
        <v>0.2783035109052156</v>
      </c>
      <c r="E4" s="62">
        <f>'Emissão Vias'!Y$13</f>
        <v>0.10400987165212253</v>
      </c>
      <c r="F4" s="117">
        <f>'Emissão Vias'!Z$13</f>
        <v>3.9032196692958495E-3</v>
      </c>
      <c r="G4" s="117">
        <f>'Emissão Vias'!AA$13</f>
        <v>2.5067491236353288E-2</v>
      </c>
      <c r="H4" s="117">
        <f>'Emissão Vias'!AB$13</f>
        <v>4.4983128757124166E-3</v>
      </c>
    </row>
    <row r="5" spans="1:8" ht="15" customHeight="1" x14ac:dyDescent="0.2">
      <c r="A5" s="3" t="s">
        <v>185</v>
      </c>
      <c r="B5" s="19">
        <f>'Emissão Escavação'!K$8</f>
        <v>2.3679947328920044</v>
      </c>
      <c r="C5" s="19">
        <f>'Emissão Escavação'!L$8</f>
        <v>0.41795212375262331</v>
      </c>
      <c r="D5" s="19">
        <f>'Emissão Escavação'!M$8</f>
        <v>0.24863944695366047</v>
      </c>
      <c r="E5" s="81" t="s">
        <v>140</v>
      </c>
      <c r="F5" s="81" t="s">
        <v>140</v>
      </c>
      <c r="G5" s="81" t="s">
        <v>140</v>
      </c>
      <c r="H5" s="81" t="s">
        <v>140</v>
      </c>
    </row>
    <row r="6" spans="1:8" ht="15" customHeight="1" x14ac:dyDescent="0.2">
      <c r="A6" s="3" t="s">
        <v>276</v>
      </c>
      <c r="B6" s="117">
        <f>'Emissão Transferências'!J$9</f>
        <v>2.7565958251180847E-3</v>
      </c>
      <c r="C6" s="117">
        <f>'Emissão Transferências'!K$9</f>
        <v>1.3037953226909859E-3</v>
      </c>
      <c r="D6" s="117">
        <f>'Emissão Transferências'!L$9</f>
        <v>1.9743186315034929E-4</v>
      </c>
      <c r="E6" s="81" t="s">
        <v>140</v>
      </c>
      <c r="F6" s="81" t="s">
        <v>140</v>
      </c>
      <c r="G6" s="81" t="s">
        <v>140</v>
      </c>
      <c r="H6" s="81" t="s">
        <v>140</v>
      </c>
    </row>
    <row r="7" spans="1:8" ht="15" customHeight="1" x14ac:dyDescent="0.2">
      <c r="A7" s="3" t="s">
        <v>277</v>
      </c>
      <c r="B7" s="81" t="s">
        <v>140</v>
      </c>
      <c r="C7" s="81" t="s">
        <v>140</v>
      </c>
      <c r="D7" s="81" t="s">
        <v>140</v>
      </c>
      <c r="E7" s="81" t="s">
        <v>140</v>
      </c>
      <c r="F7" s="81" t="s">
        <v>140</v>
      </c>
      <c r="G7" s="117">
        <f>'Emissão Aterro'!F4</f>
        <v>0.29781905316848406</v>
      </c>
      <c r="H7" s="117">
        <f>'Emissão Aterro'!G4</f>
        <v>2.4607564126047263</v>
      </c>
    </row>
    <row r="8" spans="1:8" ht="15" customHeight="1" x14ac:dyDescent="0.2">
      <c r="A8" s="3" t="s">
        <v>292</v>
      </c>
      <c r="B8" s="19">
        <f>'Emissão Flare'!H5</f>
        <v>0.35700000000000004</v>
      </c>
      <c r="C8" s="19">
        <f>'Emissão Flare'!I5</f>
        <v>0.35700000000000004</v>
      </c>
      <c r="D8" s="19">
        <f>'Emissão Flare'!J5</f>
        <v>0.35700000000000004</v>
      </c>
      <c r="E8" s="19">
        <f>'Emissão Flare'!K5</f>
        <v>0.94650000000000012</v>
      </c>
      <c r="F8" s="81" t="s">
        <v>140</v>
      </c>
      <c r="G8" s="19">
        <f>'Emissão Flare'!L5</f>
        <v>1.1054999999999999</v>
      </c>
      <c r="H8" s="19">
        <f>'Emissão Flare'!M5</f>
        <v>1.3780235910586469</v>
      </c>
    </row>
    <row r="9" spans="1:8" ht="15" customHeight="1" x14ac:dyDescent="0.2">
      <c r="A9" s="109" t="s">
        <v>227</v>
      </c>
      <c r="B9" s="51">
        <f>SUM(B3:B8)</f>
        <v>12.494761487271909</v>
      </c>
      <c r="C9" s="51">
        <f>SUM(C3:C8)</f>
        <v>3.4379191113860879</v>
      </c>
      <c r="D9" s="51">
        <f t="shared" ref="D9:H9" si="0">SUM(D3:D8)</f>
        <v>0.99311519026485406</v>
      </c>
      <c r="E9" s="51">
        <f t="shared" si="0"/>
        <v>2.5824243517430925</v>
      </c>
      <c r="F9" s="51">
        <f t="shared" si="0"/>
        <v>0.292909791774698</v>
      </c>
      <c r="G9" s="51">
        <f t="shared" si="0"/>
        <v>2.2681880786988389</v>
      </c>
      <c r="H9" s="51">
        <f t="shared" si="0"/>
        <v>4.0872314217742627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5"/>
  <sheetViews>
    <sheetView workbookViewId="0">
      <selection activeCell="B3" sqref="B3"/>
    </sheetView>
  </sheetViews>
  <sheetFormatPr defaultRowHeight="15" x14ac:dyDescent="0.25"/>
  <cols>
    <col min="1" max="1" width="34.140625" style="10" customWidth="1"/>
    <col min="2" max="2" width="30.28515625" style="10" customWidth="1"/>
    <col min="3" max="7" width="9.140625" style="10"/>
    <col min="12" max="16384" width="9.140625" style="10"/>
  </cols>
  <sheetData>
    <row r="1" spans="1:11" x14ac:dyDescent="0.25">
      <c r="A1" s="3" t="s">
        <v>54</v>
      </c>
    </row>
    <row r="2" spans="1:11" x14ac:dyDescent="0.25">
      <c r="A2" s="155" t="s">
        <v>55</v>
      </c>
      <c r="B2" s="163" t="s">
        <v>48</v>
      </c>
      <c r="C2" s="164"/>
      <c r="D2" s="164"/>
      <c r="E2" s="164"/>
      <c r="F2" s="164"/>
      <c r="G2" s="164"/>
      <c r="I2" s="10"/>
      <c r="J2" s="3"/>
      <c r="K2" s="10"/>
    </row>
    <row r="3" spans="1:11" x14ac:dyDescent="0.25">
      <c r="A3" s="156"/>
      <c r="B3" s="54" t="s">
        <v>56</v>
      </c>
      <c r="C3" s="55" t="s">
        <v>50</v>
      </c>
      <c r="D3" s="55" t="s">
        <v>279</v>
      </c>
      <c r="E3" s="55" t="s">
        <v>280</v>
      </c>
      <c r="F3" s="55" t="s">
        <v>53</v>
      </c>
      <c r="G3" s="55" t="s">
        <v>57</v>
      </c>
      <c r="I3" s="10"/>
      <c r="J3" s="3"/>
      <c r="K3" s="10"/>
    </row>
    <row r="4" spans="1:11" x14ac:dyDescent="0.25">
      <c r="A4" s="157" t="s">
        <v>201</v>
      </c>
      <c r="B4" s="50" t="s">
        <v>220</v>
      </c>
      <c r="C4" s="11">
        <v>3.9890165496478201E-3</v>
      </c>
      <c r="D4" s="11">
        <v>9.4616446621996876E-5</v>
      </c>
      <c r="E4" s="11">
        <v>6.1369251319822266E-2</v>
      </c>
      <c r="F4" s="11">
        <v>3.0704922620167548E-2</v>
      </c>
      <c r="G4" s="11">
        <v>9.325230578523698E-3</v>
      </c>
      <c r="H4" s="10"/>
      <c r="I4" s="10"/>
      <c r="J4" s="3"/>
      <c r="K4" s="10"/>
    </row>
    <row r="5" spans="1:11" x14ac:dyDescent="0.25">
      <c r="A5" s="158"/>
      <c r="B5" s="50" t="s">
        <v>221</v>
      </c>
      <c r="C5" s="11">
        <v>1.5482138027073926E-2</v>
      </c>
      <c r="D5" s="11">
        <v>1.4669823419588148E-4</v>
      </c>
      <c r="E5" s="11">
        <v>0.12602279653815557</v>
      </c>
      <c r="F5" s="11">
        <v>0.15992567973540345</v>
      </c>
      <c r="G5" s="11">
        <v>6.8514240153494874E-2</v>
      </c>
      <c r="H5" s="10"/>
      <c r="I5" s="10"/>
      <c r="J5" s="3"/>
      <c r="K5" s="10"/>
    </row>
    <row r="6" spans="1:11" x14ac:dyDescent="0.25">
      <c r="A6" s="158"/>
      <c r="B6" s="50" t="s">
        <v>222</v>
      </c>
      <c r="C6" s="11">
        <v>4.3689955953397884E-2</v>
      </c>
      <c r="D6" s="11">
        <v>3.9173850602458582E-4</v>
      </c>
      <c r="E6" s="11">
        <v>0.46744735992116221</v>
      </c>
      <c r="F6" s="11">
        <v>0.24966648844319658</v>
      </c>
      <c r="G6" s="11">
        <v>8.1017998911048009E-2</v>
      </c>
      <c r="H6" s="10"/>
      <c r="I6" s="10"/>
      <c r="J6" s="3"/>
      <c r="K6" s="10"/>
    </row>
    <row r="7" spans="1:11" x14ac:dyDescent="0.25">
      <c r="A7" s="158"/>
      <c r="B7" s="50" t="s">
        <v>223</v>
      </c>
      <c r="C7" s="11">
        <v>3.6023154684608628E-2</v>
      </c>
      <c r="D7" s="11">
        <v>5.7274397999067218E-4</v>
      </c>
      <c r="E7" s="11">
        <v>0.63034815463312366</v>
      </c>
      <c r="F7" s="11">
        <v>0.30652652990664653</v>
      </c>
      <c r="G7" s="11">
        <v>8.1297557226803041E-2</v>
      </c>
      <c r="H7" s="10"/>
      <c r="I7" s="10"/>
      <c r="J7" s="3"/>
      <c r="K7" s="10"/>
    </row>
    <row r="8" spans="1:11" x14ac:dyDescent="0.25">
      <c r="A8" s="158"/>
      <c r="B8" s="50" t="s">
        <v>224</v>
      </c>
      <c r="C8" s="11">
        <v>2.9088427954342536E-2</v>
      </c>
      <c r="D8" s="11">
        <v>8.0986730271663749E-4</v>
      </c>
      <c r="E8" s="11">
        <v>0.84182054273419638</v>
      </c>
      <c r="F8" s="11">
        <v>0.21055843242538708</v>
      </c>
      <c r="G8" s="11">
        <v>7.8277754706101627E-2</v>
      </c>
      <c r="H8" s="10"/>
      <c r="I8" s="10"/>
      <c r="J8" s="3"/>
      <c r="K8" s="10"/>
    </row>
    <row r="9" spans="1:11" x14ac:dyDescent="0.25">
      <c r="A9" s="158"/>
      <c r="B9" s="50" t="s">
        <v>225</v>
      </c>
      <c r="C9" s="12">
        <v>3.8897927506608358E-2</v>
      </c>
      <c r="D9" s="12">
        <v>1.0406255490298018E-3</v>
      </c>
      <c r="E9" s="12">
        <v>1.0799749312549003</v>
      </c>
      <c r="F9" s="12">
        <v>0.34712417522482392</v>
      </c>
      <c r="G9" s="12">
        <v>0.1040828387327908</v>
      </c>
      <c r="H9" s="10"/>
      <c r="I9" s="10"/>
      <c r="J9" s="3"/>
      <c r="K9" s="10"/>
    </row>
    <row r="10" spans="1:11" x14ac:dyDescent="0.25">
      <c r="A10" s="159"/>
      <c r="B10" s="50" t="s">
        <v>226</v>
      </c>
      <c r="C10" s="12">
        <v>6.5509575064624348E-2</v>
      </c>
      <c r="D10" s="12">
        <v>1.7668986494167919E-3</v>
      </c>
      <c r="E10" s="12">
        <v>1.848764979398662</v>
      </c>
      <c r="F10" s="12">
        <v>0.57357271429451673</v>
      </c>
      <c r="G10" s="12">
        <v>0.17421540945270575</v>
      </c>
      <c r="H10" s="10"/>
      <c r="I10" s="10"/>
      <c r="J10" s="3"/>
      <c r="K10" s="10"/>
    </row>
    <row r="11" spans="1:11" x14ac:dyDescent="0.25">
      <c r="A11" s="160" t="s">
        <v>202</v>
      </c>
      <c r="B11" s="44" t="s">
        <v>203</v>
      </c>
      <c r="C11" s="45">
        <v>4.1647481574952775E-3</v>
      </c>
      <c r="D11" s="45">
        <v>6.5318933034944765E-2</v>
      </c>
      <c r="E11" s="45">
        <v>9.7431139391112798E-5</v>
      </c>
      <c r="F11" s="45">
        <v>3.2117661168667613E-2</v>
      </c>
      <c r="G11" s="45">
        <v>1.0013560541894806E-2</v>
      </c>
      <c r="H11" s="10"/>
      <c r="I11" s="10"/>
      <c r="J11" s="3"/>
      <c r="K11" s="10"/>
    </row>
    <row r="12" spans="1:11" x14ac:dyDescent="0.25">
      <c r="A12" s="160"/>
      <c r="B12" s="44" t="s">
        <v>204</v>
      </c>
      <c r="C12" s="45">
        <v>1.9389461005136124E-2</v>
      </c>
      <c r="D12" s="45">
        <v>0.15850781980120351</v>
      </c>
      <c r="E12" s="45">
        <v>1.8265581631205882E-4</v>
      </c>
      <c r="F12" s="45">
        <v>0.19953638186759515</v>
      </c>
      <c r="G12" s="45">
        <v>8.7889870552575564E-2</v>
      </c>
      <c r="H12" s="10"/>
      <c r="I12" s="3"/>
      <c r="J12" s="10"/>
      <c r="K12" s="10"/>
    </row>
    <row r="13" spans="1:11" x14ac:dyDescent="0.25">
      <c r="A13" s="160"/>
      <c r="B13" s="44" t="s">
        <v>205</v>
      </c>
      <c r="C13" s="45">
        <v>3.5159649405128737E-2</v>
      </c>
      <c r="D13" s="45">
        <v>0.39013010201093185</v>
      </c>
      <c r="E13" s="45">
        <v>3.1347091665644508E-4</v>
      </c>
      <c r="F13" s="45">
        <v>0.2004419223709539</v>
      </c>
      <c r="G13" s="45">
        <v>6.7138814469940591E-2</v>
      </c>
      <c r="H13" s="10"/>
      <c r="I13" s="3"/>
      <c r="J13" s="10"/>
      <c r="K13" s="10"/>
    </row>
    <row r="14" spans="1:11" x14ac:dyDescent="0.25">
      <c r="A14" s="160"/>
      <c r="B14" s="44" t="s">
        <v>206</v>
      </c>
      <c r="C14" s="45">
        <v>3.4873730864910753E-2</v>
      </c>
      <c r="D14" s="45">
        <v>0.62819014565488085</v>
      </c>
      <c r="E14" s="45">
        <v>5.4259968788077681E-4</v>
      </c>
      <c r="F14" s="45">
        <v>0.29143683660988179</v>
      </c>
      <c r="G14" s="45">
        <v>7.9806989940830519E-2</v>
      </c>
      <c r="H14" s="10"/>
      <c r="I14" s="3"/>
      <c r="J14" s="10"/>
      <c r="K14" s="10"/>
    </row>
    <row r="15" spans="1:11" x14ac:dyDescent="0.25">
      <c r="A15" s="160"/>
      <c r="B15" s="44" t="s">
        <v>207</v>
      </c>
      <c r="C15" s="45">
        <v>3.101083119228833E-2</v>
      </c>
      <c r="D15" s="45">
        <v>0.83698143551687265</v>
      </c>
      <c r="E15" s="45">
        <v>7.6033040375300068E-4</v>
      </c>
      <c r="F15" s="45">
        <v>0.22495851814724077</v>
      </c>
      <c r="G15" s="45">
        <v>8.0781384871570633E-2</v>
      </c>
      <c r="H15" s="10"/>
      <c r="I15" s="3"/>
      <c r="J15" s="10"/>
      <c r="K15" s="10"/>
    </row>
    <row r="16" spans="1:11" x14ac:dyDescent="0.25">
      <c r="A16" s="160"/>
      <c r="B16" s="44" t="s">
        <v>208</v>
      </c>
      <c r="C16" s="45">
        <v>4.4312637095619792E-2</v>
      </c>
      <c r="D16" s="45">
        <v>1.1811178567160983</v>
      </c>
      <c r="E16" s="45">
        <v>1.0551972934755545E-3</v>
      </c>
      <c r="F16" s="45">
        <v>0.44023160723795168</v>
      </c>
      <c r="G16" s="45">
        <v>0.11468313954524458</v>
      </c>
      <c r="H16" s="10"/>
      <c r="I16" s="3"/>
      <c r="J16" s="10"/>
      <c r="K16" s="10"/>
    </row>
    <row r="17" spans="1:11" x14ac:dyDescent="0.25">
      <c r="A17" s="160"/>
      <c r="B17" s="44" t="s">
        <v>209</v>
      </c>
      <c r="C17" s="45">
        <v>9.1699292295937748E-2</v>
      </c>
      <c r="D17" s="45">
        <v>2.4816495823931239</v>
      </c>
      <c r="E17" s="45">
        <v>2.2143711863278365E-3</v>
      </c>
      <c r="F17" s="45">
        <v>0.8977989810489746</v>
      </c>
      <c r="G17" s="45">
        <v>0.2376690359121682</v>
      </c>
      <c r="H17" s="10"/>
      <c r="I17" s="3"/>
      <c r="J17" s="10"/>
      <c r="K17" s="10"/>
    </row>
    <row r="18" spans="1:11" x14ac:dyDescent="0.25">
      <c r="A18" s="160"/>
      <c r="B18" s="44" t="s">
        <v>210</v>
      </c>
      <c r="C18" s="45">
        <v>0.11281698418835924</v>
      </c>
      <c r="D18" s="45">
        <v>3.6320533542247149</v>
      </c>
      <c r="E18" s="45">
        <v>2.708513011176045E-3</v>
      </c>
      <c r="F18" s="45">
        <v>1.2834306373108464</v>
      </c>
      <c r="G18" s="45">
        <v>0.33188731556128104</v>
      </c>
      <c r="H18" s="10"/>
      <c r="I18" s="3"/>
      <c r="J18" s="10"/>
      <c r="K18" s="10"/>
    </row>
    <row r="19" spans="1:11" x14ac:dyDescent="0.25">
      <c r="A19" s="165" t="s">
        <v>229</v>
      </c>
      <c r="B19" s="50" t="s">
        <v>230</v>
      </c>
      <c r="C19" s="45">
        <v>1.7293805866209693E-2</v>
      </c>
      <c r="D19" s="45">
        <v>0.14064469057785822</v>
      </c>
      <c r="E19" s="45">
        <v>1.6147831631212864E-4</v>
      </c>
      <c r="F19" s="45">
        <v>0.17819459307817639</v>
      </c>
      <c r="G19" s="45">
        <v>7.8597656557779436E-2</v>
      </c>
      <c r="H19" s="10"/>
      <c r="I19" s="3"/>
      <c r="J19" s="10"/>
      <c r="K19" s="10"/>
    </row>
    <row r="20" spans="1:11" x14ac:dyDescent="0.25">
      <c r="A20" s="162"/>
      <c r="B20" s="50" t="s">
        <v>231</v>
      </c>
      <c r="C20" s="45">
        <v>4.517300131682412E-2</v>
      </c>
      <c r="D20" s="45">
        <v>0.50006444196109068</v>
      </c>
      <c r="E20" s="45">
        <v>3.9887801750396949E-4</v>
      </c>
      <c r="F20" s="45">
        <v>0.25660255764958401</v>
      </c>
      <c r="G20" s="45">
        <v>8.6290660711401568E-2</v>
      </c>
      <c r="H20" s="10"/>
      <c r="I20" s="3"/>
      <c r="J20" s="10"/>
      <c r="K20" s="10"/>
    </row>
    <row r="21" spans="1:11" x14ac:dyDescent="0.25">
      <c r="A21" s="162"/>
      <c r="B21" s="50" t="s">
        <v>232</v>
      </c>
      <c r="C21" s="45">
        <v>4.1133851253363274E-2</v>
      </c>
      <c r="D21" s="45">
        <v>0.73743613111810991</v>
      </c>
      <c r="E21" s="45">
        <v>6.3245652808831298E-4</v>
      </c>
      <c r="F21" s="45">
        <v>0.34201904518939646</v>
      </c>
      <c r="G21" s="45">
        <v>9.4025823002404793E-2</v>
      </c>
      <c r="H21" s="10"/>
      <c r="I21" s="3"/>
      <c r="J21" s="10"/>
      <c r="K21" s="10"/>
    </row>
    <row r="22" spans="1:11" x14ac:dyDescent="0.25">
      <c r="A22" s="162"/>
      <c r="B22" s="50" t="s">
        <v>233</v>
      </c>
      <c r="C22" s="45">
        <v>3.6405856222956591E-2</v>
      </c>
      <c r="D22" s="45">
        <v>0.97442063105723431</v>
      </c>
      <c r="E22" s="45">
        <v>8.7841235908159884E-4</v>
      </c>
      <c r="F22" s="45">
        <v>0.26343529859170484</v>
      </c>
      <c r="G22" s="45">
        <v>9.4727400227117536E-2</v>
      </c>
      <c r="H22" s="10"/>
      <c r="I22" s="3"/>
      <c r="J22" s="10"/>
      <c r="K22" s="10"/>
    </row>
    <row r="23" spans="1:11" x14ac:dyDescent="0.25">
      <c r="A23" s="162"/>
      <c r="B23" s="50" t="s">
        <v>234</v>
      </c>
      <c r="C23" s="45">
        <v>4.3563042920389761E-2</v>
      </c>
      <c r="D23" s="45">
        <v>1.1527690945813167</v>
      </c>
      <c r="E23" s="45">
        <v>1.0216994191013589E-3</v>
      </c>
      <c r="F23" s="45">
        <v>0.43873428460684394</v>
      </c>
      <c r="G23" s="45">
        <v>0.11281438267627451</v>
      </c>
      <c r="H23" s="10"/>
      <c r="I23" s="3"/>
      <c r="J23" s="10"/>
      <c r="K23" s="10"/>
    </row>
    <row r="24" spans="1:11" x14ac:dyDescent="0.25">
      <c r="A24" s="166"/>
      <c r="B24" s="38" t="s">
        <v>235</v>
      </c>
      <c r="C24" s="45">
        <v>9.3107744298034881E-2</v>
      </c>
      <c r="D24" s="45">
        <v>2.5014593305616182</v>
      </c>
      <c r="E24" s="45">
        <v>2.2153423218588346E-3</v>
      </c>
      <c r="F24" s="45">
        <v>0.92416323989491289</v>
      </c>
      <c r="G24" s="45">
        <v>0.24129632760036349</v>
      </c>
      <c r="H24" s="10"/>
      <c r="I24" s="3"/>
      <c r="J24" s="10"/>
      <c r="K24" s="10"/>
    </row>
    <row r="25" spans="1:11" x14ac:dyDescent="0.25">
      <c r="A25" s="161" t="s">
        <v>236</v>
      </c>
      <c r="B25" s="48" t="s">
        <v>237</v>
      </c>
      <c r="C25" s="56">
        <v>1.575656241016136E-3</v>
      </c>
      <c r="D25" s="45">
        <v>2.1846605540300799E-2</v>
      </c>
      <c r="E25" s="45">
        <v>4.4609974958892901E-5</v>
      </c>
      <c r="F25" s="45">
        <v>1.7504496292878136E-2</v>
      </c>
      <c r="G25" s="45">
        <v>3.4285838670847224E-3</v>
      </c>
      <c r="H25" s="10"/>
      <c r="I25" s="3"/>
      <c r="J25" s="10"/>
      <c r="K25" s="10"/>
    </row>
    <row r="26" spans="1:11" x14ac:dyDescent="0.25">
      <c r="A26" s="167"/>
      <c r="B26" s="48" t="s">
        <v>238</v>
      </c>
      <c r="C26" s="56">
        <v>3.3711557269744314E-3</v>
      </c>
      <c r="D26" s="45">
        <v>5.2864204950609055E-2</v>
      </c>
      <c r="E26" s="45">
        <v>7.679016531526819E-5</v>
      </c>
      <c r="F26" s="45">
        <v>2.6089756757555312E-2</v>
      </c>
      <c r="G26" s="45">
        <v>8.3913229499695697E-3</v>
      </c>
      <c r="H26" s="10"/>
      <c r="I26" s="3"/>
      <c r="J26" s="10"/>
      <c r="K26" s="10"/>
    </row>
    <row r="27" spans="1:11" x14ac:dyDescent="0.25">
      <c r="A27" s="167"/>
      <c r="B27" s="48" t="s">
        <v>239</v>
      </c>
      <c r="C27" s="56">
        <v>1.5314149787679587E-2</v>
      </c>
      <c r="D27" s="45">
        <v>0.13083637818230451</v>
      </c>
      <c r="E27" s="45">
        <v>1.5236020639047766E-4</v>
      </c>
      <c r="F27" s="45">
        <v>0.15585956634855813</v>
      </c>
      <c r="G27" s="45">
        <v>6.8957054462389311E-2</v>
      </c>
      <c r="H27" s="10"/>
      <c r="I27" s="3"/>
      <c r="J27" s="10"/>
      <c r="K27" s="10"/>
    </row>
    <row r="28" spans="1:11" x14ac:dyDescent="0.25">
      <c r="A28" s="167"/>
      <c r="B28" s="48" t="s">
        <v>240</v>
      </c>
      <c r="C28" s="56">
        <v>3.3309935982535011E-2</v>
      </c>
      <c r="D28" s="45">
        <v>0.39234610723281199</v>
      </c>
      <c r="E28" s="45">
        <v>3.1387121104473639E-4</v>
      </c>
      <c r="F28" s="45">
        <v>0.19623905859425336</v>
      </c>
      <c r="G28" s="45">
        <v>6.5780792944078362E-2</v>
      </c>
      <c r="H28" s="10"/>
      <c r="I28" s="3"/>
      <c r="J28" s="10"/>
      <c r="K28" s="10"/>
    </row>
    <row r="29" spans="1:11" x14ac:dyDescent="0.25">
      <c r="A29" s="167"/>
      <c r="B29" s="48" t="s">
        <v>241</v>
      </c>
      <c r="C29" s="56">
        <v>3.3912807797719428E-2</v>
      </c>
      <c r="D29" s="45">
        <v>0.64385126444989804</v>
      </c>
      <c r="E29" s="45">
        <v>5.5194373792824309E-4</v>
      </c>
      <c r="F29" s="45">
        <v>0.29023161304287465</v>
      </c>
      <c r="G29" s="45">
        <v>7.9307095273692785E-2</v>
      </c>
      <c r="H29" s="10"/>
      <c r="I29" s="3"/>
      <c r="J29" s="10"/>
      <c r="K29" s="10"/>
    </row>
    <row r="30" spans="1:11" x14ac:dyDescent="0.25">
      <c r="A30" s="167"/>
      <c r="B30" s="48" t="s">
        <v>242</v>
      </c>
      <c r="C30" s="56">
        <v>3.3086194221094795E-2</v>
      </c>
      <c r="D30" s="45">
        <v>0.87061844820994538</v>
      </c>
      <c r="E30" s="45">
        <v>7.8132260330237332E-4</v>
      </c>
      <c r="F30" s="45">
        <v>0.24453664250809209</v>
      </c>
      <c r="G30" s="45">
        <v>8.4698408626282556E-2</v>
      </c>
      <c r="H30" s="10"/>
      <c r="I30" s="3"/>
      <c r="J30" s="10"/>
      <c r="K30" s="10"/>
    </row>
    <row r="31" spans="1:11" x14ac:dyDescent="0.25">
      <c r="A31" s="168"/>
      <c r="B31" s="48" t="s">
        <v>243</v>
      </c>
      <c r="C31" s="56">
        <v>4.2320122053026682E-2</v>
      </c>
      <c r="D31" s="45">
        <v>1.1225867247273824</v>
      </c>
      <c r="E31" s="45">
        <v>9.7547160970829448E-4</v>
      </c>
      <c r="F31" s="45">
        <v>0.45433497663964162</v>
      </c>
      <c r="G31" s="45">
        <v>0.1077108189625333</v>
      </c>
      <c r="H31" s="10"/>
      <c r="I31" s="3"/>
      <c r="J31" s="10"/>
      <c r="K31" s="10"/>
    </row>
    <row r="32" spans="1:11" x14ac:dyDescent="0.25">
      <c r="A32" s="165" t="s">
        <v>211</v>
      </c>
      <c r="B32" s="46" t="s">
        <v>212</v>
      </c>
      <c r="C32" s="45">
        <v>2.0640817007273079E-3</v>
      </c>
      <c r="D32" s="45">
        <v>2.8219273885099351E-2</v>
      </c>
      <c r="E32" s="45">
        <v>5.9745520174992271E-5</v>
      </c>
      <c r="F32" s="45">
        <v>2.3443526472403799E-2</v>
      </c>
      <c r="G32" s="45">
        <v>4.4915805061147788E-3</v>
      </c>
      <c r="H32" s="10"/>
      <c r="I32" s="3"/>
      <c r="J32" s="10"/>
      <c r="K32" s="10"/>
    </row>
    <row r="33" spans="1:11" x14ac:dyDescent="0.25">
      <c r="A33" s="162"/>
      <c r="B33" s="46" t="s">
        <v>213</v>
      </c>
      <c r="C33" s="45">
        <v>8.0981203325294713E-3</v>
      </c>
      <c r="D33" s="45">
        <v>0.12700903880930661</v>
      </c>
      <c r="E33" s="45">
        <v>1.8944945477683632E-4</v>
      </c>
      <c r="F33" s="45">
        <v>6.2451027131029957E-2</v>
      </c>
      <c r="G33" s="45">
        <v>1.947081147798415E-2</v>
      </c>
      <c r="H33" s="10"/>
      <c r="I33" s="3"/>
      <c r="J33" s="10"/>
      <c r="K33" s="10"/>
    </row>
    <row r="34" spans="1:11" x14ac:dyDescent="0.25">
      <c r="A34" s="162"/>
      <c r="B34" s="46" t="s">
        <v>214</v>
      </c>
      <c r="C34" s="45">
        <v>2.0583835868549602E-2</v>
      </c>
      <c r="D34" s="45">
        <v>0.17073255428259648</v>
      </c>
      <c r="E34" s="45">
        <v>1.9302394186076696E-4</v>
      </c>
      <c r="F34" s="45">
        <v>0.21097645179492586</v>
      </c>
      <c r="G34" s="45">
        <v>9.5687534035223232E-2</v>
      </c>
      <c r="H34" s="10"/>
      <c r="I34" s="3"/>
      <c r="J34" s="10"/>
      <c r="K34" s="10"/>
    </row>
    <row r="35" spans="1:11" x14ac:dyDescent="0.25">
      <c r="A35" s="162"/>
      <c r="B35" s="46" t="s">
        <v>215</v>
      </c>
      <c r="C35" s="45">
        <v>3.9384469740561555E-2</v>
      </c>
      <c r="D35" s="45">
        <v>0.4729552153703217</v>
      </c>
      <c r="E35" s="45">
        <v>3.4529841364397461E-4</v>
      </c>
      <c r="F35" s="45">
        <v>0.22817502993515104</v>
      </c>
      <c r="G35" s="45">
        <v>8.0159681604441452E-2</v>
      </c>
      <c r="H35" s="10"/>
      <c r="I35" s="3"/>
      <c r="J35" s="10"/>
      <c r="K35" s="10"/>
    </row>
    <row r="36" spans="1:11" x14ac:dyDescent="0.25">
      <c r="A36" s="162"/>
      <c r="B36" s="46" t="s">
        <v>216</v>
      </c>
      <c r="C36" s="45">
        <v>5.0292487854662421E-2</v>
      </c>
      <c r="D36" s="45">
        <v>0.9401228962540833</v>
      </c>
      <c r="E36" s="45">
        <v>7.3441011521314784E-4</v>
      </c>
      <c r="F36" s="45">
        <v>0.41409780619819375</v>
      </c>
      <c r="G36" s="45">
        <v>0.11803119016351812</v>
      </c>
      <c r="H36" s="10"/>
      <c r="I36" s="3"/>
      <c r="J36" s="10"/>
      <c r="K36" s="10"/>
    </row>
    <row r="37" spans="1:11" x14ac:dyDescent="0.25">
      <c r="A37" s="162"/>
      <c r="B37" s="46" t="s">
        <v>217</v>
      </c>
      <c r="C37" s="45">
        <v>5.8641760578405359E-2</v>
      </c>
      <c r="D37" s="45">
        <v>1.4033182396314499</v>
      </c>
      <c r="E37" s="45">
        <v>1.1376158433832162E-3</v>
      </c>
      <c r="F37" s="45">
        <v>0.42961493646714122</v>
      </c>
      <c r="G37" s="45">
        <v>0.14722312444668617</v>
      </c>
      <c r="H37" s="10"/>
      <c r="I37" s="3"/>
      <c r="J37" s="10"/>
      <c r="K37" s="10"/>
    </row>
    <row r="38" spans="1:11" x14ac:dyDescent="0.25">
      <c r="A38" s="162"/>
      <c r="B38" s="46" t="s">
        <v>218</v>
      </c>
      <c r="C38" s="45">
        <v>7.2162400075280922E-2</v>
      </c>
      <c r="D38" s="45">
        <v>1.7836653194875751</v>
      </c>
      <c r="E38" s="45">
        <v>1.3859939892346055E-3</v>
      </c>
      <c r="F38" s="45">
        <v>0.93799411706102809</v>
      </c>
      <c r="G38" s="45">
        <v>0.18226000651309163</v>
      </c>
      <c r="H38" s="10"/>
      <c r="I38" s="3"/>
      <c r="J38" s="10"/>
      <c r="K38" s="10"/>
    </row>
    <row r="39" spans="1:11" x14ac:dyDescent="0.25">
      <c r="A39" s="166"/>
      <c r="B39" s="46" t="s">
        <v>219</v>
      </c>
      <c r="C39" s="45">
        <v>0.136427456696531</v>
      </c>
      <c r="D39" s="45">
        <v>3.4134493932307426</v>
      </c>
      <c r="E39" s="45">
        <v>2.6765991419388816E-3</v>
      </c>
      <c r="F39" s="45">
        <v>1.7573670820489722</v>
      </c>
      <c r="G39" s="45">
        <v>0.34652906695841373</v>
      </c>
      <c r="H39" s="10"/>
      <c r="I39" s="3"/>
      <c r="J39" s="10"/>
      <c r="K39" s="10"/>
    </row>
    <row r="40" spans="1:11" ht="15" customHeight="1" x14ac:dyDescent="0.25">
      <c r="A40" s="161" t="s">
        <v>228</v>
      </c>
      <c r="B40" s="48" t="s">
        <v>244</v>
      </c>
      <c r="C40" s="56">
        <v>1.6685344341441255E-2</v>
      </c>
      <c r="D40" s="45">
        <v>0.13141957562206166</v>
      </c>
      <c r="E40" s="45">
        <v>1.4588936090667877E-4</v>
      </c>
      <c r="F40" s="45">
        <v>0.17293178432562875</v>
      </c>
      <c r="G40" s="45">
        <v>7.8343728303411103E-2</v>
      </c>
      <c r="H40" s="10"/>
      <c r="I40" s="10"/>
      <c r="J40" s="10"/>
      <c r="K40" s="10"/>
    </row>
    <row r="41" spans="1:11" x14ac:dyDescent="0.25">
      <c r="A41" s="162"/>
      <c r="B41" s="57" t="s">
        <v>245</v>
      </c>
      <c r="C41" s="45">
        <v>4.2682051972913831E-2</v>
      </c>
      <c r="D41" s="45">
        <v>0.47805176720589693</v>
      </c>
      <c r="E41" s="45">
        <v>3.5016924589573596E-4</v>
      </c>
      <c r="F41" s="45">
        <v>0.23666018647367493</v>
      </c>
      <c r="G41" s="45">
        <v>8.3656281211262368E-2</v>
      </c>
      <c r="H41" s="10"/>
      <c r="I41" s="10"/>
      <c r="J41" s="10"/>
      <c r="K41" s="10"/>
    </row>
    <row r="42" spans="1:11" x14ac:dyDescent="0.25">
      <c r="A42" s="162"/>
      <c r="B42" s="46" t="s">
        <v>246</v>
      </c>
      <c r="C42" s="45">
        <v>4.4401235069067839E-2</v>
      </c>
      <c r="D42" s="45">
        <v>0.78775936009992464</v>
      </c>
      <c r="E42" s="45">
        <v>6.1850438977116952E-4</v>
      </c>
      <c r="F42" s="45">
        <v>0.35443648699060287</v>
      </c>
      <c r="G42" s="45">
        <v>0.10233313533498303</v>
      </c>
      <c r="H42" s="10"/>
      <c r="I42" s="10"/>
      <c r="J42" s="10"/>
      <c r="K42" s="10"/>
    </row>
    <row r="43" spans="1:11" x14ac:dyDescent="0.25">
      <c r="A43" s="162"/>
      <c r="B43" s="46" t="s">
        <v>247</v>
      </c>
      <c r="C43" s="45">
        <v>4.2283206527599426E-2</v>
      </c>
      <c r="D43" s="45">
        <v>1.0352810333331539</v>
      </c>
      <c r="E43" s="45">
        <v>8.4788367287406919E-4</v>
      </c>
      <c r="F43" s="45">
        <v>0.30421833804757625</v>
      </c>
      <c r="G43" s="45">
        <v>0.10821566630408518</v>
      </c>
      <c r="H43" s="10"/>
      <c r="I43" s="4"/>
      <c r="J43" s="10"/>
      <c r="K43" s="10"/>
    </row>
    <row r="44" spans="1:11" x14ac:dyDescent="0.25">
      <c r="A44" s="162"/>
      <c r="B44" s="46" t="s">
        <v>248</v>
      </c>
      <c r="C44" s="45">
        <v>5.8471393844333593E-2</v>
      </c>
      <c r="D44" s="45">
        <v>1.4504044752796337</v>
      </c>
      <c r="E44" s="45">
        <v>1.1541289752949587E-3</v>
      </c>
      <c r="F44" s="45">
        <v>0.69236889624711362</v>
      </c>
      <c r="G44" s="45">
        <v>0.15079545254235013</v>
      </c>
      <c r="H44" s="10"/>
      <c r="I44" s="10"/>
      <c r="J44" s="10"/>
      <c r="K44" s="10"/>
    </row>
    <row r="45" spans="1:11" x14ac:dyDescent="0.25">
      <c r="A45" s="162"/>
      <c r="B45" s="46" t="s">
        <v>249</v>
      </c>
      <c r="C45" s="45">
        <v>0.10542678137303056</v>
      </c>
      <c r="D45" s="45">
        <v>2.6493344288937148</v>
      </c>
      <c r="E45" s="45">
        <v>2.1193175400435979E-3</v>
      </c>
      <c r="F45" s="45">
        <v>1.2334403465393207</v>
      </c>
      <c r="G45" s="45">
        <v>0.27162136378281504</v>
      </c>
      <c r="H45" s="10"/>
      <c r="I45" s="10"/>
      <c r="J45" s="10"/>
      <c r="K45" s="10"/>
    </row>
    <row r="46" spans="1:11" x14ac:dyDescent="0.25">
      <c r="A46" s="162"/>
      <c r="B46" s="46" t="s">
        <v>250</v>
      </c>
      <c r="C46" s="45">
        <v>0.14691184381350442</v>
      </c>
      <c r="D46" s="45">
        <v>4.3328309237297162</v>
      </c>
      <c r="E46" s="45">
        <v>3.0014495695396453E-3</v>
      </c>
      <c r="F46" s="45">
        <v>1.9431480425491361</v>
      </c>
      <c r="G46" s="45">
        <v>0.42061236372464678</v>
      </c>
      <c r="H46" s="10"/>
      <c r="I46" s="10"/>
      <c r="J46" s="10"/>
      <c r="K46" s="10"/>
    </row>
    <row r="47" spans="1:11" x14ac:dyDescent="0.25">
      <c r="A47" s="47"/>
      <c r="B47" s="48"/>
      <c r="C47" s="49"/>
      <c r="D47" s="49"/>
      <c r="E47" s="49"/>
      <c r="F47" s="49"/>
      <c r="G47" s="49"/>
      <c r="H47" s="10"/>
      <c r="I47" s="10"/>
      <c r="J47" s="10"/>
      <c r="K47" s="10"/>
    </row>
    <row r="48" spans="1:11" x14ac:dyDescent="0.25">
      <c r="H48" s="10"/>
      <c r="I48" s="10"/>
      <c r="J48" s="10"/>
      <c r="K48" s="10"/>
    </row>
    <row r="49" spans="1:11" x14ac:dyDescent="0.25">
      <c r="A49" s="147" t="s">
        <v>58</v>
      </c>
      <c r="B49" s="150"/>
      <c r="C49" s="150"/>
      <c r="D49" s="150"/>
      <c r="E49" s="150"/>
      <c r="F49" s="150"/>
      <c r="H49" s="10"/>
      <c r="I49" s="10"/>
      <c r="J49" s="10"/>
      <c r="K49" s="10"/>
    </row>
    <row r="50" spans="1:11" x14ac:dyDescent="0.25">
      <c r="A50" s="148"/>
      <c r="B50" s="151"/>
      <c r="C50" s="151"/>
      <c r="D50" s="151"/>
      <c r="E50" s="151"/>
      <c r="F50" s="151"/>
      <c r="H50" s="10"/>
      <c r="I50" s="10"/>
      <c r="J50" s="10"/>
      <c r="K50" s="10"/>
    </row>
    <row r="51" spans="1:11" x14ac:dyDescent="0.25">
      <c r="A51" s="148"/>
      <c r="B51" s="151"/>
      <c r="C51" s="151"/>
      <c r="D51" s="151"/>
      <c r="E51" s="151"/>
      <c r="F51" s="151"/>
      <c r="H51" s="10"/>
      <c r="I51" s="10"/>
      <c r="J51" s="10"/>
      <c r="K51" s="10"/>
    </row>
    <row r="52" spans="1:11" ht="15" customHeight="1" x14ac:dyDescent="0.25">
      <c r="A52" s="148"/>
      <c r="B52" s="152" t="s">
        <v>59</v>
      </c>
      <c r="C52" s="152"/>
      <c r="D52" s="152"/>
      <c r="E52" s="152"/>
      <c r="F52" s="152"/>
      <c r="H52" s="10"/>
      <c r="I52" s="10"/>
      <c r="J52" s="10"/>
      <c r="K52" s="10"/>
    </row>
    <row r="53" spans="1:11" x14ac:dyDescent="0.25">
      <c r="A53" s="148"/>
      <c r="B53" s="153"/>
      <c r="C53" s="153"/>
      <c r="D53" s="153"/>
      <c r="E53" s="153"/>
      <c r="F53" s="153"/>
      <c r="H53" s="10"/>
      <c r="I53" s="10"/>
      <c r="J53" s="10"/>
      <c r="K53" s="10"/>
    </row>
    <row r="54" spans="1:11" x14ac:dyDescent="0.25">
      <c r="A54" s="148"/>
      <c r="B54" s="153"/>
      <c r="C54" s="153"/>
      <c r="D54" s="153"/>
      <c r="E54" s="153"/>
      <c r="F54" s="153"/>
      <c r="H54" s="10"/>
      <c r="I54" s="10"/>
      <c r="J54" s="10"/>
      <c r="K54" s="10"/>
    </row>
    <row r="55" spans="1:11" x14ac:dyDescent="0.25">
      <c r="A55" s="149"/>
      <c r="B55" s="154"/>
      <c r="C55" s="154"/>
      <c r="D55" s="154"/>
      <c r="E55" s="154"/>
      <c r="F55" s="154"/>
      <c r="H55" s="10"/>
      <c r="I55" s="10"/>
      <c r="J55" s="10"/>
      <c r="K55" s="10"/>
    </row>
    <row r="56" spans="1:11" x14ac:dyDescent="0.25">
      <c r="H56" s="10"/>
      <c r="I56" s="10"/>
      <c r="J56" s="10"/>
      <c r="K56" s="10"/>
    </row>
    <row r="57" spans="1:11" x14ac:dyDescent="0.25">
      <c r="A57" s="3" t="s">
        <v>60</v>
      </c>
      <c r="H57" s="10"/>
      <c r="I57" s="10"/>
      <c r="J57" s="10"/>
      <c r="K57" s="10"/>
    </row>
    <row r="58" spans="1:11" x14ac:dyDescent="0.25">
      <c r="A58" s="3" t="s">
        <v>61</v>
      </c>
      <c r="H58" s="10"/>
      <c r="I58" s="10"/>
      <c r="J58" s="10"/>
      <c r="K58" s="10"/>
    </row>
    <row r="59" spans="1:11" x14ac:dyDescent="0.25">
      <c r="H59" s="10"/>
      <c r="I59" s="10"/>
      <c r="J59" s="10"/>
      <c r="K59" s="10"/>
    </row>
    <row r="60" spans="1:11" x14ac:dyDescent="0.25">
      <c r="H60" s="10"/>
      <c r="I60" s="10"/>
      <c r="J60" s="10"/>
      <c r="K60" s="10"/>
    </row>
    <row r="61" spans="1:11" x14ac:dyDescent="0.25">
      <c r="H61" s="10"/>
      <c r="I61" s="10"/>
      <c r="J61" s="10"/>
      <c r="K61" s="10"/>
    </row>
    <row r="62" spans="1:11" x14ac:dyDescent="0.25">
      <c r="H62" s="10"/>
      <c r="I62" s="10"/>
      <c r="J62" s="10"/>
      <c r="K62" s="10"/>
    </row>
    <row r="63" spans="1:11" x14ac:dyDescent="0.25">
      <c r="H63" s="10"/>
      <c r="I63" s="10"/>
      <c r="J63" s="10"/>
      <c r="K63" s="10"/>
    </row>
    <row r="64" spans="1:11" x14ac:dyDescent="0.25">
      <c r="H64" s="10"/>
      <c r="I64" s="10"/>
      <c r="J64" s="10"/>
      <c r="K64" s="10"/>
    </row>
    <row r="65" spans="8:11" x14ac:dyDescent="0.25">
      <c r="H65" s="10"/>
      <c r="I65" s="10"/>
      <c r="J65" s="10"/>
      <c r="K65" s="10"/>
    </row>
    <row r="66" spans="8:11" x14ac:dyDescent="0.25">
      <c r="H66" s="10"/>
      <c r="I66" s="10"/>
      <c r="J66" s="10"/>
      <c r="K66" s="10"/>
    </row>
    <row r="67" spans="8:11" x14ac:dyDescent="0.25">
      <c r="H67" s="10"/>
      <c r="I67" s="10"/>
      <c r="J67" s="10"/>
      <c r="K67" s="10"/>
    </row>
    <row r="68" spans="8:11" x14ac:dyDescent="0.25">
      <c r="H68" s="10"/>
      <c r="I68" s="10"/>
      <c r="J68" s="10"/>
      <c r="K68" s="10"/>
    </row>
    <row r="69" spans="8:11" x14ac:dyDescent="0.25">
      <c r="H69" s="10"/>
      <c r="I69" s="10"/>
      <c r="J69" s="10"/>
      <c r="K69" s="10"/>
    </row>
    <row r="70" spans="8:11" x14ac:dyDescent="0.25">
      <c r="H70" s="10"/>
      <c r="I70" s="10"/>
      <c r="J70" s="10"/>
      <c r="K70" s="10"/>
    </row>
    <row r="71" spans="8:11" x14ac:dyDescent="0.25">
      <c r="H71" s="10"/>
      <c r="I71" s="10"/>
      <c r="J71" s="10"/>
      <c r="K71" s="10"/>
    </row>
    <row r="72" spans="8:11" x14ac:dyDescent="0.25">
      <c r="H72" s="10"/>
      <c r="I72" s="10"/>
      <c r="J72" s="10"/>
      <c r="K72" s="10"/>
    </row>
    <row r="73" spans="8:11" x14ac:dyDescent="0.25">
      <c r="H73" s="10"/>
      <c r="I73" s="10"/>
      <c r="J73" s="10"/>
      <c r="K73" s="10"/>
    </row>
    <row r="74" spans="8:11" x14ac:dyDescent="0.25">
      <c r="H74" s="10"/>
      <c r="I74" s="10"/>
      <c r="J74" s="10"/>
      <c r="K74" s="10"/>
    </row>
    <row r="75" spans="8:11" x14ac:dyDescent="0.25">
      <c r="H75" s="10"/>
      <c r="I75" s="10"/>
      <c r="J75" s="10"/>
      <c r="K75" s="10"/>
    </row>
    <row r="76" spans="8:11" x14ac:dyDescent="0.25">
      <c r="H76" s="10"/>
      <c r="I76" s="10"/>
      <c r="J76" s="10"/>
      <c r="K76" s="10"/>
    </row>
    <row r="77" spans="8:11" x14ac:dyDescent="0.25">
      <c r="H77" s="10"/>
      <c r="I77" s="10"/>
      <c r="J77" s="10"/>
      <c r="K77" s="10"/>
    </row>
    <row r="78" spans="8:11" x14ac:dyDescent="0.25">
      <c r="H78" s="10"/>
      <c r="I78" s="10"/>
      <c r="J78" s="10"/>
      <c r="K78" s="10"/>
    </row>
    <row r="79" spans="8:11" x14ac:dyDescent="0.25">
      <c r="H79" s="10"/>
      <c r="I79" s="10"/>
      <c r="J79" s="10"/>
      <c r="K79" s="10"/>
    </row>
    <row r="80" spans="8:11" x14ac:dyDescent="0.25">
      <c r="H80" s="10"/>
      <c r="I80" s="10"/>
      <c r="J80" s="10"/>
      <c r="K80" s="10"/>
    </row>
    <row r="81" spans="8:11" x14ac:dyDescent="0.25">
      <c r="H81" s="10"/>
      <c r="I81" s="10"/>
      <c r="J81" s="10"/>
      <c r="K81" s="10"/>
    </row>
    <row r="82" spans="8:11" x14ac:dyDescent="0.25">
      <c r="H82" s="10"/>
      <c r="I82" s="10"/>
      <c r="J82" s="10"/>
      <c r="K82" s="10"/>
    </row>
    <row r="83" spans="8:11" x14ac:dyDescent="0.25">
      <c r="H83" s="10"/>
      <c r="I83" s="10"/>
      <c r="J83" s="10"/>
      <c r="K83" s="10"/>
    </row>
    <row r="84" spans="8:11" x14ac:dyDescent="0.25">
      <c r="H84" s="10"/>
      <c r="I84" s="10"/>
      <c r="J84" s="10"/>
      <c r="K84" s="10"/>
    </row>
    <row r="85" spans="8:11" x14ac:dyDescent="0.25">
      <c r="H85" s="10"/>
      <c r="I85" s="10"/>
      <c r="J85" s="10"/>
      <c r="K85" s="10"/>
    </row>
    <row r="86" spans="8:11" x14ac:dyDescent="0.25">
      <c r="H86" s="10"/>
      <c r="I86" s="10"/>
      <c r="J86" s="10"/>
      <c r="K86" s="10"/>
    </row>
    <row r="87" spans="8:11" x14ac:dyDescent="0.25">
      <c r="H87" s="10"/>
      <c r="I87" s="10"/>
      <c r="J87" s="10"/>
      <c r="K87" s="10"/>
    </row>
    <row r="88" spans="8:11" x14ac:dyDescent="0.25">
      <c r="H88" s="10"/>
      <c r="I88" s="10"/>
      <c r="J88" s="10"/>
      <c r="K88" s="10"/>
    </row>
    <row r="89" spans="8:11" x14ac:dyDescent="0.25">
      <c r="H89" s="10"/>
      <c r="I89" s="10"/>
      <c r="J89" s="10"/>
      <c r="K89" s="10"/>
    </row>
    <row r="90" spans="8:11" x14ac:dyDescent="0.25">
      <c r="H90" s="10"/>
      <c r="I90" s="10"/>
      <c r="J90" s="10"/>
      <c r="K90" s="10"/>
    </row>
    <row r="91" spans="8:11" x14ac:dyDescent="0.25">
      <c r="H91" s="10"/>
      <c r="I91" s="10"/>
      <c r="J91" s="10"/>
      <c r="K91" s="10"/>
    </row>
    <row r="92" spans="8:11" x14ac:dyDescent="0.25">
      <c r="H92" s="10"/>
      <c r="I92" s="10"/>
      <c r="J92" s="10"/>
      <c r="K92" s="10"/>
    </row>
    <row r="93" spans="8:11" x14ac:dyDescent="0.25">
      <c r="H93" s="10"/>
      <c r="I93" s="10"/>
      <c r="J93" s="10"/>
      <c r="K93" s="10"/>
    </row>
    <row r="94" spans="8:11" x14ac:dyDescent="0.25">
      <c r="H94" s="10"/>
      <c r="I94" s="10"/>
      <c r="J94" s="10"/>
      <c r="K94" s="10"/>
    </row>
    <row r="95" spans="8:11" x14ac:dyDescent="0.25">
      <c r="H95" s="10"/>
      <c r="I95" s="10"/>
      <c r="J95" s="10"/>
      <c r="K95" s="10"/>
    </row>
    <row r="96" spans="8:11" x14ac:dyDescent="0.25">
      <c r="H96" s="10"/>
      <c r="I96" s="10"/>
      <c r="J96" s="10"/>
      <c r="K96" s="10"/>
    </row>
    <row r="97" spans="8:11" x14ac:dyDescent="0.25">
      <c r="H97" s="10"/>
      <c r="I97" s="10"/>
      <c r="J97" s="10"/>
      <c r="K97" s="10"/>
    </row>
    <row r="98" spans="8:11" x14ac:dyDescent="0.25">
      <c r="H98" s="10"/>
      <c r="I98" s="10"/>
      <c r="J98" s="10"/>
      <c r="K98" s="10"/>
    </row>
    <row r="99" spans="8:11" x14ac:dyDescent="0.25">
      <c r="H99" s="10"/>
      <c r="I99" s="10"/>
      <c r="J99" s="10"/>
      <c r="K99" s="10"/>
    </row>
    <row r="100" spans="8:11" x14ac:dyDescent="0.25">
      <c r="H100" s="10"/>
      <c r="I100" s="10"/>
      <c r="J100" s="10"/>
      <c r="K100" s="10"/>
    </row>
    <row r="101" spans="8:11" x14ac:dyDescent="0.25">
      <c r="H101" s="10"/>
      <c r="I101" s="10"/>
      <c r="J101" s="10"/>
      <c r="K101" s="10"/>
    </row>
    <row r="102" spans="8:11" x14ac:dyDescent="0.25">
      <c r="H102" s="10"/>
      <c r="I102" s="10"/>
      <c r="J102" s="10"/>
      <c r="K102" s="10"/>
    </row>
    <row r="103" spans="8:11" x14ac:dyDescent="0.25">
      <c r="H103" s="10"/>
      <c r="I103" s="10"/>
      <c r="J103" s="10"/>
      <c r="K103" s="10"/>
    </row>
    <row r="104" spans="8:11" x14ac:dyDescent="0.25">
      <c r="H104" s="10"/>
      <c r="I104" s="10"/>
      <c r="J104" s="10"/>
      <c r="K104" s="10"/>
    </row>
    <row r="105" spans="8:11" x14ac:dyDescent="0.25">
      <c r="H105" s="10"/>
      <c r="I105" s="10"/>
      <c r="J105" s="10"/>
      <c r="K105" s="10"/>
    </row>
    <row r="106" spans="8:11" x14ac:dyDescent="0.25">
      <c r="H106" s="10"/>
      <c r="I106" s="10"/>
      <c r="J106" s="10"/>
      <c r="K106" s="10"/>
    </row>
    <row r="107" spans="8:11" x14ac:dyDescent="0.25">
      <c r="H107" s="10"/>
      <c r="I107" s="10"/>
      <c r="J107" s="10"/>
      <c r="K107" s="10"/>
    </row>
    <row r="108" spans="8:11" x14ac:dyDescent="0.25">
      <c r="H108" s="10"/>
      <c r="I108" s="10"/>
      <c r="J108" s="10"/>
      <c r="K108" s="10"/>
    </row>
    <row r="109" spans="8:11" x14ac:dyDescent="0.25">
      <c r="H109" s="10"/>
      <c r="I109" s="10"/>
      <c r="J109" s="10"/>
      <c r="K109" s="10"/>
    </row>
    <row r="110" spans="8:11" x14ac:dyDescent="0.25">
      <c r="H110" s="10"/>
      <c r="I110" s="10"/>
      <c r="J110" s="10"/>
      <c r="K110" s="10"/>
    </row>
    <row r="111" spans="8:11" x14ac:dyDescent="0.25">
      <c r="H111" s="10"/>
      <c r="I111" s="10"/>
      <c r="J111" s="10"/>
      <c r="K111" s="10"/>
    </row>
    <row r="112" spans="8:11" x14ac:dyDescent="0.25">
      <c r="H112" s="10"/>
      <c r="I112" s="10"/>
      <c r="J112" s="10"/>
      <c r="K112" s="10"/>
    </row>
    <row r="113" spans="8:11" x14ac:dyDescent="0.25">
      <c r="H113" s="10"/>
      <c r="I113" s="10"/>
      <c r="J113" s="10"/>
      <c r="K113" s="10"/>
    </row>
    <row r="114" spans="8:11" x14ac:dyDescent="0.25">
      <c r="H114" s="10"/>
      <c r="I114" s="10"/>
      <c r="J114" s="10"/>
      <c r="K114" s="10"/>
    </row>
    <row r="115" spans="8:11" x14ac:dyDescent="0.25">
      <c r="H115" s="10"/>
      <c r="I115" s="10"/>
      <c r="J115" s="10"/>
      <c r="K115" s="10"/>
    </row>
    <row r="116" spans="8:11" x14ac:dyDescent="0.25">
      <c r="H116" s="10"/>
      <c r="I116" s="10"/>
      <c r="J116" s="10"/>
      <c r="K116" s="10"/>
    </row>
    <row r="117" spans="8:11" x14ac:dyDescent="0.25">
      <c r="H117" s="10"/>
      <c r="I117" s="10"/>
      <c r="J117" s="10"/>
      <c r="K117" s="10"/>
    </row>
    <row r="118" spans="8:11" x14ac:dyDescent="0.25">
      <c r="H118" s="10"/>
      <c r="I118" s="10"/>
      <c r="J118" s="10"/>
      <c r="K118" s="10"/>
    </row>
    <row r="119" spans="8:11" x14ac:dyDescent="0.25">
      <c r="H119" s="10"/>
      <c r="I119" s="10"/>
      <c r="J119" s="10"/>
      <c r="K119" s="10"/>
    </row>
    <row r="120" spans="8:11" x14ac:dyDescent="0.25">
      <c r="H120" s="10"/>
      <c r="I120" s="10"/>
      <c r="J120" s="10"/>
      <c r="K120" s="10"/>
    </row>
    <row r="121" spans="8:11" x14ac:dyDescent="0.25">
      <c r="H121" s="10"/>
      <c r="I121" s="10"/>
      <c r="J121" s="10"/>
      <c r="K121" s="10"/>
    </row>
    <row r="122" spans="8:11" x14ac:dyDescent="0.25">
      <c r="H122" s="10"/>
      <c r="I122" s="10"/>
      <c r="J122" s="10"/>
      <c r="K122" s="10"/>
    </row>
    <row r="123" spans="8:11" x14ac:dyDescent="0.25">
      <c r="H123" s="10"/>
      <c r="I123" s="10"/>
      <c r="J123" s="10"/>
      <c r="K123" s="10"/>
    </row>
    <row r="124" spans="8:11" x14ac:dyDescent="0.25">
      <c r="H124" s="10"/>
      <c r="I124" s="10"/>
      <c r="J124" s="10"/>
      <c r="K124" s="10"/>
    </row>
    <row r="125" spans="8:11" x14ac:dyDescent="0.25">
      <c r="H125" s="10"/>
      <c r="I125" s="10"/>
      <c r="J125" s="10"/>
      <c r="K125" s="10"/>
    </row>
    <row r="126" spans="8:11" x14ac:dyDescent="0.25">
      <c r="H126" s="10"/>
      <c r="I126" s="10"/>
      <c r="J126" s="10"/>
      <c r="K126" s="10"/>
    </row>
    <row r="127" spans="8:11" x14ac:dyDescent="0.25">
      <c r="H127" s="10"/>
      <c r="I127" s="10"/>
      <c r="J127" s="10"/>
      <c r="K127" s="10"/>
    </row>
    <row r="128" spans="8:11" x14ac:dyDescent="0.25">
      <c r="H128" s="10"/>
      <c r="I128" s="10"/>
      <c r="J128" s="10"/>
      <c r="K128" s="10"/>
    </row>
    <row r="129" spans="8:11" x14ac:dyDescent="0.25">
      <c r="H129" s="10"/>
      <c r="I129" s="10"/>
      <c r="J129" s="10"/>
      <c r="K129" s="10"/>
    </row>
    <row r="130" spans="8:11" x14ac:dyDescent="0.25">
      <c r="H130" s="10"/>
      <c r="I130" s="10"/>
      <c r="J130" s="10"/>
      <c r="K130" s="10"/>
    </row>
    <row r="131" spans="8:11" x14ac:dyDescent="0.25">
      <c r="H131" s="10"/>
      <c r="I131" s="10"/>
      <c r="J131" s="10"/>
      <c r="K131" s="10"/>
    </row>
    <row r="132" spans="8:11" x14ac:dyDescent="0.25">
      <c r="H132" s="10"/>
      <c r="I132" s="10"/>
      <c r="J132" s="10"/>
      <c r="K132" s="10"/>
    </row>
    <row r="133" spans="8:11" x14ac:dyDescent="0.25">
      <c r="H133" s="10"/>
      <c r="I133" s="10"/>
      <c r="J133" s="10"/>
      <c r="K133" s="10"/>
    </row>
    <row r="134" spans="8:11" x14ac:dyDescent="0.25">
      <c r="H134" s="10"/>
      <c r="I134" s="10"/>
      <c r="J134" s="10"/>
      <c r="K134" s="10"/>
    </row>
    <row r="135" spans="8:11" x14ac:dyDescent="0.25">
      <c r="H135" s="10"/>
      <c r="I135" s="10"/>
      <c r="J135" s="10"/>
      <c r="K135" s="10"/>
    </row>
    <row r="136" spans="8:11" x14ac:dyDescent="0.25">
      <c r="H136" s="10"/>
      <c r="I136" s="10"/>
      <c r="J136" s="10"/>
      <c r="K136" s="10"/>
    </row>
    <row r="137" spans="8:11" x14ac:dyDescent="0.25">
      <c r="H137" s="10"/>
      <c r="I137" s="10"/>
      <c r="J137" s="10"/>
      <c r="K137" s="10"/>
    </row>
    <row r="138" spans="8:11" x14ac:dyDescent="0.25">
      <c r="H138" s="10"/>
      <c r="I138" s="10"/>
      <c r="J138" s="10"/>
      <c r="K138" s="10"/>
    </row>
    <row r="139" spans="8:11" x14ac:dyDescent="0.25">
      <c r="H139" s="10"/>
      <c r="I139" s="10"/>
      <c r="J139" s="10"/>
      <c r="K139" s="10"/>
    </row>
    <row r="140" spans="8:11" x14ac:dyDescent="0.25">
      <c r="H140" s="10"/>
      <c r="I140" s="10"/>
      <c r="J140" s="10"/>
      <c r="K140" s="10"/>
    </row>
    <row r="141" spans="8:11" x14ac:dyDescent="0.25">
      <c r="H141" s="10"/>
      <c r="I141" s="10"/>
      <c r="J141" s="10"/>
      <c r="K141" s="10"/>
    </row>
    <row r="142" spans="8:11" x14ac:dyDescent="0.25">
      <c r="H142" s="10"/>
      <c r="I142" s="10"/>
      <c r="J142" s="10"/>
      <c r="K142" s="10"/>
    </row>
    <row r="143" spans="8:11" x14ac:dyDescent="0.25">
      <c r="H143" s="10"/>
      <c r="I143" s="10"/>
      <c r="J143" s="10"/>
      <c r="K143" s="10"/>
    </row>
    <row r="144" spans="8:11" x14ac:dyDescent="0.25">
      <c r="H144" s="10"/>
      <c r="I144" s="10"/>
      <c r="J144" s="10"/>
      <c r="K144" s="10"/>
    </row>
    <row r="145" spans="8:11" x14ac:dyDescent="0.25">
      <c r="H145" s="10"/>
      <c r="I145" s="10"/>
      <c r="J145" s="10"/>
      <c r="K145" s="10"/>
    </row>
    <row r="146" spans="8:11" x14ac:dyDescent="0.25">
      <c r="H146" s="10"/>
      <c r="I146" s="10"/>
      <c r="J146" s="10"/>
      <c r="K146" s="10"/>
    </row>
    <row r="147" spans="8:11" x14ac:dyDescent="0.25">
      <c r="H147" s="10"/>
      <c r="I147" s="10"/>
      <c r="J147" s="10"/>
      <c r="K147" s="10"/>
    </row>
    <row r="148" spans="8:11" x14ac:dyDescent="0.25">
      <c r="H148" s="10"/>
      <c r="I148" s="10"/>
      <c r="J148" s="10"/>
      <c r="K148" s="10"/>
    </row>
    <row r="149" spans="8:11" x14ac:dyDescent="0.25">
      <c r="H149" s="10"/>
      <c r="I149" s="10"/>
      <c r="J149" s="10"/>
      <c r="K149" s="10"/>
    </row>
    <row r="150" spans="8:11" x14ac:dyDescent="0.25">
      <c r="H150" s="10"/>
      <c r="I150" s="10"/>
      <c r="J150" s="10"/>
      <c r="K150" s="10"/>
    </row>
    <row r="151" spans="8:11" x14ac:dyDescent="0.25">
      <c r="H151" s="10"/>
      <c r="I151" s="10"/>
      <c r="J151" s="10"/>
      <c r="K151" s="10"/>
    </row>
    <row r="152" spans="8:11" x14ac:dyDescent="0.25">
      <c r="H152" s="10"/>
      <c r="I152" s="10"/>
      <c r="J152" s="10"/>
      <c r="K152" s="10"/>
    </row>
    <row r="153" spans="8:11" x14ac:dyDescent="0.25">
      <c r="H153" s="10"/>
      <c r="I153" s="10"/>
      <c r="J153" s="10"/>
      <c r="K153" s="10"/>
    </row>
    <row r="154" spans="8:11" x14ac:dyDescent="0.25">
      <c r="H154" s="10"/>
      <c r="I154" s="10"/>
      <c r="J154" s="10"/>
      <c r="K154" s="10"/>
    </row>
    <row r="155" spans="8:11" x14ac:dyDescent="0.25">
      <c r="H155" s="10"/>
      <c r="I155" s="10"/>
      <c r="J155" s="10"/>
      <c r="K155" s="10"/>
    </row>
    <row r="156" spans="8:11" x14ac:dyDescent="0.25">
      <c r="H156" s="10"/>
      <c r="I156" s="10"/>
      <c r="J156" s="10"/>
      <c r="K156" s="10"/>
    </row>
    <row r="157" spans="8:11" x14ac:dyDescent="0.25">
      <c r="H157" s="10"/>
      <c r="I157" s="10"/>
      <c r="J157" s="10"/>
      <c r="K157" s="10"/>
    </row>
    <row r="158" spans="8:11" x14ac:dyDescent="0.25">
      <c r="H158" s="10"/>
      <c r="I158" s="10"/>
      <c r="J158" s="10"/>
      <c r="K158" s="10"/>
    </row>
    <row r="159" spans="8:11" x14ac:dyDescent="0.25">
      <c r="H159" s="10"/>
      <c r="I159" s="10"/>
      <c r="J159" s="10"/>
      <c r="K159" s="10"/>
    </row>
    <row r="160" spans="8:11" x14ac:dyDescent="0.25">
      <c r="H160" s="10"/>
      <c r="I160" s="10"/>
      <c r="J160" s="10"/>
      <c r="K160" s="10"/>
    </row>
    <row r="161" spans="8:11" x14ac:dyDescent="0.25">
      <c r="H161" s="10"/>
      <c r="I161" s="10"/>
      <c r="J161" s="10"/>
      <c r="K161" s="10"/>
    </row>
    <row r="162" spans="8:11" x14ac:dyDescent="0.25">
      <c r="H162" s="10"/>
      <c r="I162" s="10"/>
      <c r="J162" s="10"/>
      <c r="K162" s="10"/>
    </row>
    <row r="163" spans="8:11" x14ac:dyDescent="0.25">
      <c r="H163" s="10"/>
      <c r="I163" s="10"/>
      <c r="J163" s="10"/>
      <c r="K163" s="10"/>
    </row>
    <row r="164" spans="8:11" x14ac:dyDescent="0.25">
      <c r="H164" s="10"/>
      <c r="I164" s="10"/>
      <c r="J164" s="10"/>
      <c r="K164" s="10"/>
    </row>
    <row r="165" spans="8:11" x14ac:dyDescent="0.25">
      <c r="H165" s="10"/>
      <c r="I165" s="10"/>
      <c r="J165" s="10"/>
      <c r="K165" s="10"/>
    </row>
    <row r="166" spans="8:11" x14ac:dyDescent="0.25">
      <c r="H166" s="10"/>
      <c r="I166" s="10"/>
      <c r="J166" s="10"/>
      <c r="K166" s="10"/>
    </row>
    <row r="167" spans="8:11" x14ac:dyDescent="0.25">
      <c r="H167" s="10"/>
      <c r="I167" s="10"/>
      <c r="J167" s="10"/>
      <c r="K167" s="10"/>
    </row>
    <row r="168" spans="8:11" x14ac:dyDescent="0.25">
      <c r="H168" s="10"/>
      <c r="I168" s="10"/>
      <c r="J168" s="10"/>
      <c r="K168" s="10"/>
    </row>
    <row r="169" spans="8:11" x14ac:dyDescent="0.25">
      <c r="H169" s="10"/>
      <c r="I169" s="10"/>
      <c r="J169" s="10"/>
      <c r="K169" s="10"/>
    </row>
    <row r="170" spans="8:11" x14ac:dyDescent="0.25">
      <c r="H170" s="10"/>
      <c r="I170" s="10"/>
      <c r="J170" s="10"/>
      <c r="K170" s="10"/>
    </row>
    <row r="171" spans="8:11" x14ac:dyDescent="0.25">
      <c r="H171" s="10"/>
      <c r="I171" s="10"/>
      <c r="J171" s="10"/>
      <c r="K171" s="10"/>
    </row>
    <row r="172" spans="8:11" x14ac:dyDescent="0.25">
      <c r="H172" s="10"/>
      <c r="I172" s="10"/>
      <c r="J172" s="10"/>
      <c r="K172" s="10"/>
    </row>
    <row r="173" spans="8:11" x14ac:dyDescent="0.25">
      <c r="H173" s="10"/>
      <c r="I173" s="10"/>
      <c r="J173" s="10"/>
      <c r="K173" s="10"/>
    </row>
    <row r="174" spans="8:11" x14ac:dyDescent="0.25">
      <c r="H174" s="10"/>
      <c r="I174" s="10"/>
      <c r="J174" s="10"/>
      <c r="K174" s="10"/>
    </row>
    <row r="175" spans="8:11" x14ac:dyDescent="0.25">
      <c r="H175" s="10"/>
      <c r="I175" s="10"/>
      <c r="J175" s="10"/>
      <c r="K175" s="10"/>
    </row>
    <row r="176" spans="8:11" x14ac:dyDescent="0.25">
      <c r="H176" s="10"/>
      <c r="I176" s="10"/>
      <c r="J176" s="10"/>
      <c r="K176" s="10"/>
    </row>
    <row r="177" spans="8:11" x14ac:dyDescent="0.25">
      <c r="H177" s="10"/>
      <c r="I177" s="10"/>
      <c r="J177" s="10"/>
      <c r="K177" s="10"/>
    </row>
    <row r="178" spans="8:11" x14ac:dyDescent="0.25">
      <c r="H178" s="10"/>
      <c r="I178" s="10"/>
      <c r="J178" s="10"/>
      <c r="K178" s="10"/>
    </row>
    <row r="179" spans="8:11" x14ac:dyDescent="0.25">
      <c r="H179" s="10"/>
      <c r="I179" s="10"/>
      <c r="J179" s="10"/>
      <c r="K179" s="10"/>
    </row>
    <row r="180" spans="8:11" x14ac:dyDescent="0.25">
      <c r="H180" s="10"/>
      <c r="I180" s="10"/>
      <c r="J180" s="10"/>
      <c r="K180" s="10"/>
    </row>
    <row r="181" spans="8:11" x14ac:dyDescent="0.25">
      <c r="H181" s="10"/>
      <c r="I181" s="10"/>
      <c r="J181" s="10"/>
      <c r="K181" s="10"/>
    </row>
    <row r="182" spans="8:11" x14ac:dyDescent="0.25">
      <c r="H182" s="10"/>
      <c r="I182" s="10"/>
      <c r="J182" s="10"/>
      <c r="K182" s="10"/>
    </row>
    <row r="183" spans="8:11" x14ac:dyDescent="0.25">
      <c r="H183" s="10"/>
      <c r="I183" s="10"/>
      <c r="J183" s="10"/>
      <c r="K183" s="10"/>
    </row>
    <row r="184" spans="8:11" x14ac:dyDescent="0.25">
      <c r="H184" s="10"/>
      <c r="I184" s="10"/>
      <c r="J184" s="10"/>
      <c r="K184" s="10"/>
    </row>
    <row r="185" spans="8:11" x14ac:dyDescent="0.25">
      <c r="H185" s="10"/>
      <c r="I185" s="10"/>
      <c r="J185" s="10"/>
      <c r="K185" s="10"/>
    </row>
    <row r="186" spans="8:11" x14ac:dyDescent="0.25">
      <c r="H186" s="10"/>
      <c r="I186" s="10"/>
      <c r="J186" s="10"/>
      <c r="K186" s="10"/>
    </row>
    <row r="187" spans="8:11" x14ac:dyDescent="0.25">
      <c r="H187" s="10"/>
      <c r="I187" s="10"/>
      <c r="J187" s="10"/>
      <c r="K187" s="10"/>
    </row>
    <row r="188" spans="8:11" x14ac:dyDescent="0.25">
      <c r="H188" s="10"/>
      <c r="I188" s="10"/>
      <c r="J188" s="10"/>
      <c r="K188" s="10"/>
    </row>
    <row r="189" spans="8:11" x14ac:dyDescent="0.25">
      <c r="H189" s="10"/>
      <c r="I189" s="10"/>
      <c r="J189" s="10"/>
      <c r="K189" s="10"/>
    </row>
    <row r="190" spans="8:11" x14ac:dyDescent="0.25">
      <c r="H190" s="10"/>
      <c r="I190" s="10"/>
      <c r="J190" s="10"/>
      <c r="K190" s="10"/>
    </row>
    <row r="191" spans="8:11" x14ac:dyDescent="0.25">
      <c r="H191" s="10"/>
      <c r="I191" s="10"/>
      <c r="J191" s="10"/>
      <c r="K191" s="10"/>
    </row>
    <row r="192" spans="8:11" x14ac:dyDescent="0.25">
      <c r="H192" s="10"/>
      <c r="I192" s="10"/>
      <c r="J192" s="10"/>
      <c r="K192" s="10"/>
    </row>
    <row r="193" spans="8:11" x14ac:dyDescent="0.25">
      <c r="H193" s="10"/>
      <c r="I193" s="10"/>
      <c r="J193" s="10"/>
      <c r="K193" s="10"/>
    </row>
    <row r="194" spans="8:11" x14ac:dyDescent="0.25">
      <c r="H194" s="10"/>
      <c r="I194" s="10"/>
      <c r="J194" s="10"/>
      <c r="K194" s="10"/>
    </row>
    <row r="195" spans="8:11" x14ac:dyDescent="0.25">
      <c r="H195" s="10"/>
      <c r="I195" s="10"/>
      <c r="J195" s="10"/>
      <c r="K195" s="10"/>
    </row>
    <row r="196" spans="8:11" x14ac:dyDescent="0.25">
      <c r="H196" s="10"/>
      <c r="I196" s="10"/>
      <c r="J196" s="10"/>
      <c r="K196" s="10"/>
    </row>
    <row r="197" spans="8:11" x14ac:dyDescent="0.25">
      <c r="H197" s="10"/>
      <c r="I197" s="10"/>
      <c r="J197" s="10"/>
      <c r="K197" s="10"/>
    </row>
    <row r="198" spans="8:11" x14ac:dyDescent="0.25">
      <c r="H198" s="10"/>
      <c r="I198" s="10"/>
      <c r="J198" s="10"/>
      <c r="K198" s="10"/>
    </row>
    <row r="199" spans="8:11" x14ac:dyDescent="0.25">
      <c r="H199" s="10"/>
      <c r="I199" s="10"/>
      <c r="J199" s="10"/>
      <c r="K199" s="10"/>
    </row>
    <row r="200" spans="8:11" x14ac:dyDescent="0.25">
      <c r="H200" s="10"/>
      <c r="I200" s="10"/>
      <c r="J200" s="10"/>
      <c r="K200" s="10"/>
    </row>
    <row r="201" spans="8:11" x14ac:dyDescent="0.25">
      <c r="H201" s="10"/>
      <c r="I201" s="10"/>
      <c r="J201" s="10"/>
      <c r="K201" s="10"/>
    </row>
    <row r="202" spans="8:11" x14ac:dyDescent="0.25">
      <c r="H202" s="10"/>
      <c r="I202" s="10"/>
      <c r="J202" s="10"/>
      <c r="K202" s="10"/>
    </row>
    <row r="203" spans="8:11" x14ac:dyDescent="0.25">
      <c r="H203" s="10"/>
      <c r="I203" s="10"/>
      <c r="J203" s="10"/>
      <c r="K203" s="10"/>
    </row>
    <row r="204" spans="8:11" x14ac:dyDescent="0.25">
      <c r="H204" s="10"/>
      <c r="I204" s="10"/>
      <c r="J204" s="10"/>
      <c r="K204" s="10"/>
    </row>
    <row r="205" spans="8:11" x14ac:dyDescent="0.25">
      <c r="H205" s="10"/>
      <c r="I205" s="10"/>
      <c r="J205" s="10"/>
      <c r="K205" s="10"/>
    </row>
    <row r="206" spans="8:11" x14ac:dyDescent="0.25">
      <c r="H206" s="10"/>
      <c r="I206" s="10"/>
      <c r="J206" s="10"/>
      <c r="K206" s="10"/>
    </row>
    <row r="207" spans="8:11" x14ac:dyDescent="0.25">
      <c r="H207" s="10"/>
      <c r="I207" s="10"/>
      <c r="J207" s="10"/>
      <c r="K207" s="10"/>
    </row>
    <row r="208" spans="8:11" x14ac:dyDescent="0.25">
      <c r="H208" s="10"/>
      <c r="I208" s="10"/>
      <c r="J208" s="10"/>
      <c r="K208" s="10"/>
    </row>
    <row r="209" spans="8:11" x14ac:dyDescent="0.25">
      <c r="H209" s="10"/>
      <c r="I209" s="10"/>
      <c r="J209" s="10"/>
      <c r="K209" s="10"/>
    </row>
    <row r="210" spans="8:11" x14ac:dyDescent="0.25">
      <c r="H210" s="10"/>
      <c r="I210" s="10"/>
      <c r="J210" s="10"/>
      <c r="K210" s="10"/>
    </row>
    <row r="211" spans="8:11" x14ac:dyDescent="0.25">
      <c r="H211" s="10"/>
      <c r="I211" s="10"/>
      <c r="J211" s="10"/>
      <c r="K211" s="10"/>
    </row>
    <row r="212" spans="8:11" x14ac:dyDescent="0.25">
      <c r="H212" s="10"/>
      <c r="I212" s="10"/>
      <c r="J212" s="10"/>
      <c r="K212" s="10"/>
    </row>
    <row r="213" spans="8:11" x14ac:dyDescent="0.25">
      <c r="H213" s="10"/>
      <c r="I213" s="10"/>
      <c r="J213" s="10"/>
      <c r="K213" s="10"/>
    </row>
    <row r="214" spans="8:11" x14ac:dyDescent="0.25">
      <c r="H214" s="10"/>
      <c r="I214" s="10"/>
      <c r="J214" s="10"/>
      <c r="K214" s="10"/>
    </row>
    <row r="215" spans="8:11" x14ac:dyDescent="0.25">
      <c r="H215" s="10"/>
      <c r="I215" s="10"/>
      <c r="J215" s="10"/>
      <c r="K215" s="10"/>
    </row>
    <row r="216" spans="8:11" x14ac:dyDescent="0.25">
      <c r="H216" s="10"/>
      <c r="I216" s="10"/>
      <c r="J216" s="10"/>
      <c r="K216" s="10"/>
    </row>
    <row r="217" spans="8:11" x14ac:dyDescent="0.25">
      <c r="H217" s="10"/>
      <c r="I217" s="10"/>
      <c r="J217" s="10"/>
      <c r="K217" s="10"/>
    </row>
    <row r="218" spans="8:11" x14ac:dyDescent="0.25">
      <c r="H218" s="10"/>
      <c r="I218" s="10"/>
      <c r="J218" s="10"/>
      <c r="K218" s="10"/>
    </row>
    <row r="219" spans="8:11" x14ac:dyDescent="0.25">
      <c r="H219" s="10"/>
      <c r="I219" s="10"/>
      <c r="J219" s="10"/>
      <c r="K219" s="10"/>
    </row>
    <row r="220" spans="8:11" x14ac:dyDescent="0.25">
      <c r="H220" s="10"/>
      <c r="I220" s="10"/>
      <c r="J220" s="10"/>
      <c r="K220" s="10"/>
    </row>
    <row r="221" spans="8:11" x14ac:dyDescent="0.25">
      <c r="H221" s="10"/>
      <c r="I221" s="10"/>
      <c r="J221" s="10"/>
      <c r="K221" s="10"/>
    </row>
    <row r="222" spans="8:11" x14ac:dyDescent="0.25">
      <c r="H222" s="10"/>
      <c r="I222" s="10"/>
      <c r="J222" s="10"/>
      <c r="K222" s="10"/>
    </row>
    <row r="223" spans="8:11" x14ac:dyDescent="0.25">
      <c r="H223" s="10"/>
      <c r="I223" s="10"/>
      <c r="J223" s="10"/>
      <c r="K223" s="10"/>
    </row>
    <row r="224" spans="8:11" x14ac:dyDescent="0.25">
      <c r="H224" s="10"/>
      <c r="I224" s="10"/>
      <c r="J224" s="10"/>
      <c r="K224" s="10"/>
    </row>
    <row r="225" spans="8:11" x14ac:dyDescent="0.25">
      <c r="H225" s="10"/>
      <c r="I225" s="10"/>
      <c r="J225" s="10"/>
      <c r="K225" s="10"/>
    </row>
    <row r="226" spans="8:11" x14ac:dyDescent="0.25">
      <c r="H226" s="10"/>
      <c r="I226" s="10"/>
      <c r="J226" s="10"/>
      <c r="K226" s="10"/>
    </row>
    <row r="227" spans="8:11" x14ac:dyDescent="0.25">
      <c r="H227" s="10"/>
      <c r="I227" s="10"/>
      <c r="J227" s="10"/>
      <c r="K227" s="10"/>
    </row>
    <row r="228" spans="8:11" x14ac:dyDescent="0.25">
      <c r="H228" s="10"/>
      <c r="I228" s="10"/>
      <c r="J228" s="10"/>
      <c r="K228" s="10"/>
    </row>
    <row r="229" spans="8:11" x14ac:dyDescent="0.25">
      <c r="H229" s="10"/>
      <c r="I229" s="10"/>
      <c r="J229" s="10"/>
      <c r="K229" s="10"/>
    </row>
    <row r="230" spans="8:11" x14ac:dyDescent="0.25">
      <c r="H230" s="10"/>
      <c r="I230" s="10"/>
      <c r="J230" s="10"/>
      <c r="K230" s="10"/>
    </row>
    <row r="231" spans="8:11" x14ac:dyDescent="0.25">
      <c r="H231" s="10"/>
      <c r="I231" s="10"/>
      <c r="J231" s="10"/>
      <c r="K231" s="10"/>
    </row>
    <row r="232" spans="8:11" x14ac:dyDescent="0.25">
      <c r="H232" s="10"/>
      <c r="I232" s="10"/>
      <c r="J232" s="10"/>
      <c r="K232" s="10"/>
    </row>
    <row r="233" spans="8:11" x14ac:dyDescent="0.25">
      <c r="H233" s="10"/>
      <c r="I233" s="10"/>
      <c r="J233" s="10"/>
      <c r="K233" s="10"/>
    </row>
    <row r="234" spans="8:11" x14ac:dyDescent="0.25">
      <c r="H234" s="10"/>
      <c r="I234" s="10"/>
      <c r="J234" s="10"/>
      <c r="K234" s="10"/>
    </row>
    <row r="235" spans="8:11" x14ac:dyDescent="0.25">
      <c r="H235" s="10"/>
      <c r="I235" s="10"/>
      <c r="J235" s="10"/>
      <c r="K235" s="10"/>
    </row>
    <row r="236" spans="8:11" x14ac:dyDescent="0.25">
      <c r="H236" s="10"/>
      <c r="I236" s="10"/>
      <c r="J236" s="10"/>
      <c r="K236" s="10"/>
    </row>
    <row r="237" spans="8:11" x14ac:dyDescent="0.25">
      <c r="H237" s="10"/>
      <c r="I237" s="10"/>
      <c r="J237" s="10"/>
      <c r="K237" s="10"/>
    </row>
    <row r="238" spans="8:11" x14ac:dyDescent="0.25">
      <c r="H238" s="10"/>
      <c r="I238" s="10"/>
      <c r="J238" s="10"/>
      <c r="K238" s="10"/>
    </row>
    <row r="239" spans="8:11" x14ac:dyDescent="0.25">
      <c r="H239" s="10"/>
      <c r="I239" s="10"/>
      <c r="J239" s="10"/>
      <c r="K239" s="10"/>
    </row>
    <row r="240" spans="8:11" x14ac:dyDescent="0.25">
      <c r="H240" s="10"/>
      <c r="I240" s="10"/>
      <c r="J240" s="10"/>
      <c r="K240" s="10"/>
    </row>
    <row r="241" spans="8:11" x14ac:dyDescent="0.25">
      <c r="H241" s="10"/>
      <c r="I241" s="10"/>
      <c r="J241" s="10"/>
      <c r="K241" s="10"/>
    </row>
    <row r="242" spans="8:11" x14ac:dyDescent="0.25">
      <c r="H242" s="10"/>
      <c r="I242" s="10"/>
      <c r="J242" s="10"/>
      <c r="K242" s="10"/>
    </row>
    <row r="243" spans="8:11" x14ac:dyDescent="0.25">
      <c r="H243" s="10"/>
      <c r="I243" s="10"/>
      <c r="J243" s="10"/>
      <c r="K243" s="10"/>
    </row>
    <row r="244" spans="8:11" x14ac:dyDescent="0.25">
      <c r="H244" s="10"/>
      <c r="I244" s="10"/>
      <c r="J244" s="10"/>
      <c r="K244" s="10"/>
    </row>
    <row r="245" spans="8:11" x14ac:dyDescent="0.25">
      <c r="H245" s="10"/>
      <c r="I245" s="10"/>
      <c r="J245" s="10"/>
      <c r="K245" s="10"/>
    </row>
    <row r="246" spans="8:11" x14ac:dyDescent="0.25">
      <c r="H246" s="10"/>
      <c r="I246" s="10"/>
      <c r="J246" s="10"/>
      <c r="K246" s="10"/>
    </row>
    <row r="247" spans="8:11" x14ac:dyDescent="0.25">
      <c r="H247" s="10"/>
      <c r="I247" s="10"/>
      <c r="J247" s="10"/>
      <c r="K247" s="10"/>
    </row>
    <row r="248" spans="8:11" x14ac:dyDescent="0.25">
      <c r="H248" s="10"/>
      <c r="I248" s="10"/>
      <c r="J248" s="10"/>
      <c r="K248" s="10"/>
    </row>
    <row r="249" spans="8:11" x14ac:dyDescent="0.25">
      <c r="H249" s="10"/>
      <c r="I249" s="10"/>
      <c r="J249" s="10"/>
      <c r="K249" s="10"/>
    </row>
    <row r="250" spans="8:11" x14ac:dyDescent="0.25">
      <c r="H250" s="10"/>
      <c r="I250" s="10"/>
      <c r="J250" s="10"/>
      <c r="K250" s="10"/>
    </row>
    <row r="251" spans="8:11" x14ac:dyDescent="0.25">
      <c r="H251" s="10"/>
      <c r="I251" s="10"/>
      <c r="J251" s="10"/>
      <c r="K251" s="10"/>
    </row>
    <row r="252" spans="8:11" x14ac:dyDescent="0.25">
      <c r="H252" s="10"/>
      <c r="I252" s="10"/>
      <c r="J252" s="10"/>
      <c r="K252" s="10"/>
    </row>
    <row r="253" spans="8:11" x14ac:dyDescent="0.25">
      <c r="H253" s="10"/>
      <c r="I253" s="10"/>
      <c r="J253" s="10"/>
      <c r="K253" s="10"/>
    </row>
    <row r="254" spans="8:11" x14ac:dyDescent="0.25">
      <c r="H254" s="10"/>
      <c r="I254" s="10"/>
      <c r="J254" s="10"/>
      <c r="K254" s="10"/>
    </row>
    <row r="255" spans="8:11" x14ac:dyDescent="0.25">
      <c r="H255" s="10"/>
      <c r="I255" s="10"/>
      <c r="J255" s="10"/>
      <c r="K255" s="10"/>
    </row>
    <row r="256" spans="8:11" x14ac:dyDescent="0.25">
      <c r="H256" s="10"/>
      <c r="I256" s="10"/>
      <c r="J256" s="10"/>
      <c r="K256" s="10"/>
    </row>
    <row r="257" spans="8:11" x14ac:dyDescent="0.25">
      <c r="H257" s="10"/>
      <c r="I257" s="10"/>
      <c r="J257" s="10"/>
      <c r="K257" s="10"/>
    </row>
    <row r="258" spans="8:11" x14ac:dyDescent="0.25">
      <c r="H258" s="10"/>
      <c r="I258" s="10"/>
      <c r="J258" s="10"/>
      <c r="K258" s="10"/>
    </row>
    <row r="259" spans="8:11" x14ac:dyDescent="0.25">
      <c r="H259" s="10"/>
      <c r="I259" s="10"/>
      <c r="J259" s="10"/>
      <c r="K259" s="10"/>
    </row>
    <row r="260" spans="8:11" x14ac:dyDescent="0.25">
      <c r="H260" s="10"/>
      <c r="I260" s="10"/>
      <c r="J260" s="10"/>
      <c r="K260" s="10"/>
    </row>
    <row r="261" spans="8:11" x14ac:dyDescent="0.25">
      <c r="H261" s="10"/>
      <c r="I261" s="10"/>
      <c r="J261" s="10"/>
      <c r="K261" s="10"/>
    </row>
    <row r="262" spans="8:11" x14ac:dyDescent="0.25">
      <c r="H262" s="10"/>
      <c r="I262" s="10"/>
      <c r="J262" s="10"/>
      <c r="K262" s="10"/>
    </row>
    <row r="263" spans="8:11" x14ac:dyDescent="0.25">
      <c r="H263" s="10"/>
      <c r="I263" s="10"/>
      <c r="J263" s="10"/>
      <c r="K263" s="10"/>
    </row>
    <row r="264" spans="8:11" x14ac:dyDescent="0.25">
      <c r="H264" s="10"/>
      <c r="I264" s="10"/>
      <c r="J264" s="10"/>
      <c r="K264" s="10"/>
    </row>
    <row r="265" spans="8:11" x14ac:dyDescent="0.25">
      <c r="H265" s="10"/>
      <c r="I265" s="10"/>
      <c r="J265" s="10"/>
      <c r="K265" s="10"/>
    </row>
  </sheetData>
  <sheetProtection password="B056" sheet="1" objects="1" scenarios="1"/>
  <mergeCells count="11">
    <mergeCell ref="A49:A55"/>
    <mergeCell ref="B49:F51"/>
    <mergeCell ref="B52:F55"/>
    <mergeCell ref="A2:A3"/>
    <mergeCell ref="A4:A10"/>
    <mergeCell ref="A11:A18"/>
    <mergeCell ref="A40:A46"/>
    <mergeCell ref="B2:G2"/>
    <mergeCell ref="A19:A24"/>
    <mergeCell ref="A25:A31"/>
    <mergeCell ref="A32:A3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selection activeCell="M3" sqref="M3:N3"/>
    </sheetView>
  </sheetViews>
  <sheetFormatPr defaultRowHeight="15" customHeight="1" x14ac:dyDescent="0.25"/>
  <cols>
    <col min="1" max="1" width="28.140625" style="10" bestFit="1" customWidth="1"/>
    <col min="2" max="5" width="14.5703125" style="10" customWidth="1"/>
    <col min="6" max="6" width="23.85546875" style="10" customWidth="1"/>
    <col min="7" max="7" width="14.5703125" style="10" customWidth="1"/>
    <col min="8" max="16384" width="9.140625" style="10"/>
  </cols>
  <sheetData>
    <row r="1" spans="1:14" ht="15" customHeight="1" x14ac:dyDescent="0.25">
      <c r="A1" s="183" t="s">
        <v>149</v>
      </c>
      <c r="B1" s="184"/>
      <c r="C1" s="184"/>
      <c r="D1" s="184"/>
    </row>
    <row r="2" spans="1:14" ht="15" customHeight="1" x14ac:dyDescent="0.25">
      <c r="A2" s="83"/>
      <c r="B2" s="107" t="s">
        <v>50</v>
      </c>
      <c r="C2" s="83" t="s">
        <v>108</v>
      </c>
      <c r="D2" s="83" t="s">
        <v>150</v>
      </c>
      <c r="F2" s="181" t="s">
        <v>153</v>
      </c>
      <c r="G2" s="182"/>
      <c r="H2" s="182"/>
      <c r="I2" s="182"/>
      <c r="J2" s="182"/>
      <c r="K2" s="185"/>
      <c r="M2" s="181" t="s">
        <v>176</v>
      </c>
      <c r="N2" s="182"/>
    </row>
    <row r="3" spans="1:14" ht="15" customHeight="1" x14ac:dyDescent="0.25">
      <c r="A3" s="84" t="s">
        <v>151</v>
      </c>
      <c r="B3" s="6">
        <v>0.74</v>
      </c>
      <c r="C3" s="6">
        <v>0.35</v>
      </c>
      <c r="D3" s="6">
        <v>5.2999999999999999E-2</v>
      </c>
      <c r="F3" s="186" t="s">
        <v>154</v>
      </c>
      <c r="G3" s="186" t="s">
        <v>155</v>
      </c>
      <c r="H3" s="186" t="s">
        <v>156</v>
      </c>
      <c r="I3" s="186"/>
      <c r="J3" s="186" t="s">
        <v>157</v>
      </c>
      <c r="K3" s="186"/>
      <c r="M3" s="6" t="s">
        <v>183</v>
      </c>
      <c r="N3" s="29">
        <v>1700</v>
      </c>
    </row>
    <row r="4" spans="1:14" ht="15" customHeight="1" x14ac:dyDescent="0.25">
      <c r="F4" s="186"/>
      <c r="G4" s="186"/>
      <c r="H4" s="83" t="s">
        <v>158</v>
      </c>
      <c r="I4" s="83" t="s">
        <v>159</v>
      </c>
      <c r="J4" s="83" t="s">
        <v>158</v>
      </c>
      <c r="K4" s="83" t="s">
        <v>159</v>
      </c>
      <c r="M4" s="15"/>
      <c r="N4" s="15"/>
    </row>
    <row r="5" spans="1:14" ht="15" customHeight="1" x14ac:dyDescent="0.25">
      <c r="A5" s="170" t="s">
        <v>58</v>
      </c>
      <c r="B5" s="91"/>
      <c r="C5" s="91"/>
      <c r="D5" s="91"/>
      <c r="E5" s="92"/>
      <c r="F5" s="169" t="s">
        <v>160</v>
      </c>
      <c r="G5" s="15" t="s">
        <v>161</v>
      </c>
      <c r="H5" s="6" t="s">
        <v>140</v>
      </c>
      <c r="I5" s="6">
        <v>2.6</v>
      </c>
      <c r="J5" s="6" t="s">
        <v>140</v>
      </c>
      <c r="K5" s="6">
        <v>7.4</v>
      </c>
    </row>
    <row r="6" spans="1:14" ht="15" customHeight="1" x14ac:dyDescent="0.25">
      <c r="A6" s="171"/>
      <c r="B6" s="94"/>
      <c r="C6" s="94"/>
      <c r="D6" s="94"/>
      <c r="E6" s="92"/>
      <c r="F6" s="169"/>
      <c r="G6" s="15" t="s">
        <v>162</v>
      </c>
      <c r="H6" s="6" t="s">
        <v>163</v>
      </c>
      <c r="I6" s="6">
        <v>3.8</v>
      </c>
      <c r="J6" s="6" t="s">
        <v>164</v>
      </c>
      <c r="K6" s="6">
        <v>3.6</v>
      </c>
    </row>
    <row r="7" spans="1:14" ht="15" customHeight="1" x14ac:dyDescent="0.25">
      <c r="A7" s="171"/>
      <c r="B7" s="95"/>
      <c r="C7" s="96"/>
      <c r="D7" s="99"/>
      <c r="E7" s="92"/>
      <c r="F7" s="169"/>
      <c r="G7" s="15" t="s">
        <v>165</v>
      </c>
      <c r="H7" s="6" t="s">
        <v>166</v>
      </c>
      <c r="I7" s="6">
        <v>9</v>
      </c>
      <c r="J7" s="6" t="s">
        <v>167</v>
      </c>
      <c r="K7" s="6">
        <v>12</v>
      </c>
    </row>
    <row r="8" spans="1:14" ht="15" customHeight="1" x14ac:dyDescent="0.25">
      <c r="A8" s="171"/>
      <c r="B8" s="172" t="s">
        <v>152</v>
      </c>
      <c r="C8" s="173"/>
      <c r="D8" s="174"/>
      <c r="E8" s="97"/>
      <c r="F8" s="169"/>
      <c r="G8" s="15" t="s">
        <v>168</v>
      </c>
      <c r="H8" s="6" t="s">
        <v>140</v>
      </c>
      <c r="I8" s="6">
        <v>9.1999999999999993</v>
      </c>
      <c r="J8" s="6" t="s">
        <v>140</v>
      </c>
      <c r="K8" s="6">
        <v>14</v>
      </c>
    </row>
    <row r="9" spans="1:14" ht="15" customHeight="1" x14ac:dyDescent="0.25">
      <c r="A9" s="171"/>
      <c r="B9" s="175"/>
      <c r="C9" s="176"/>
      <c r="D9" s="177"/>
      <c r="E9" s="97"/>
      <c r="F9" s="169"/>
      <c r="G9" s="15" t="s">
        <v>169</v>
      </c>
      <c r="H9" s="6" t="s">
        <v>170</v>
      </c>
      <c r="I9" s="6">
        <v>6</v>
      </c>
      <c r="J9" s="6" t="s">
        <v>171</v>
      </c>
      <c r="K9" s="6">
        <v>10</v>
      </c>
    </row>
    <row r="10" spans="1:14" ht="15" customHeight="1" x14ac:dyDescent="0.25">
      <c r="A10" s="171"/>
      <c r="B10" s="175"/>
      <c r="C10" s="176"/>
      <c r="D10" s="177"/>
      <c r="E10" s="97"/>
      <c r="F10" s="169"/>
      <c r="G10" s="15" t="s">
        <v>172</v>
      </c>
      <c r="H10" s="6" t="s">
        <v>173</v>
      </c>
      <c r="I10" s="6">
        <v>80</v>
      </c>
      <c r="J10" s="6" t="s">
        <v>174</v>
      </c>
      <c r="K10" s="6">
        <v>27</v>
      </c>
    </row>
    <row r="11" spans="1:14" ht="15" customHeight="1" x14ac:dyDescent="0.25">
      <c r="A11" s="171"/>
      <c r="B11" s="175"/>
      <c r="C11" s="176"/>
      <c r="D11" s="177"/>
      <c r="E11" s="97"/>
      <c r="F11" s="169"/>
      <c r="G11" s="15" t="s">
        <v>175</v>
      </c>
      <c r="H11" s="6" t="s">
        <v>140</v>
      </c>
      <c r="I11" s="6">
        <v>12</v>
      </c>
      <c r="J11" s="6" t="s">
        <v>140</v>
      </c>
      <c r="K11" s="6">
        <v>11</v>
      </c>
    </row>
    <row r="12" spans="1:14" ht="15" customHeight="1" x14ac:dyDescent="0.25">
      <c r="A12" s="171"/>
      <c r="B12" s="175"/>
      <c r="C12" s="176"/>
      <c r="D12" s="177"/>
      <c r="F12" s="15"/>
      <c r="G12" s="15"/>
      <c r="H12" s="6"/>
      <c r="I12" s="6"/>
      <c r="J12" s="6"/>
      <c r="K12" s="6"/>
    </row>
    <row r="13" spans="1:14" ht="15" customHeight="1" x14ac:dyDescent="0.25">
      <c r="A13" s="98"/>
      <c r="B13" s="178"/>
      <c r="C13" s="179"/>
      <c r="D13" s="180"/>
    </row>
    <row r="14" spans="1:14" ht="15" customHeight="1" x14ac:dyDescent="0.25">
      <c r="A14" s="82"/>
      <c r="B14" s="82"/>
      <c r="C14" s="82"/>
      <c r="D14" s="100"/>
    </row>
  </sheetData>
  <sheetProtection password="B056" sheet="1" objects="1" scenarios="1"/>
  <mergeCells count="10">
    <mergeCell ref="F5:F11"/>
    <mergeCell ref="A5:A12"/>
    <mergeCell ref="B8:D13"/>
    <mergeCell ref="M2:N2"/>
    <mergeCell ref="A1:D1"/>
    <mergeCell ref="F2:K2"/>
    <mergeCell ref="F3:F4"/>
    <mergeCell ref="G3:G4"/>
    <mergeCell ref="H3:I3"/>
    <mergeCell ref="J3:K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A15" sqref="A15"/>
    </sheetView>
  </sheetViews>
  <sheetFormatPr defaultRowHeight="15" x14ac:dyDescent="0.25"/>
  <cols>
    <col min="1" max="1" width="13.140625" customWidth="1"/>
    <col min="2" max="2" width="14.5703125" customWidth="1"/>
    <col min="3" max="3" width="15.42578125" customWidth="1"/>
    <col min="4" max="4" width="17" customWidth="1"/>
  </cols>
  <sheetData>
    <row r="1" spans="1:4" x14ac:dyDescent="0.25">
      <c r="A1" s="183" t="s">
        <v>177</v>
      </c>
      <c r="B1" s="184"/>
      <c r="C1" s="184"/>
      <c r="D1" s="184"/>
    </row>
    <row r="2" spans="1:4" x14ac:dyDescent="0.25">
      <c r="A2" s="181" t="s">
        <v>178</v>
      </c>
      <c r="B2" s="182"/>
      <c r="C2" s="182"/>
      <c r="D2" s="185"/>
    </row>
    <row r="3" spans="1:4" x14ac:dyDescent="0.25">
      <c r="A3" s="188" t="s">
        <v>50</v>
      </c>
      <c r="B3" s="190"/>
      <c r="C3" s="190"/>
      <c r="D3" s="190"/>
    </row>
    <row r="4" spans="1:4" x14ac:dyDescent="0.25">
      <c r="A4" s="189"/>
      <c r="B4" s="190"/>
      <c r="C4" s="190"/>
      <c r="D4" s="190"/>
    </row>
    <row r="5" spans="1:4" x14ac:dyDescent="0.25">
      <c r="A5" s="188" t="s">
        <v>179</v>
      </c>
      <c r="B5" s="190"/>
      <c r="C5" s="190"/>
      <c r="D5" s="190"/>
    </row>
    <row r="6" spans="1:4" x14ac:dyDescent="0.25">
      <c r="A6" s="191"/>
      <c r="B6" s="190"/>
      <c r="C6" s="190"/>
      <c r="D6" s="190"/>
    </row>
    <row r="7" spans="1:4" x14ac:dyDescent="0.25">
      <c r="A7" s="188" t="s">
        <v>180</v>
      </c>
      <c r="B7" s="192"/>
      <c r="C7" s="192"/>
      <c r="D7" s="192"/>
    </row>
    <row r="8" spans="1:4" x14ac:dyDescent="0.25">
      <c r="A8" s="191"/>
      <c r="B8" s="192"/>
      <c r="C8" s="192"/>
      <c r="D8" s="192"/>
    </row>
    <row r="9" spans="1:4" x14ac:dyDescent="0.25">
      <c r="A9" s="187" t="s">
        <v>181</v>
      </c>
      <c r="B9" s="187"/>
      <c r="C9" s="187"/>
      <c r="D9" s="187"/>
    </row>
    <row r="10" spans="1:4" x14ac:dyDescent="0.25">
      <c r="A10" s="187"/>
      <c r="B10" s="187"/>
      <c r="C10" s="187"/>
      <c r="D10" s="187"/>
    </row>
    <row r="11" spans="1:4" x14ac:dyDescent="0.25">
      <c r="A11" s="187"/>
      <c r="B11" s="187"/>
      <c r="C11" s="187"/>
      <c r="D11" s="187"/>
    </row>
    <row r="12" spans="1:4" x14ac:dyDescent="0.25">
      <c r="A12" s="187"/>
      <c r="B12" s="187"/>
      <c r="C12" s="187"/>
      <c r="D12" s="187"/>
    </row>
    <row r="14" spans="1:4" x14ac:dyDescent="0.25">
      <c r="A14" s="1" t="s">
        <v>312</v>
      </c>
      <c r="B14" s="1" t="s">
        <v>182</v>
      </c>
    </row>
  </sheetData>
  <sheetProtection password="B056" sheet="1" objects="1" scenarios="1"/>
  <mergeCells count="9">
    <mergeCell ref="A9:D12"/>
    <mergeCell ref="A1:D1"/>
    <mergeCell ref="A2:D2"/>
    <mergeCell ref="A3:A4"/>
    <mergeCell ref="B3:D4"/>
    <mergeCell ref="A5:A6"/>
    <mergeCell ref="B5:D6"/>
    <mergeCell ref="A7:A8"/>
    <mergeCell ref="B7:D8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3"/>
  <sheetViews>
    <sheetView topLeftCell="A19" workbookViewId="0">
      <selection activeCell="F43" sqref="F43"/>
    </sheetView>
  </sheetViews>
  <sheetFormatPr defaultRowHeight="15" x14ac:dyDescent="0.25"/>
  <cols>
    <col min="1" max="4" width="14.85546875" style="10" customWidth="1"/>
    <col min="5" max="5" width="9.140625" style="10"/>
    <col min="6" max="7" width="12.140625" style="10" customWidth="1"/>
    <col min="8" max="8" width="17.5703125" style="10" customWidth="1"/>
    <col min="9" max="10" width="12.140625" style="10" customWidth="1"/>
    <col min="11" max="16384" width="9.140625" style="10"/>
  </cols>
  <sheetData>
    <row r="1" spans="1:10" x14ac:dyDescent="0.25">
      <c r="A1" s="3" t="s">
        <v>63</v>
      </c>
    </row>
    <row r="2" spans="1:10" x14ac:dyDescent="0.25">
      <c r="B2" s="3"/>
      <c r="C2" s="3"/>
      <c r="D2" s="3"/>
      <c r="E2" s="3"/>
      <c r="F2" s="186" t="s">
        <v>64</v>
      </c>
      <c r="G2" s="186"/>
      <c r="H2" s="186"/>
      <c r="I2" s="186"/>
      <c r="J2" s="186"/>
    </row>
    <row r="3" spans="1:10" ht="33.75" x14ac:dyDescent="0.25">
      <c r="A3" s="195" t="s">
        <v>65</v>
      </c>
      <c r="B3" s="195"/>
      <c r="C3" s="195"/>
      <c r="D3" s="195"/>
      <c r="F3" s="83" t="s">
        <v>66</v>
      </c>
      <c r="G3" s="87" t="s">
        <v>67</v>
      </c>
      <c r="H3" s="87" t="s">
        <v>68</v>
      </c>
      <c r="I3" s="83" t="s">
        <v>69</v>
      </c>
      <c r="J3" s="83" t="s">
        <v>70</v>
      </c>
    </row>
    <row r="4" spans="1:10" x14ac:dyDescent="0.25">
      <c r="A4" s="186" t="s">
        <v>71</v>
      </c>
      <c r="B4" s="186"/>
      <c r="C4" s="186"/>
      <c r="D4" s="186"/>
      <c r="F4" s="6" t="s">
        <v>72</v>
      </c>
      <c r="G4" s="6">
        <v>0</v>
      </c>
      <c r="H4" s="6">
        <v>0</v>
      </c>
      <c r="I4" s="6">
        <v>31</v>
      </c>
      <c r="J4" s="14">
        <f t="shared" ref="J4:J15" si="0">(I4-H4)/I4</f>
        <v>1</v>
      </c>
    </row>
    <row r="5" spans="1:10" x14ac:dyDescent="0.25">
      <c r="A5" s="186" t="s">
        <v>73</v>
      </c>
      <c r="B5" s="186" t="s">
        <v>74</v>
      </c>
      <c r="C5" s="186"/>
      <c r="D5" s="186"/>
      <c r="F5" s="6" t="s">
        <v>75</v>
      </c>
      <c r="G5" s="6">
        <v>52</v>
      </c>
      <c r="H5" s="6">
        <v>7</v>
      </c>
      <c r="I5" s="6">
        <v>28</v>
      </c>
      <c r="J5" s="14">
        <f t="shared" si="0"/>
        <v>0.75</v>
      </c>
    </row>
    <row r="6" spans="1:10" x14ac:dyDescent="0.25">
      <c r="A6" s="186"/>
      <c r="B6" s="83" t="s">
        <v>76</v>
      </c>
      <c r="C6" s="83" t="s">
        <v>77</v>
      </c>
      <c r="D6" s="83" t="s">
        <v>78</v>
      </c>
      <c r="F6" s="6" t="s">
        <v>79</v>
      </c>
      <c r="G6" s="6">
        <v>69</v>
      </c>
      <c r="H6" s="6">
        <v>7</v>
      </c>
      <c r="I6" s="6">
        <v>31</v>
      </c>
      <c r="J6" s="14">
        <f t="shared" si="0"/>
        <v>0.77419354838709675</v>
      </c>
    </row>
    <row r="7" spans="1:10" x14ac:dyDescent="0.25">
      <c r="A7" s="15" t="s">
        <v>80</v>
      </c>
      <c r="B7" s="15">
        <v>0.15</v>
      </c>
      <c r="C7" s="15">
        <v>1.5</v>
      </c>
      <c r="D7" s="15">
        <v>4.9000000000000004</v>
      </c>
      <c r="F7" s="6" t="s">
        <v>81</v>
      </c>
      <c r="G7" s="6">
        <v>44</v>
      </c>
      <c r="H7" s="6">
        <v>8</v>
      </c>
      <c r="I7" s="6">
        <v>30</v>
      </c>
      <c r="J7" s="14">
        <f t="shared" si="0"/>
        <v>0.73333333333333328</v>
      </c>
    </row>
    <row r="8" spans="1:10" x14ac:dyDescent="0.25">
      <c r="A8" s="15" t="s">
        <v>82</v>
      </c>
      <c r="B8" s="15">
        <v>0.9</v>
      </c>
      <c r="C8" s="15">
        <v>0.9</v>
      </c>
      <c r="D8" s="15">
        <v>0.7</v>
      </c>
      <c r="F8" s="6" t="s">
        <v>83</v>
      </c>
      <c r="G8" s="6">
        <v>185.8</v>
      </c>
      <c r="H8" s="6">
        <v>16</v>
      </c>
      <c r="I8" s="6">
        <v>31</v>
      </c>
      <c r="J8" s="14">
        <f t="shared" si="0"/>
        <v>0.4838709677419355</v>
      </c>
    </row>
    <row r="9" spans="1:10" x14ac:dyDescent="0.25">
      <c r="A9" s="15" t="s">
        <v>84</v>
      </c>
      <c r="B9" s="15">
        <v>0.45</v>
      </c>
      <c r="C9" s="15">
        <v>0.45</v>
      </c>
      <c r="D9" s="15">
        <v>0.45</v>
      </c>
      <c r="F9" s="6" t="s">
        <v>85</v>
      </c>
      <c r="G9" s="6">
        <v>119.2</v>
      </c>
      <c r="H9" s="6">
        <v>9</v>
      </c>
      <c r="I9" s="6">
        <v>30</v>
      </c>
      <c r="J9" s="14">
        <f t="shared" si="0"/>
        <v>0.7</v>
      </c>
    </row>
    <row r="10" spans="1:10" x14ac:dyDescent="0.25">
      <c r="A10" s="15" t="s">
        <v>86</v>
      </c>
      <c r="B10" s="16">
        <v>281.89999999999998</v>
      </c>
      <c r="C10" s="15" t="s">
        <v>87</v>
      </c>
      <c r="D10" s="15"/>
      <c r="F10" s="6" t="s">
        <v>88</v>
      </c>
      <c r="G10" s="6">
        <v>17.8</v>
      </c>
      <c r="H10" s="6">
        <v>6</v>
      </c>
      <c r="I10" s="6">
        <v>31</v>
      </c>
      <c r="J10" s="14">
        <f t="shared" si="0"/>
        <v>0.80645161290322576</v>
      </c>
    </row>
    <row r="11" spans="1:10" x14ac:dyDescent="0.25">
      <c r="A11" s="193" t="s">
        <v>89</v>
      </c>
      <c r="B11" s="193"/>
      <c r="C11" s="193"/>
      <c r="D11" s="193"/>
      <c r="F11" s="6" t="s">
        <v>90</v>
      </c>
      <c r="G11" s="6">
        <v>70.2</v>
      </c>
      <c r="H11" s="6">
        <v>11</v>
      </c>
      <c r="I11" s="6">
        <v>31</v>
      </c>
      <c r="J11" s="14">
        <f t="shared" si="0"/>
        <v>0.64516129032258063</v>
      </c>
    </row>
    <row r="12" spans="1:10" x14ac:dyDescent="0.25">
      <c r="A12" s="193"/>
      <c r="B12" s="193"/>
      <c r="C12" s="193"/>
      <c r="D12" s="193"/>
      <c r="F12" s="6" t="s">
        <v>91</v>
      </c>
      <c r="G12" s="6">
        <v>25.2</v>
      </c>
      <c r="H12" s="6">
        <v>7</v>
      </c>
      <c r="I12" s="6">
        <v>30</v>
      </c>
      <c r="J12" s="14">
        <f t="shared" si="0"/>
        <v>0.76666666666666672</v>
      </c>
    </row>
    <row r="13" spans="1:10" x14ac:dyDescent="0.25">
      <c r="A13" s="193"/>
      <c r="B13" s="194" t="s">
        <v>92</v>
      </c>
      <c r="C13" s="194"/>
      <c r="D13" s="194"/>
      <c r="F13" s="6" t="s">
        <v>93</v>
      </c>
      <c r="G13" s="6">
        <v>54.4</v>
      </c>
      <c r="H13" s="6">
        <v>6</v>
      </c>
      <c r="I13" s="6">
        <v>31</v>
      </c>
      <c r="J13" s="14">
        <f t="shared" si="0"/>
        <v>0.80645161290322576</v>
      </c>
    </row>
    <row r="14" spans="1:10" x14ac:dyDescent="0.25">
      <c r="A14" s="193"/>
      <c r="B14" s="194"/>
      <c r="C14" s="194"/>
      <c r="D14" s="194"/>
      <c r="F14" s="6" t="s">
        <v>94</v>
      </c>
      <c r="G14" s="17">
        <v>48.6</v>
      </c>
      <c r="H14" s="6">
        <v>9</v>
      </c>
      <c r="I14" s="6">
        <v>30</v>
      </c>
      <c r="J14" s="14">
        <f t="shared" si="0"/>
        <v>0.7</v>
      </c>
    </row>
    <row r="15" spans="1:10" x14ac:dyDescent="0.25">
      <c r="A15" s="193"/>
      <c r="B15" s="194"/>
      <c r="C15" s="194"/>
      <c r="D15" s="194"/>
      <c r="F15" s="6" t="s">
        <v>95</v>
      </c>
      <c r="G15" s="6">
        <v>91.4</v>
      </c>
      <c r="H15" s="6">
        <v>6</v>
      </c>
      <c r="I15" s="6">
        <v>31</v>
      </c>
      <c r="J15" s="14">
        <f t="shared" si="0"/>
        <v>0.80645161290322576</v>
      </c>
    </row>
    <row r="16" spans="1:10" x14ac:dyDescent="0.25">
      <c r="F16" s="4"/>
      <c r="G16" s="3"/>
      <c r="H16" s="3"/>
      <c r="I16" s="88"/>
      <c r="J16" s="3"/>
    </row>
    <row r="17" spans="1:10" x14ac:dyDescent="0.25">
      <c r="F17" s="18" t="s">
        <v>96</v>
      </c>
      <c r="G17" s="19">
        <f>(365-SUM(H4:H15))/365</f>
        <v>0.74794520547945209</v>
      </c>
      <c r="H17" s="3"/>
      <c r="I17" s="3"/>
      <c r="J17" s="3"/>
    </row>
    <row r="19" spans="1:10" x14ac:dyDescent="0.25">
      <c r="A19" s="196" t="s">
        <v>266</v>
      </c>
      <c r="B19" s="196"/>
      <c r="C19" s="196"/>
      <c r="D19" s="196"/>
    </row>
    <row r="20" spans="1:10" x14ac:dyDescent="0.25">
      <c r="A20" s="197"/>
      <c r="B20" s="197"/>
      <c r="C20" s="197"/>
      <c r="D20" s="197"/>
    </row>
    <row r="21" spans="1:10" x14ac:dyDescent="0.25">
      <c r="A21" s="3" t="s">
        <v>97</v>
      </c>
      <c r="C21" s="86"/>
      <c r="D21" s="86"/>
      <c r="F21" s="186" t="s">
        <v>64</v>
      </c>
      <c r="G21" s="186"/>
      <c r="H21" s="186"/>
      <c r="I21" s="186"/>
      <c r="J21" s="186"/>
    </row>
    <row r="22" spans="1:10" ht="33.75" x14ac:dyDescent="0.25">
      <c r="A22" s="200" t="s">
        <v>98</v>
      </c>
      <c r="B22" s="200"/>
      <c r="C22" s="200"/>
      <c r="D22" s="200"/>
      <c r="F22" s="83" t="s">
        <v>66</v>
      </c>
      <c r="G22" s="108" t="s">
        <v>67</v>
      </c>
      <c r="H22" s="87" t="s">
        <v>99</v>
      </c>
      <c r="I22" s="83" t="s">
        <v>69</v>
      </c>
      <c r="J22" s="83" t="s">
        <v>70</v>
      </c>
    </row>
    <row r="23" spans="1:10" x14ac:dyDescent="0.25">
      <c r="A23" s="186" t="s">
        <v>100</v>
      </c>
      <c r="B23" s="186" t="s">
        <v>101</v>
      </c>
      <c r="C23" s="186"/>
      <c r="D23" s="186"/>
      <c r="F23" s="6" t="s">
        <v>72</v>
      </c>
      <c r="G23" s="6">
        <v>0</v>
      </c>
      <c r="H23" s="6">
        <v>0</v>
      </c>
      <c r="I23" s="6">
        <v>31</v>
      </c>
      <c r="J23" s="14">
        <f>1-((1.2*H23)/(I23*24))</f>
        <v>1</v>
      </c>
    </row>
    <row r="24" spans="1:10" x14ac:dyDescent="0.25">
      <c r="A24" s="186"/>
      <c r="B24" s="83" t="s">
        <v>76</v>
      </c>
      <c r="C24" s="83" t="s">
        <v>77</v>
      </c>
      <c r="D24" s="83" t="s">
        <v>78</v>
      </c>
      <c r="F24" s="6" t="s">
        <v>75</v>
      </c>
      <c r="G24" s="6">
        <v>52</v>
      </c>
      <c r="H24" s="6">
        <v>17</v>
      </c>
      <c r="I24" s="6">
        <v>28</v>
      </c>
      <c r="J24" s="14">
        <f t="shared" ref="J24:J33" si="1">1-((1.2*H24)/(I24*24))</f>
        <v>0.96964285714285714</v>
      </c>
    </row>
    <row r="25" spans="1:10" x14ac:dyDescent="0.25">
      <c r="A25" s="20" t="s">
        <v>87</v>
      </c>
      <c r="B25" s="21">
        <v>0.15</v>
      </c>
      <c r="C25" s="22">
        <v>0.62</v>
      </c>
      <c r="D25" s="22">
        <v>3.23</v>
      </c>
      <c r="F25" s="6" t="s">
        <v>79</v>
      </c>
      <c r="G25" s="6">
        <v>69</v>
      </c>
      <c r="H25" s="6">
        <v>21</v>
      </c>
      <c r="I25" s="6">
        <v>31</v>
      </c>
      <c r="J25" s="14">
        <f t="shared" si="1"/>
        <v>0.96612903225806457</v>
      </c>
    </row>
    <row r="26" spans="1:10" x14ac:dyDescent="0.25">
      <c r="C26" s="86"/>
      <c r="D26" s="86"/>
      <c r="F26" s="6" t="s">
        <v>81</v>
      </c>
      <c r="G26" s="6">
        <v>44</v>
      </c>
      <c r="H26" s="6">
        <v>17</v>
      </c>
      <c r="I26" s="6">
        <v>30</v>
      </c>
      <c r="J26" s="14">
        <f t="shared" si="1"/>
        <v>0.97166666666666668</v>
      </c>
    </row>
    <row r="27" spans="1:10" x14ac:dyDescent="0.25">
      <c r="A27" s="201" t="s">
        <v>58</v>
      </c>
      <c r="B27" s="90"/>
      <c r="C27" s="91"/>
      <c r="D27" s="91"/>
      <c r="E27" s="92"/>
      <c r="F27" s="6" t="s">
        <v>83</v>
      </c>
      <c r="G27" s="6">
        <v>185.8</v>
      </c>
      <c r="H27" s="6">
        <v>87</v>
      </c>
      <c r="I27" s="6">
        <v>31</v>
      </c>
      <c r="J27" s="14">
        <f t="shared" si="1"/>
        <v>0.85967741935483866</v>
      </c>
    </row>
    <row r="28" spans="1:10" x14ac:dyDescent="0.25">
      <c r="A28" s="202"/>
      <c r="B28" s="93"/>
      <c r="C28" s="94"/>
      <c r="D28" s="94"/>
      <c r="E28" s="92"/>
      <c r="F28" s="6" t="s">
        <v>85</v>
      </c>
      <c r="G28" s="6">
        <v>119.2</v>
      </c>
      <c r="H28" s="6">
        <v>37</v>
      </c>
      <c r="I28" s="6">
        <v>30</v>
      </c>
      <c r="J28" s="14">
        <f t="shared" si="1"/>
        <v>0.93833333333333335</v>
      </c>
    </row>
    <row r="29" spans="1:10" x14ac:dyDescent="0.25">
      <c r="A29" s="202"/>
      <c r="B29" s="95"/>
      <c r="C29" s="96"/>
      <c r="D29" s="96"/>
      <c r="E29" s="92"/>
      <c r="F29" s="6" t="s">
        <v>88</v>
      </c>
      <c r="G29" s="6">
        <v>17.8</v>
      </c>
      <c r="H29" s="6">
        <v>16</v>
      </c>
      <c r="I29" s="6">
        <v>31</v>
      </c>
      <c r="J29" s="14">
        <f t="shared" si="1"/>
        <v>0.97419354838709682</v>
      </c>
    </row>
    <row r="30" spans="1:10" x14ac:dyDescent="0.25">
      <c r="A30" s="202"/>
      <c r="B30" s="204" t="s">
        <v>102</v>
      </c>
      <c r="C30" s="205"/>
      <c r="D30" s="205"/>
      <c r="E30" s="23"/>
      <c r="F30" s="6" t="s">
        <v>90</v>
      </c>
      <c r="G30" s="6">
        <v>70.2</v>
      </c>
      <c r="H30" s="6">
        <v>41</v>
      </c>
      <c r="I30" s="6">
        <v>31</v>
      </c>
      <c r="J30" s="14">
        <f t="shared" si="1"/>
        <v>0.93387096774193545</v>
      </c>
    </row>
    <row r="31" spans="1:10" x14ac:dyDescent="0.25">
      <c r="A31" s="202"/>
      <c r="B31" s="206"/>
      <c r="C31" s="207"/>
      <c r="D31" s="207"/>
      <c r="E31" s="23"/>
      <c r="F31" s="6" t="s">
        <v>91</v>
      </c>
      <c r="G31" s="6">
        <v>25.2</v>
      </c>
      <c r="H31" s="6">
        <v>20</v>
      </c>
      <c r="I31" s="6">
        <v>30</v>
      </c>
      <c r="J31" s="14">
        <f t="shared" si="1"/>
        <v>0.96666666666666667</v>
      </c>
    </row>
    <row r="32" spans="1:10" x14ac:dyDescent="0.25">
      <c r="A32" s="202"/>
      <c r="B32" s="206"/>
      <c r="C32" s="207"/>
      <c r="D32" s="207"/>
      <c r="E32" s="23"/>
      <c r="F32" s="6" t="s">
        <v>93</v>
      </c>
      <c r="G32" s="6">
        <v>54.4</v>
      </c>
      <c r="H32" s="6">
        <v>29</v>
      </c>
      <c r="I32" s="6">
        <v>31</v>
      </c>
      <c r="J32" s="14">
        <f t="shared" si="1"/>
        <v>0.95322580645161292</v>
      </c>
    </row>
    <row r="33" spans="1:15" x14ac:dyDescent="0.25">
      <c r="A33" s="202"/>
      <c r="B33" s="206"/>
      <c r="C33" s="207"/>
      <c r="D33" s="207"/>
      <c r="E33" s="23"/>
      <c r="F33" s="6" t="s">
        <v>94</v>
      </c>
      <c r="G33" s="17">
        <v>48.6</v>
      </c>
      <c r="H33" s="6">
        <v>30</v>
      </c>
      <c r="I33" s="6">
        <v>30</v>
      </c>
      <c r="J33" s="14">
        <f t="shared" si="1"/>
        <v>0.95</v>
      </c>
    </row>
    <row r="34" spans="1:15" x14ac:dyDescent="0.25">
      <c r="A34" s="202"/>
      <c r="B34" s="206"/>
      <c r="C34" s="207"/>
      <c r="D34" s="207"/>
      <c r="E34" s="23"/>
      <c r="F34" s="6" t="s">
        <v>95</v>
      </c>
      <c r="G34" s="6">
        <v>91.4</v>
      </c>
      <c r="H34" s="6">
        <v>22</v>
      </c>
      <c r="I34" s="6">
        <v>31</v>
      </c>
      <c r="J34" s="14">
        <f>1-((1.2*H34)/(I34*24))</f>
        <v>0.96451612903225803</v>
      </c>
    </row>
    <row r="35" spans="1:15" x14ac:dyDescent="0.25">
      <c r="A35" s="202"/>
      <c r="B35" s="206"/>
      <c r="C35" s="207"/>
      <c r="D35" s="207"/>
      <c r="E35" s="23"/>
      <c r="F35" s="18" t="s">
        <v>96</v>
      </c>
      <c r="G35" s="19">
        <f>(1-(1.2*SUM(H23:H34))/8760)</f>
        <v>0.95383561643835613</v>
      </c>
      <c r="H35" s="3"/>
      <c r="I35" s="88"/>
      <c r="J35" s="3"/>
    </row>
    <row r="36" spans="1:15" x14ac:dyDescent="0.25">
      <c r="A36" s="203"/>
      <c r="B36" s="208"/>
      <c r="C36" s="209"/>
      <c r="D36" s="209"/>
      <c r="E36" s="23"/>
    </row>
    <row r="37" spans="1:15" x14ac:dyDescent="0.25">
      <c r="A37" s="85"/>
      <c r="B37" s="86"/>
      <c r="C37" s="86"/>
      <c r="D37" s="86"/>
    </row>
    <row r="39" spans="1:15" x14ac:dyDescent="0.25">
      <c r="A39" s="186" t="s">
        <v>103</v>
      </c>
      <c r="B39" s="198" t="s">
        <v>104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</row>
    <row r="40" spans="1:15" x14ac:dyDescent="0.25">
      <c r="A40" s="186"/>
      <c r="B40" s="181" t="s">
        <v>105</v>
      </c>
      <c r="C40" s="182"/>
      <c r="D40" s="182"/>
      <c r="E40" s="182"/>
      <c r="F40" s="182"/>
      <c r="G40" s="182"/>
      <c r="H40" s="185"/>
      <c r="I40" s="83" t="s">
        <v>260</v>
      </c>
      <c r="J40" s="181" t="s">
        <v>106</v>
      </c>
      <c r="K40" s="182"/>
      <c r="L40" s="185"/>
      <c r="M40" s="181" t="s">
        <v>107</v>
      </c>
      <c r="N40" s="182"/>
      <c r="O40" s="185"/>
    </row>
    <row r="41" spans="1:15" x14ac:dyDescent="0.25">
      <c r="A41" s="186"/>
      <c r="B41" s="83" t="s">
        <v>50</v>
      </c>
      <c r="C41" s="83" t="s">
        <v>108</v>
      </c>
      <c r="D41" s="83" t="s">
        <v>109</v>
      </c>
      <c r="E41" s="83" t="s">
        <v>110</v>
      </c>
      <c r="F41" s="83" t="s">
        <v>111</v>
      </c>
      <c r="G41" s="83" t="s">
        <v>53</v>
      </c>
      <c r="H41" s="83" t="s">
        <v>112</v>
      </c>
      <c r="I41" s="83" t="s">
        <v>112</v>
      </c>
      <c r="J41" s="83" t="s">
        <v>50</v>
      </c>
      <c r="K41" s="83" t="s">
        <v>108</v>
      </c>
      <c r="L41" s="83" t="s">
        <v>109</v>
      </c>
      <c r="M41" s="83" t="s">
        <v>50</v>
      </c>
      <c r="N41" s="83" t="s">
        <v>108</v>
      </c>
      <c r="O41" s="83" t="s">
        <v>109</v>
      </c>
    </row>
    <row r="42" spans="1:15" x14ac:dyDescent="0.25">
      <c r="A42" s="24" t="s">
        <v>113</v>
      </c>
      <c r="B42" s="142">
        <v>0.17489827604766656</v>
      </c>
      <c r="C42" s="142">
        <v>0.17489827604766656</v>
      </c>
      <c r="D42" s="142">
        <v>0.17489827604766656</v>
      </c>
      <c r="E42" s="142">
        <v>5.4345140567386743</v>
      </c>
      <c r="F42" s="142">
        <v>0.21032135261668511</v>
      </c>
      <c r="G42" s="142">
        <v>1.0383730075038093</v>
      </c>
      <c r="H42" s="142">
        <v>0.24766340643796464</v>
      </c>
      <c r="I42" s="67" t="s">
        <v>140</v>
      </c>
      <c r="J42" s="143">
        <v>6.7633804693835883E-2</v>
      </c>
      <c r="K42" s="143">
        <v>5.1332470377789451E-2</v>
      </c>
      <c r="L42" s="143">
        <v>2.7520218195668727E-2</v>
      </c>
      <c r="M42" s="143">
        <v>6.3494136177677976E-2</v>
      </c>
      <c r="N42" s="143">
        <v>3.1747068088838988E-2</v>
      </c>
      <c r="O42" s="143">
        <v>1.7137767759244575E-2</v>
      </c>
    </row>
    <row r="43" spans="1:15" x14ac:dyDescent="0.25">
      <c r="A43" s="24" t="s">
        <v>138</v>
      </c>
      <c r="B43" s="81">
        <v>4.3301894442712282E-3</v>
      </c>
      <c r="C43" s="81">
        <v>4.3301894442712282E-3</v>
      </c>
      <c r="D43" s="81">
        <v>4.3301894442712282E-3</v>
      </c>
      <c r="E43" s="81">
        <v>0.76881387189536698</v>
      </c>
      <c r="F43" s="81">
        <v>1.2085926243704635E-2</v>
      </c>
      <c r="G43" s="81">
        <v>0.8986999736206005</v>
      </c>
      <c r="H43" s="81">
        <v>0.74972188096282644</v>
      </c>
      <c r="I43" s="67">
        <v>7.3569432736630302E-2</v>
      </c>
      <c r="J43" s="143">
        <v>1.82000432579928E-2</v>
      </c>
      <c r="K43" s="143">
        <v>1.3800032800016517E-2</v>
      </c>
      <c r="L43" s="143">
        <v>7.4000175884146556E-3</v>
      </c>
      <c r="M43" s="143">
        <v>1.5000035652191863E-2</v>
      </c>
      <c r="N43" s="143">
        <v>7.5000178260959316E-3</v>
      </c>
      <c r="O43" s="143">
        <v>4.1000097449324447E-3</v>
      </c>
    </row>
  </sheetData>
  <sheetProtection password="B056" sheet="1" objects="1" scenarios="1"/>
  <mergeCells count="20">
    <mergeCell ref="A19:D20"/>
    <mergeCell ref="B39:O39"/>
    <mergeCell ref="B40:H40"/>
    <mergeCell ref="J40:L40"/>
    <mergeCell ref="M40:O40"/>
    <mergeCell ref="F21:J21"/>
    <mergeCell ref="A22:D22"/>
    <mergeCell ref="A23:A24"/>
    <mergeCell ref="B23:D23"/>
    <mergeCell ref="A27:A36"/>
    <mergeCell ref="B30:D36"/>
    <mergeCell ref="A39:A41"/>
    <mergeCell ref="A11:A15"/>
    <mergeCell ref="B11:D12"/>
    <mergeCell ref="B13:D15"/>
    <mergeCell ref="F2:J2"/>
    <mergeCell ref="A3:D3"/>
    <mergeCell ref="A4:D4"/>
    <mergeCell ref="A5:A6"/>
    <mergeCell ref="B5:D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3"/>
  <sheetViews>
    <sheetView workbookViewId="0">
      <selection activeCell="J26" sqref="J26"/>
    </sheetView>
  </sheetViews>
  <sheetFormatPr defaultRowHeight="15" customHeight="1" x14ac:dyDescent="0.25"/>
  <cols>
    <col min="1" max="1" width="19.7109375" style="3" customWidth="1"/>
    <col min="2" max="2" width="11.85546875" style="3" customWidth="1"/>
    <col min="3" max="3" width="12.5703125" style="3" bestFit="1" customWidth="1"/>
    <col min="4" max="4" width="11.5703125" style="3" bestFit="1" customWidth="1"/>
    <col min="5" max="5" width="19.140625" style="3" bestFit="1" customWidth="1"/>
    <col min="6" max="6" width="15" style="3" customWidth="1"/>
    <col min="7" max="7" width="17" style="3" bestFit="1" customWidth="1"/>
    <col min="8" max="8" width="14.7109375" style="3" customWidth="1"/>
    <col min="9" max="9" width="16.140625" style="3" customWidth="1"/>
    <col min="10" max="10" width="21" style="3" bestFit="1" customWidth="1"/>
    <col min="11" max="11" width="10.7109375" style="3" customWidth="1"/>
    <col min="12" max="12" width="27.5703125" style="3" customWidth="1"/>
    <col min="13" max="13" width="16.42578125" style="3" customWidth="1"/>
    <col min="14" max="16384" width="9.140625" style="3"/>
  </cols>
  <sheetData>
    <row r="1" spans="1:13" ht="15" customHeight="1" x14ac:dyDescent="0.25">
      <c r="A1" s="3" t="s">
        <v>298</v>
      </c>
    </row>
    <row r="3" spans="1:13" ht="15" customHeight="1" x14ac:dyDescent="0.25">
      <c r="A3" s="53" t="s">
        <v>193</v>
      </c>
      <c r="E3" s="181" t="s">
        <v>41</v>
      </c>
      <c r="F3" s="182"/>
      <c r="G3" s="182"/>
      <c r="H3" s="182"/>
      <c r="I3" s="182"/>
      <c r="J3" s="185"/>
      <c r="L3" s="181" t="s">
        <v>284</v>
      </c>
      <c r="M3" s="182"/>
    </row>
    <row r="4" spans="1:13" ht="15" customHeight="1" x14ac:dyDescent="0.25">
      <c r="A4" s="3" t="s">
        <v>0</v>
      </c>
      <c r="B4" s="88">
        <v>1995</v>
      </c>
      <c r="E4" s="40" t="s">
        <v>13</v>
      </c>
      <c r="F4" s="40" t="s">
        <v>14</v>
      </c>
      <c r="G4" s="107" t="s">
        <v>15</v>
      </c>
      <c r="H4" s="40" t="s">
        <v>16</v>
      </c>
      <c r="I4" s="40" t="s">
        <v>17</v>
      </c>
      <c r="J4" s="40" t="s">
        <v>18</v>
      </c>
      <c r="L4" s="40" t="s">
        <v>1</v>
      </c>
      <c r="M4" s="40" t="s">
        <v>2</v>
      </c>
    </row>
    <row r="5" spans="1:13" ht="15" customHeight="1" x14ac:dyDescent="0.25">
      <c r="A5" s="3" t="s">
        <v>283</v>
      </c>
      <c r="B5" s="88">
        <v>18.5</v>
      </c>
      <c r="E5" s="16" t="s">
        <v>19</v>
      </c>
      <c r="F5" s="29" t="s">
        <v>20</v>
      </c>
      <c r="G5" s="29">
        <v>1</v>
      </c>
      <c r="H5" s="29">
        <v>67</v>
      </c>
      <c r="I5" s="80">
        <v>1077</v>
      </c>
      <c r="J5" s="80">
        <v>14527</v>
      </c>
      <c r="L5" s="6">
        <v>1995</v>
      </c>
      <c r="M5" s="105">
        <v>21532.28</v>
      </c>
    </row>
    <row r="6" spans="1:13" ht="15" customHeight="1" x14ac:dyDescent="0.25">
      <c r="A6" s="145" t="s">
        <v>4</v>
      </c>
      <c r="B6" s="145"/>
      <c r="C6" s="53" t="s">
        <v>192</v>
      </c>
      <c r="E6" s="16" t="s">
        <v>19</v>
      </c>
      <c r="F6" s="29" t="s">
        <v>21</v>
      </c>
      <c r="G6" s="29">
        <v>1</v>
      </c>
      <c r="H6" s="29">
        <v>118</v>
      </c>
      <c r="I6" s="80">
        <v>1571</v>
      </c>
      <c r="J6" s="80">
        <v>33719</v>
      </c>
      <c r="L6" s="6">
        <v>1996</v>
      </c>
      <c r="M6" s="105">
        <v>69057.33</v>
      </c>
    </row>
    <row r="7" spans="1:13" ht="15" customHeight="1" x14ac:dyDescent="0.25">
      <c r="A7" s="3" t="s">
        <v>265</v>
      </c>
      <c r="B7" s="88" t="s">
        <v>5</v>
      </c>
      <c r="C7" s="85">
        <v>10</v>
      </c>
      <c r="E7" s="16" t="s">
        <v>19</v>
      </c>
      <c r="F7" s="29" t="s">
        <v>22</v>
      </c>
      <c r="G7" s="29">
        <v>1</v>
      </c>
      <c r="H7" s="29">
        <v>119</v>
      </c>
      <c r="I7" s="80">
        <v>1044</v>
      </c>
      <c r="J7" s="80">
        <v>23339</v>
      </c>
      <c r="L7" s="6">
        <v>1997</v>
      </c>
      <c r="M7" s="105">
        <v>83104</v>
      </c>
    </row>
    <row r="8" spans="1:13" ht="15" customHeight="1" x14ac:dyDescent="0.25">
      <c r="A8" s="3" t="s">
        <v>264</v>
      </c>
      <c r="B8" s="88" t="s">
        <v>6</v>
      </c>
      <c r="C8" s="85">
        <v>9</v>
      </c>
      <c r="E8" s="16" t="s">
        <v>23</v>
      </c>
      <c r="F8" s="29" t="s">
        <v>24</v>
      </c>
      <c r="G8" s="29">
        <v>1</v>
      </c>
      <c r="H8" s="29">
        <v>55</v>
      </c>
      <c r="I8" s="80">
        <v>790</v>
      </c>
      <c r="J8" s="80">
        <v>5994</v>
      </c>
      <c r="L8" s="6">
        <v>1998</v>
      </c>
      <c r="M8" s="105">
        <v>176600.83</v>
      </c>
    </row>
    <row r="9" spans="1:13" ht="15" customHeight="1" x14ac:dyDescent="0.25">
      <c r="E9" s="16" t="s">
        <v>25</v>
      </c>
      <c r="F9" s="29" t="s">
        <v>26</v>
      </c>
      <c r="G9" s="29">
        <v>1</v>
      </c>
      <c r="H9" s="29">
        <v>93</v>
      </c>
      <c r="I9" s="80">
        <v>485</v>
      </c>
      <c r="J9" s="80">
        <v>4282</v>
      </c>
      <c r="L9" s="6">
        <v>1999</v>
      </c>
      <c r="M9" s="105">
        <v>172896.82</v>
      </c>
    </row>
    <row r="10" spans="1:13" ht="15" customHeight="1" x14ac:dyDescent="0.25">
      <c r="A10" s="213" t="s">
        <v>189</v>
      </c>
      <c r="B10" s="215"/>
      <c r="C10" s="216"/>
      <c r="D10" s="39"/>
      <c r="E10" s="16" t="s">
        <v>27</v>
      </c>
      <c r="F10" s="29" t="s">
        <v>28</v>
      </c>
      <c r="G10" s="29">
        <v>1</v>
      </c>
      <c r="H10" s="29">
        <v>103</v>
      </c>
      <c r="I10" s="80">
        <v>1483</v>
      </c>
      <c r="J10" s="80">
        <v>15204</v>
      </c>
      <c r="L10" s="6">
        <v>2000</v>
      </c>
      <c r="M10" s="105">
        <v>162511.76</v>
      </c>
    </row>
    <row r="11" spans="1:13" ht="15" customHeight="1" x14ac:dyDescent="0.25">
      <c r="A11" s="214"/>
      <c r="B11" s="29"/>
      <c r="C11" s="29"/>
      <c r="E11" s="16" t="s">
        <v>27</v>
      </c>
      <c r="F11" s="29" t="s">
        <v>29</v>
      </c>
      <c r="G11" s="29">
        <v>1</v>
      </c>
      <c r="H11" s="29">
        <v>113</v>
      </c>
      <c r="I11" s="80">
        <v>344</v>
      </c>
      <c r="J11" s="80">
        <v>2617</v>
      </c>
      <c r="L11" s="6">
        <v>2001</v>
      </c>
      <c r="M11" s="105">
        <v>245040</v>
      </c>
    </row>
    <row r="12" spans="1:13" ht="15" customHeight="1" x14ac:dyDescent="0.25">
      <c r="A12" s="76">
        <v>27972</v>
      </c>
      <c r="B12" s="16"/>
      <c r="C12" s="16"/>
      <c r="E12" s="16" t="s">
        <v>30</v>
      </c>
      <c r="F12" s="29" t="s">
        <v>31</v>
      </c>
      <c r="G12" s="29">
        <v>1</v>
      </c>
      <c r="H12" s="29">
        <v>63</v>
      </c>
      <c r="I12" s="80">
        <v>1535</v>
      </c>
      <c r="J12" s="80">
        <v>8628</v>
      </c>
      <c r="L12" s="6">
        <v>2002</v>
      </c>
      <c r="M12" s="105">
        <v>192297.49</v>
      </c>
    </row>
    <row r="13" spans="1:13" ht="15" customHeight="1" x14ac:dyDescent="0.25">
      <c r="A13" s="75"/>
      <c r="B13" s="16"/>
      <c r="C13" s="16"/>
      <c r="E13" s="16" t="s">
        <v>32</v>
      </c>
      <c r="F13" s="29" t="s">
        <v>33</v>
      </c>
      <c r="G13" s="29">
        <v>1</v>
      </c>
      <c r="H13" s="29">
        <v>59</v>
      </c>
      <c r="I13" s="80">
        <v>132</v>
      </c>
      <c r="J13" s="80">
        <v>563</v>
      </c>
      <c r="L13" s="6">
        <v>2003</v>
      </c>
      <c r="M13" s="105">
        <v>183962.66</v>
      </c>
    </row>
    <row r="14" spans="1:13" ht="15" customHeight="1" x14ac:dyDescent="0.25">
      <c r="A14" s="145" t="s">
        <v>135</v>
      </c>
      <c r="B14" s="145"/>
      <c r="C14" s="16"/>
      <c r="E14" s="16" t="s">
        <v>32</v>
      </c>
      <c r="F14" s="29" t="s">
        <v>34</v>
      </c>
      <c r="G14" s="29">
        <v>1</v>
      </c>
      <c r="H14" s="29">
        <v>82</v>
      </c>
      <c r="I14" s="80">
        <v>247</v>
      </c>
      <c r="J14" s="80">
        <v>1192</v>
      </c>
      <c r="L14" s="6">
        <v>2004</v>
      </c>
      <c r="M14" s="105">
        <v>247335.75</v>
      </c>
    </row>
    <row r="15" spans="1:13" ht="15" customHeight="1" x14ac:dyDescent="0.25">
      <c r="A15" s="146" t="s">
        <v>136</v>
      </c>
      <c r="B15" s="146"/>
      <c r="C15" s="16"/>
      <c r="E15" s="16" t="s">
        <v>35</v>
      </c>
      <c r="F15" s="29" t="s">
        <v>36</v>
      </c>
      <c r="G15" s="29">
        <v>1</v>
      </c>
      <c r="H15" s="29">
        <v>93</v>
      </c>
      <c r="I15" s="80">
        <v>710</v>
      </c>
      <c r="J15" s="80">
        <v>10126</v>
      </c>
      <c r="L15" s="6">
        <v>2005</v>
      </c>
      <c r="M15" s="105">
        <v>302843.44</v>
      </c>
    </row>
    <row r="16" spans="1:13" ht="15" customHeight="1" x14ac:dyDescent="0.25">
      <c r="A16" s="3" t="s">
        <v>42</v>
      </c>
      <c r="B16" s="34">
        <v>36</v>
      </c>
      <c r="E16" s="16" t="s">
        <v>35</v>
      </c>
      <c r="F16" s="29" t="s">
        <v>37</v>
      </c>
      <c r="G16" s="29">
        <v>2</v>
      </c>
      <c r="H16" s="29">
        <v>111.8</v>
      </c>
      <c r="I16" s="80">
        <v>3130</v>
      </c>
      <c r="J16" s="80">
        <v>68688</v>
      </c>
      <c r="L16" s="6">
        <v>2006</v>
      </c>
      <c r="M16" s="105">
        <v>305995.84999999998</v>
      </c>
    </row>
    <row r="17" spans="1:13" ht="15" customHeight="1" x14ac:dyDescent="0.25">
      <c r="A17" s="3" t="s">
        <v>43</v>
      </c>
      <c r="B17" s="34">
        <v>100</v>
      </c>
      <c r="E17" s="16" t="s">
        <v>35</v>
      </c>
      <c r="F17" s="29" t="s">
        <v>38</v>
      </c>
      <c r="G17" s="29">
        <v>2</v>
      </c>
      <c r="H17" s="29">
        <v>125</v>
      </c>
      <c r="I17" s="80">
        <v>2393</v>
      </c>
      <c r="J17" s="80">
        <v>50703</v>
      </c>
      <c r="L17" s="6">
        <v>2007</v>
      </c>
      <c r="M17" s="105">
        <v>360301.56</v>
      </c>
    </row>
    <row r="18" spans="1:13" ht="15" customHeight="1" x14ac:dyDescent="0.25">
      <c r="E18" s="16" t="s">
        <v>35</v>
      </c>
      <c r="F18" s="29" t="s">
        <v>39</v>
      </c>
      <c r="G18" s="29">
        <v>1</v>
      </c>
      <c r="H18" s="29">
        <v>97</v>
      </c>
      <c r="I18" s="80">
        <v>2031</v>
      </c>
      <c r="J18" s="80">
        <v>34933</v>
      </c>
      <c r="L18" s="6">
        <v>2008</v>
      </c>
      <c r="M18" s="105">
        <v>410508.4</v>
      </c>
    </row>
    <row r="19" spans="1:13" ht="15" customHeight="1" x14ac:dyDescent="0.25">
      <c r="A19" s="145" t="s">
        <v>8</v>
      </c>
      <c r="B19" s="145"/>
      <c r="C19" s="60"/>
      <c r="E19" s="16" t="s">
        <v>35</v>
      </c>
      <c r="F19" s="29" t="s">
        <v>40</v>
      </c>
      <c r="G19" s="29">
        <v>1</v>
      </c>
      <c r="H19" s="29">
        <v>104</v>
      </c>
      <c r="I19" s="80">
        <v>224</v>
      </c>
      <c r="J19" s="80">
        <v>2838</v>
      </c>
      <c r="L19" s="6">
        <v>2009</v>
      </c>
      <c r="M19" s="105">
        <v>413811.98</v>
      </c>
    </row>
    <row r="20" spans="1:13" ht="15" customHeight="1" x14ac:dyDescent="0.25">
      <c r="A20" s="3" t="s">
        <v>9</v>
      </c>
      <c r="B20" s="88" t="s">
        <v>10</v>
      </c>
      <c r="C20" s="60"/>
      <c r="L20" s="6">
        <v>2010</v>
      </c>
      <c r="M20" s="105">
        <v>464442.26</v>
      </c>
    </row>
    <row r="21" spans="1:13" ht="15" customHeight="1" x14ac:dyDescent="0.25">
      <c r="A21" s="60" t="s">
        <v>11</v>
      </c>
      <c r="B21" s="36">
        <v>2</v>
      </c>
      <c r="C21" s="60"/>
      <c r="L21" s="6">
        <v>2011</v>
      </c>
      <c r="M21" s="105">
        <v>522290.16</v>
      </c>
    </row>
    <row r="22" spans="1:13" ht="15" customHeight="1" x14ac:dyDescent="0.25">
      <c r="A22" s="60" t="s">
        <v>12</v>
      </c>
      <c r="B22" s="36">
        <v>4</v>
      </c>
      <c r="C22" s="60"/>
      <c r="E22" s="199" t="s">
        <v>137</v>
      </c>
      <c r="F22" s="199"/>
      <c r="G22" s="199"/>
      <c r="H22" s="199"/>
      <c r="I22" s="199"/>
      <c r="J22" s="141"/>
      <c r="L22" s="6">
        <v>2012</v>
      </c>
      <c r="M22" s="70">
        <v>535946.97</v>
      </c>
    </row>
    <row r="23" spans="1:13" ht="15" customHeight="1" x14ac:dyDescent="0.25">
      <c r="E23" s="40" t="s">
        <v>198</v>
      </c>
      <c r="F23" s="40" t="s">
        <v>115</v>
      </c>
      <c r="G23" s="40" t="s">
        <v>199</v>
      </c>
      <c r="H23" s="40" t="s">
        <v>200</v>
      </c>
      <c r="I23" s="40" t="s">
        <v>116</v>
      </c>
      <c r="J23" s="138"/>
      <c r="L23" s="6">
        <v>2013</v>
      </c>
      <c r="M23" s="70">
        <v>681429.78</v>
      </c>
    </row>
    <row r="24" spans="1:13" ht="15" customHeight="1" x14ac:dyDescent="0.25">
      <c r="A24" s="145" t="s">
        <v>7</v>
      </c>
      <c r="B24" s="145"/>
      <c r="E24" s="3" t="s">
        <v>124</v>
      </c>
      <c r="F24" s="114" t="s">
        <v>305</v>
      </c>
      <c r="G24" s="36">
        <v>-20.242754000000001</v>
      </c>
      <c r="H24" s="36">
        <v>-40.374665</v>
      </c>
      <c r="I24" s="114">
        <v>912</v>
      </c>
      <c r="J24" s="135"/>
      <c r="L24" s="6">
        <v>2014</v>
      </c>
      <c r="M24" s="70">
        <v>766411.97</v>
      </c>
    </row>
    <row r="25" spans="1:13" ht="15" customHeight="1" x14ac:dyDescent="0.25">
      <c r="A25" s="217" t="s">
        <v>197</v>
      </c>
      <c r="B25" s="217"/>
      <c r="E25" s="3" t="s">
        <v>304</v>
      </c>
      <c r="F25" s="114" t="s">
        <v>305</v>
      </c>
      <c r="G25" s="36">
        <v>-20.242474000000001</v>
      </c>
      <c r="H25" s="36">
        <v>-40.376331999999998</v>
      </c>
      <c r="I25" s="114">
        <v>423</v>
      </c>
      <c r="J25" s="135"/>
      <c r="L25" s="29">
        <v>2015</v>
      </c>
      <c r="M25" s="106">
        <v>630028</v>
      </c>
    </row>
    <row r="26" spans="1:13" ht="15" customHeight="1" x14ac:dyDescent="0.25">
      <c r="A26" s="3" t="s">
        <v>194</v>
      </c>
      <c r="B26" s="101">
        <v>0.8</v>
      </c>
      <c r="E26" s="3" t="s">
        <v>125</v>
      </c>
      <c r="F26" s="114" t="s">
        <v>305</v>
      </c>
      <c r="G26" s="36">
        <v>-20.241175999999999</v>
      </c>
      <c r="H26" s="36">
        <v>-40.378340000000001</v>
      </c>
      <c r="I26" s="114">
        <v>455</v>
      </c>
      <c r="J26" s="135"/>
      <c r="L26" s="6">
        <v>2016</v>
      </c>
      <c r="M26" s="70">
        <v>368278.98</v>
      </c>
    </row>
    <row r="27" spans="1:13" ht="15" customHeight="1" x14ac:dyDescent="0.25">
      <c r="A27" s="3" t="s">
        <v>190</v>
      </c>
      <c r="B27" s="102">
        <v>-20.240857999999999</v>
      </c>
      <c r="E27" s="3" t="s">
        <v>126</v>
      </c>
      <c r="F27" s="114" t="s">
        <v>305</v>
      </c>
      <c r="G27" s="36">
        <v>-20.241669000000002</v>
      </c>
      <c r="H27" s="36">
        <v>-40.376413999999997</v>
      </c>
      <c r="I27" s="114">
        <v>70.2</v>
      </c>
      <c r="J27" s="135"/>
      <c r="L27" s="6" t="s">
        <v>3</v>
      </c>
      <c r="M27" s="70">
        <v>7316628.2699999996</v>
      </c>
    </row>
    <row r="28" spans="1:13" ht="15" customHeight="1" x14ac:dyDescent="0.25">
      <c r="A28" s="3" t="s">
        <v>191</v>
      </c>
      <c r="B28" s="102">
        <v>-40.379030999999998</v>
      </c>
      <c r="E28" s="3" t="s">
        <v>127</v>
      </c>
      <c r="F28" s="114" t="s">
        <v>305</v>
      </c>
      <c r="G28" s="36">
        <v>-20.242598000000001</v>
      </c>
      <c r="H28" s="36">
        <v>-40.380403000000001</v>
      </c>
      <c r="I28" s="114">
        <v>649</v>
      </c>
      <c r="J28" s="135"/>
      <c r="L28" s="182" t="s">
        <v>272</v>
      </c>
      <c r="M28" s="182"/>
    </row>
    <row r="29" spans="1:13" ht="15" customHeight="1" x14ac:dyDescent="0.25">
      <c r="A29" s="3" t="s">
        <v>286</v>
      </c>
      <c r="B29" s="32">
        <v>1500</v>
      </c>
      <c r="E29" s="3" t="s">
        <v>128</v>
      </c>
      <c r="F29" s="114" t="s">
        <v>306</v>
      </c>
      <c r="G29" s="36">
        <v>-20.240905999999999</v>
      </c>
      <c r="H29" s="36">
        <v>-40.382395000000002</v>
      </c>
      <c r="I29" s="114">
        <v>157</v>
      </c>
      <c r="J29" s="135"/>
      <c r="L29" s="52" t="s">
        <v>273</v>
      </c>
      <c r="M29" s="118" t="s">
        <v>2</v>
      </c>
    </row>
    <row r="30" spans="1:13" ht="15" customHeight="1" x14ac:dyDescent="0.25">
      <c r="E30" s="3" t="s">
        <v>129</v>
      </c>
      <c r="F30" s="114" t="s">
        <v>306</v>
      </c>
      <c r="G30" s="36">
        <v>-20.241102000000001</v>
      </c>
      <c r="H30" s="36">
        <v>-40.383215999999997</v>
      </c>
      <c r="I30" s="114">
        <v>30.9</v>
      </c>
      <c r="J30" s="135"/>
      <c r="L30" s="34">
        <v>2017</v>
      </c>
      <c r="M30" s="59">
        <f>(M26*101.1)/100</f>
        <v>372330.04878000001</v>
      </c>
    </row>
    <row r="31" spans="1:13" ht="15" customHeight="1" x14ac:dyDescent="0.25">
      <c r="C31" s="60"/>
      <c r="E31" s="3" t="s">
        <v>130</v>
      </c>
      <c r="F31" s="114" t="s">
        <v>306</v>
      </c>
      <c r="G31" s="36">
        <v>-20.241436</v>
      </c>
      <c r="H31" s="36">
        <v>-40.383637999999998</v>
      </c>
      <c r="I31" s="114">
        <v>115</v>
      </c>
      <c r="J31" s="135"/>
      <c r="L31" s="34">
        <v>2018</v>
      </c>
      <c r="M31" s="59">
        <f>(M30*101.1)/100</f>
        <v>376425.67931658</v>
      </c>
    </row>
    <row r="32" spans="1:13" ht="15" customHeight="1" x14ac:dyDescent="0.25">
      <c r="C32" s="60"/>
      <c r="E32" s="3" t="s">
        <v>131</v>
      </c>
      <c r="F32" s="114" t="s">
        <v>306</v>
      </c>
      <c r="G32" s="36">
        <v>-20.242536000000001</v>
      </c>
      <c r="H32" s="36">
        <v>-40.384937999999998</v>
      </c>
      <c r="I32" s="114">
        <v>263</v>
      </c>
      <c r="J32" s="135"/>
      <c r="L32" s="34">
        <v>2019</v>
      </c>
      <c r="M32" s="59">
        <f t="shared" ref="M32:M43" si="0">(M31*101.1)/100</f>
        <v>380566.36178906239</v>
      </c>
    </row>
    <row r="33" spans="1:13" ht="15" customHeight="1" x14ac:dyDescent="0.25">
      <c r="E33" s="3" t="s">
        <v>132</v>
      </c>
      <c r="F33" s="114" t="s">
        <v>306</v>
      </c>
      <c r="G33" s="36">
        <v>-20.242031999999998</v>
      </c>
      <c r="H33" s="36">
        <v>-40.385339000000002</v>
      </c>
      <c r="I33" s="114">
        <v>212</v>
      </c>
      <c r="J33" s="135"/>
      <c r="L33" s="34">
        <v>2020</v>
      </c>
      <c r="M33" s="59">
        <f t="shared" si="0"/>
        <v>384752.59176874207</v>
      </c>
    </row>
    <row r="34" spans="1:13" ht="15" customHeight="1" x14ac:dyDescent="0.25">
      <c r="E34" s="3" t="s">
        <v>133</v>
      </c>
      <c r="F34" s="114" t="s">
        <v>306</v>
      </c>
      <c r="G34" s="36">
        <v>-20.242681000000001</v>
      </c>
      <c r="H34" s="36">
        <v>-40.387649000000003</v>
      </c>
      <c r="I34" s="114">
        <v>343</v>
      </c>
      <c r="J34" s="135"/>
      <c r="L34" s="34">
        <v>2021</v>
      </c>
      <c r="M34" s="59">
        <f t="shared" si="0"/>
        <v>388984.87027819821</v>
      </c>
    </row>
    <row r="35" spans="1:13" ht="15" customHeight="1" x14ac:dyDescent="0.25">
      <c r="E35" s="3" t="s">
        <v>134</v>
      </c>
      <c r="F35" s="114" t="s">
        <v>306</v>
      </c>
      <c r="G35" s="36">
        <v>-20.23959</v>
      </c>
      <c r="H35" s="36">
        <v>-40.383510999999999</v>
      </c>
      <c r="I35" s="114">
        <v>976</v>
      </c>
      <c r="J35" s="134"/>
      <c r="L35" s="34">
        <v>2022</v>
      </c>
      <c r="M35" s="59">
        <f t="shared" si="0"/>
        <v>393263.70385125838</v>
      </c>
    </row>
    <row r="36" spans="1:13" ht="15" customHeight="1" x14ac:dyDescent="0.25">
      <c r="C36" s="60"/>
      <c r="D36" s="60"/>
      <c r="F36" s="119"/>
      <c r="G36" s="120"/>
      <c r="L36" s="34">
        <v>2023</v>
      </c>
      <c r="M36" s="59">
        <f t="shared" si="0"/>
        <v>397589.60459362227</v>
      </c>
    </row>
    <row r="37" spans="1:13" ht="15" customHeight="1" x14ac:dyDescent="0.25">
      <c r="C37" s="69"/>
      <c r="D37" s="60"/>
      <c r="E37" s="218"/>
      <c r="F37" s="212"/>
      <c r="G37" s="211"/>
      <c r="H37" s="210"/>
      <c r="I37" s="211"/>
      <c r="L37" s="34">
        <v>2024</v>
      </c>
      <c r="M37" s="59">
        <f t="shared" si="0"/>
        <v>401963.09024415212</v>
      </c>
    </row>
    <row r="38" spans="1:13" ht="15" customHeight="1" x14ac:dyDescent="0.25">
      <c r="A38" s="27"/>
      <c r="B38" s="60"/>
      <c r="C38" s="60"/>
      <c r="D38" s="60"/>
      <c r="E38" s="219"/>
      <c r="F38" s="137"/>
      <c r="G38" s="138"/>
      <c r="H38" s="139"/>
      <c r="I38" s="138"/>
      <c r="L38" s="34">
        <v>2025</v>
      </c>
      <c r="M38" s="59">
        <f t="shared" si="0"/>
        <v>406384.68423683778</v>
      </c>
    </row>
    <row r="39" spans="1:13" ht="15" customHeight="1" x14ac:dyDescent="0.25">
      <c r="C39" s="60"/>
      <c r="D39" s="60"/>
      <c r="E39" s="136"/>
      <c r="F39" s="135"/>
      <c r="G39" s="135"/>
      <c r="H39" s="135"/>
      <c r="I39" s="135"/>
      <c r="L39" s="34">
        <v>2026</v>
      </c>
      <c r="M39" s="59">
        <f t="shared" si="0"/>
        <v>410854.91576344299</v>
      </c>
    </row>
    <row r="40" spans="1:13" ht="15" customHeight="1" x14ac:dyDescent="0.25">
      <c r="C40" s="60"/>
      <c r="D40" s="60"/>
      <c r="E40" s="136"/>
      <c r="F40" s="135"/>
      <c r="G40" s="135"/>
      <c r="H40" s="135"/>
      <c r="I40" s="135"/>
      <c r="L40" s="34">
        <v>2027</v>
      </c>
      <c r="M40" s="59">
        <f t="shared" si="0"/>
        <v>415374.31983684085</v>
      </c>
    </row>
    <row r="41" spans="1:13" ht="15" customHeight="1" x14ac:dyDescent="0.25">
      <c r="C41" s="60"/>
      <c r="D41" s="60"/>
      <c r="E41" s="136"/>
      <c r="F41" s="140"/>
      <c r="G41" s="135"/>
      <c r="H41" s="135"/>
      <c r="I41" s="135"/>
      <c r="L41" s="34">
        <v>2028</v>
      </c>
      <c r="M41" s="59">
        <f t="shared" si="0"/>
        <v>419943.43735504604</v>
      </c>
    </row>
    <row r="42" spans="1:13" ht="15" customHeight="1" x14ac:dyDescent="0.25">
      <c r="E42" s="136"/>
      <c r="F42" s="140"/>
      <c r="G42" s="135"/>
      <c r="H42" s="135"/>
      <c r="I42" s="135"/>
      <c r="L42" s="34">
        <v>2029</v>
      </c>
      <c r="M42" s="59">
        <f t="shared" si="0"/>
        <v>424562.81516595156</v>
      </c>
    </row>
    <row r="43" spans="1:13" ht="15" customHeight="1" x14ac:dyDescent="0.25">
      <c r="E43" s="136"/>
      <c r="F43" s="135"/>
      <c r="G43" s="135"/>
      <c r="H43" s="135"/>
      <c r="I43" s="135"/>
      <c r="L43" s="34">
        <v>2030</v>
      </c>
      <c r="M43" s="59">
        <f t="shared" si="0"/>
        <v>429233.00613277702</v>
      </c>
    </row>
    <row r="44" spans="1:13" ht="15" customHeight="1" x14ac:dyDescent="0.25">
      <c r="E44" s="136"/>
      <c r="F44" s="135"/>
      <c r="G44" s="135"/>
      <c r="H44" s="135"/>
      <c r="I44" s="135"/>
    </row>
    <row r="45" spans="1:13" ht="15" customHeight="1" x14ac:dyDescent="0.25">
      <c r="E45" s="136"/>
      <c r="F45" s="135"/>
      <c r="G45" s="135"/>
      <c r="H45" s="135"/>
      <c r="I45" s="135"/>
    </row>
    <row r="46" spans="1:13" ht="15" customHeight="1" x14ac:dyDescent="0.25">
      <c r="E46" s="136"/>
      <c r="F46" s="135"/>
      <c r="G46" s="135"/>
      <c r="H46" s="135"/>
      <c r="I46" s="135"/>
    </row>
    <row r="47" spans="1:13" ht="15" customHeight="1" x14ac:dyDescent="0.25">
      <c r="E47" s="136"/>
      <c r="F47" s="135"/>
      <c r="G47" s="135"/>
      <c r="H47" s="135"/>
      <c r="I47" s="135"/>
    </row>
    <row r="48" spans="1:13" ht="15" customHeight="1" x14ac:dyDescent="0.25">
      <c r="E48" s="136"/>
      <c r="F48" s="135"/>
      <c r="G48" s="135"/>
      <c r="H48" s="135"/>
      <c r="I48" s="135"/>
    </row>
    <row r="49" spans="5:10" ht="15" customHeight="1" x14ac:dyDescent="0.25">
      <c r="E49" s="136"/>
      <c r="F49" s="135"/>
      <c r="G49" s="135"/>
      <c r="H49" s="135"/>
      <c r="I49" s="135"/>
    </row>
    <row r="50" spans="5:10" ht="15" customHeight="1" x14ac:dyDescent="0.25">
      <c r="E50" s="136"/>
      <c r="F50" s="135"/>
      <c r="G50" s="135"/>
      <c r="H50" s="135"/>
      <c r="I50" s="135"/>
    </row>
    <row r="51" spans="5:10" ht="15" customHeight="1" x14ac:dyDescent="0.25">
      <c r="F51" s="60"/>
    </row>
    <row r="61" spans="5:10" ht="15" customHeight="1" x14ac:dyDescent="0.25">
      <c r="H61" s="88"/>
      <c r="I61" s="36"/>
      <c r="J61" s="36"/>
    </row>
    <row r="62" spans="5:10" ht="15" customHeight="1" x14ac:dyDescent="0.25">
      <c r="H62" s="36"/>
      <c r="I62" s="36"/>
      <c r="J62" s="36"/>
    </row>
    <row r="63" spans="5:10" ht="15" customHeight="1" x14ac:dyDescent="0.25">
      <c r="H63" s="36"/>
      <c r="I63" s="36"/>
      <c r="J63" s="36"/>
    </row>
    <row r="64" spans="5:10" ht="15" customHeight="1" x14ac:dyDescent="0.25">
      <c r="H64" s="36"/>
      <c r="I64" s="36"/>
      <c r="J64" s="36"/>
    </row>
    <row r="65" spans="6:10" ht="15" customHeight="1" x14ac:dyDescent="0.25">
      <c r="H65" s="36"/>
      <c r="I65" s="36"/>
      <c r="J65" s="36"/>
    </row>
    <row r="66" spans="6:10" ht="15" customHeight="1" x14ac:dyDescent="0.25">
      <c r="F66" s="36"/>
      <c r="G66" s="36"/>
      <c r="H66" s="88"/>
      <c r="I66" s="36"/>
      <c r="J66" s="36"/>
    </row>
    <row r="67" spans="6:10" ht="15" customHeight="1" x14ac:dyDescent="0.25">
      <c r="F67" s="36"/>
      <c r="G67" s="36"/>
      <c r="H67" s="88"/>
      <c r="I67" s="36"/>
      <c r="J67" s="36"/>
    </row>
    <row r="68" spans="6:10" ht="15" customHeight="1" x14ac:dyDescent="0.25">
      <c r="F68" s="36"/>
      <c r="G68" s="36"/>
      <c r="H68" s="88"/>
      <c r="I68" s="36"/>
      <c r="J68" s="36"/>
    </row>
    <row r="69" spans="6:10" ht="15" customHeight="1" x14ac:dyDescent="0.25">
      <c r="F69" s="36"/>
      <c r="G69" s="36"/>
      <c r="H69" s="88"/>
      <c r="I69" s="36"/>
      <c r="J69" s="36"/>
    </row>
    <row r="70" spans="6:10" ht="15" customHeight="1" x14ac:dyDescent="0.25">
      <c r="F70" s="36"/>
      <c r="G70" s="36"/>
      <c r="H70" s="88"/>
      <c r="I70" s="36"/>
      <c r="J70" s="36"/>
    </row>
    <row r="71" spans="6:10" ht="15" customHeight="1" x14ac:dyDescent="0.25">
      <c r="F71" s="36"/>
      <c r="G71" s="36"/>
      <c r="H71" s="88"/>
      <c r="I71" s="36"/>
      <c r="J71" s="36"/>
    </row>
    <row r="72" spans="6:10" ht="15" customHeight="1" x14ac:dyDescent="0.25">
      <c r="F72" s="36"/>
      <c r="G72" s="36"/>
      <c r="H72" s="88"/>
      <c r="I72" s="88"/>
      <c r="J72" s="36"/>
    </row>
    <row r="73" spans="6:10" ht="15" customHeight="1" x14ac:dyDescent="0.25">
      <c r="F73" s="36"/>
      <c r="G73" s="36"/>
      <c r="H73" s="88"/>
      <c r="I73" s="36"/>
      <c r="J73" s="36"/>
    </row>
    <row r="75" spans="6:10" ht="15" customHeight="1" x14ac:dyDescent="0.25">
      <c r="F75" s="36"/>
      <c r="G75" s="36"/>
      <c r="H75" s="88"/>
      <c r="I75" s="36"/>
      <c r="J75" s="36"/>
    </row>
    <row r="76" spans="6:10" ht="15" customHeight="1" x14ac:dyDescent="0.25">
      <c r="F76" s="36"/>
      <c r="G76" s="36"/>
      <c r="H76" s="88"/>
      <c r="I76" s="36"/>
      <c r="J76" s="36"/>
    </row>
    <row r="78" spans="6:10" ht="15" customHeight="1" x14ac:dyDescent="0.25">
      <c r="F78" s="36"/>
      <c r="G78" s="36"/>
      <c r="H78" s="88"/>
      <c r="I78" s="36"/>
      <c r="J78" s="36"/>
    </row>
    <row r="79" spans="6:10" ht="15" customHeight="1" x14ac:dyDescent="0.25">
      <c r="F79" s="36"/>
      <c r="G79" s="36"/>
      <c r="H79" s="88"/>
      <c r="I79" s="36"/>
      <c r="J79" s="36"/>
    </row>
    <row r="80" spans="6:10" ht="15" customHeight="1" x14ac:dyDescent="0.25">
      <c r="F80" s="36"/>
      <c r="G80" s="36"/>
      <c r="H80" s="88"/>
      <c r="I80" s="36"/>
      <c r="J80" s="36"/>
    </row>
    <row r="81" spans="6:10" ht="15" customHeight="1" x14ac:dyDescent="0.25">
      <c r="F81" s="36"/>
      <c r="G81" s="36"/>
      <c r="H81" s="88"/>
      <c r="I81" s="36"/>
      <c r="J81" s="36"/>
    </row>
    <row r="82" spans="6:10" ht="15" customHeight="1" x14ac:dyDescent="0.25">
      <c r="F82" s="36"/>
      <c r="G82" s="36"/>
      <c r="H82" s="88"/>
      <c r="I82" s="36"/>
      <c r="J82" s="36"/>
    </row>
    <row r="83" spans="6:10" ht="15" customHeight="1" x14ac:dyDescent="0.25">
      <c r="F83" s="36"/>
      <c r="G83" s="36"/>
      <c r="H83" s="88"/>
      <c r="I83" s="36"/>
      <c r="J83" s="36"/>
    </row>
  </sheetData>
  <sheetProtection password="B056" sheet="1" objects="1" scenarios="1"/>
  <mergeCells count="15">
    <mergeCell ref="H37:I37"/>
    <mergeCell ref="F37:G37"/>
    <mergeCell ref="L3:M3"/>
    <mergeCell ref="L28:M28"/>
    <mergeCell ref="A19:B19"/>
    <mergeCell ref="A10:A11"/>
    <mergeCell ref="B10:C10"/>
    <mergeCell ref="A14:B14"/>
    <mergeCell ref="A15:B15"/>
    <mergeCell ref="E3:J3"/>
    <mergeCell ref="A24:B24"/>
    <mergeCell ref="A25:B25"/>
    <mergeCell ref="A6:B6"/>
    <mergeCell ref="E37:E38"/>
    <mergeCell ref="E22:I22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3" sqref="E13"/>
    </sheetView>
  </sheetViews>
  <sheetFormatPr defaultRowHeight="15" customHeight="1" x14ac:dyDescent="0.2"/>
  <cols>
    <col min="1" max="1" width="29.7109375" style="1" customWidth="1"/>
    <col min="2" max="2" width="10.7109375" style="1" customWidth="1"/>
    <col min="3" max="3" width="13.7109375" style="1" customWidth="1"/>
    <col min="4" max="7" width="10.7109375" style="1" customWidth="1"/>
    <col min="8" max="16384" width="9.140625" style="1"/>
  </cols>
  <sheetData>
    <row r="1" spans="1:7" ht="26.25" customHeight="1" x14ac:dyDescent="0.2">
      <c r="A1" s="222" t="s">
        <v>141</v>
      </c>
      <c r="B1" s="224" t="s">
        <v>199</v>
      </c>
      <c r="C1" s="224" t="s">
        <v>200</v>
      </c>
      <c r="D1" s="220" t="s">
        <v>259</v>
      </c>
      <c r="E1" s="221"/>
      <c r="F1" s="220" t="s">
        <v>285</v>
      </c>
      <c r="G1" s="221"/>
    </row>
    <row r="2" spans="1:7" ht="15" customHeight="1" x14ac:dyDescent="0.2">
      <c r="A2" s="223"/>
      <c r="B2" s="224"/>
      <c r="C2" s="224"/>
      <c r="D2" s="26" t="s">
        <v>53</v>
      </c>
      <c r="E2" s="26" t="s">
        <v>313</v>
      </c>
      <c r="F2" s="26" t="s">
        <v>53</v>
      </c>
      <c r="G2" s="26" t="s">
        <v>313</v>
      </c>
    </row>
    <row r="3" spans="1:7" ht="15" customHeight="1" x14ac:dyDescent="0.2">
      <c r="A3" s="4" t="s">
        <v>303</v>
      </c>
      <c r="B3" s="66">
        <v>-20.242059000000001</v>
      </c>
      <c r="C3" s="66">
        <v>-40.387276</v>
      </c>
      <c r="D3" s="19">
        <v>13.044474528779601</v>
      </c>
      <c r="E3" s="19">
        <v>107.78113087208702</v>
      </c>
      <c r="F3" s="19">
        <f>(D$3*1000*0.2)/(365*24)</f>
        <v>0.29781905316848406</v>
      </c>
      <c r="G3" s="19">
        <f>(E$3*1000*0.2)/(365*24)</f>
        <v>2.4607564126047263</v>
      </c>
    </row>
    <row r="4" spans="1:7" ht="15" customHeight="1" x14ac:dyDescent="0.2">
      <c r="A4" s="145" t="s">
        <v>227</v>
      </c>
      <c r="B4" s="145"/>
      <c r="C4" s="145"/>
      <c r="D4" s="145"/>
      <c r="E4" s="145"/>
      <c r="F4" s="51">
        <f>F3</f>
        <v>0.29781905316848406</v>
      </c>
      <c r="G4" s="51">
        <f>G3</f>
        <v>2.4607564126047263</v>
      </c>
    </row>
    <row r="5" spans="1:7" ht="15" customHeight="1" x14ac:dyDescent="0.2">
      <c r="A5" s="4" t="s">
        <v>278</v>
      </c>
    </row>
    <row r="6" spans="1:7" ht="15" customHeight="1" x14ac:dyDescent="0.2">
      <c r="A6" s="89"/>
    </row>
  </sheetData>
  <sheetProtection password="B056" sheet="1" objects="1" scenarios="1"/>
  <mergeCells count="6">
    <mergeCell ref="A4:E4"/>
    <mergeCell ref="D1:E1"/>
    <mergeCell ref="F1:G1"/>
    <mergeCell ref="A1:A2"/>
    <mergeCell ref="B1:B2"/>
    <mergeCell ref="C1:C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workbookViewId="0">
      <selection activeCell="D15" sqref="D15"/>
    </sheetView>
  </sheetViews>
  <sheetFormatPr defaultRowHeight="15" x14ac:dyDescent="0.25"/>
  <cols>
    <col min="1" max="1" width="28.140625" customWidth="1"/>
    <col min="2" max="2" width="10.7109375" customWidth="1"/>
    <col min="3" max="3" width="11.7109375" customWidth="1"/>
    <col min="4" max="4" width="12.7109375" customWidth="1"/>
    <col min="13" max="13" width="8.85546875" customWidth="1"/>
  </cols>
  <sheetData>
    <row r="1" spans="1:13" x14ac:dyDescent="0.25">
      <c r="A1" s="3" t="s">
        <v>298</v>
      </c>
    </row>
    <row r="2" spans="1:13" s="1" customFormat="1" ht="18" customHeight="1" x14ac:dyDescent="0.2">
      <c r="A2" s="222" t="s">
        <v>141</v>
      </c>
      <c r="B2" s="224" t="s">
        <v>199</v>
      </c>
      <c r="C2" s="224" t="s">
        <v>200</v>
      </c>
      <c r="D2" s="223" t="s">
        <v>300</v>
      </c>
      <c r="E2" s="226" t="s">
        <v>301</v>
      </c>
      <c r="F2" s="220"/>
      <c r="G2" s="221"/>
      <c r="H2" s="220" t="s">
        <v>49</v>
      </c>
      <c r="I2" s="220"/>
      <c r="J2" s="220"/>
      <c r="K2" s="220"/>
      <c r="L2" s="220"/>
      <c r="M2" s="221"/>
    </row>
    <row r="3" spans="1:13" s="1" customFormat="1" ht="15" customHeight="1" x14ac:dyDescent="0.2">
      <c r="A3" s="223"/>
      <c r="B3" s="224"/>
      <c r="C3" s="224"/>
      <c r="D3" s="225"/>
      <c r="E3" s="113" t="s">
        <v>50</v>
      </c>
      <c r="F3" s="113" t="s">
        <v>302</v>
      </c>
      <c r="G3" s="113" t="s">
        <v>53</v>
      </c>
      <c r="H3" s="113" t="s">
        <v>50</v>
      </c>
      <c r="I3" s="113" t="s">
        <v>146</v>
      </c>
      <c r="J3" s="113" t="s">
        <v>147</v>
      </c>
      <c r="K3" s="113" t="s">
        <v>302</v>
      </c>
      <c r="L3" s="113" t="s">
        <v>53</v>
      </c>
      <c r="M3" s="113" t="s">
        <v>313</v>
      </c>
    </row>
    <row r="4" spans="1:13" s="1" customFormat="1" ht="15" customHeight="1" x14ac:dyDescent="0.2">
      <c r="A4" s="3" t="s">
        <v>292</v>
      </c>
      <c r="B4" s="102">
        <v>-20.240857999999999</v>
      </c>
      <c r="C4" s="102">
        <v>-40.379030999999998</v>
      </c>
      <c r="D4" s="116">
        <f>Dados!B29</f>
        <v>1500</v>
      </c>
      <c r="E4" s="36">
        <f>'FE-Solid Waste'!C6</f>
        <v>238</v>
      </c>
      <c r="F4" s="36">
        <f>'FE-Solid Waste'!C4</f>
        <v>631</v>
      </c>
      <c r="G4" s="36">
        <f>'FE-Solid Waste'!C5</f>
        <v>737</v>
      </c>
      <c r="H4" s="19">
        <f>$D$4*(E4/10^6)</f>
        <v>0.35700000000000004</v>
      </c>
      <c r="I4" s="19">
        <f>H4</f>
        <v>0.35700000000000004</v>
      </c>
      <c r="J4" s="19">
        <f>H4</f>
        <v>0.35700000000000004</v>
      </c>
      <c r="K4" s="19">
        <f>$D$4*(F4/10^6)</f>
        <v>0.94650000000000012</v>
      </c>
      <c r="L4" s="19">
        <f t="shared" ref="L4" si="0">$D$4*(G4/10^6)</f>
        <v>1.1054999999999999</v>
      </c>
      <c r="M4" s="19">
        <f>('Emissão Aterro'!E3*0.8*1000/(365*24))*(1-86/100)</f>
        <v>1.3780235910586469</v>
      </c>
    </row>
    <row r="5" spans="1:13" s="33" customFormat="1" ht="15" customHeight="1" x14ac:dyDescent="0.2">
      <c r="A5" s="145" t="s">
        <v>227</v>
      </c>
      <c r="B5" s="145"/>
      <c r="C5" s="145"/>
      <c r="D5" s="145"/>
      <c r="E5" s="145"/>
      <c r="F5" s="145"/>
      <c r="G5" s="145"/>
      <c r="H5" s="51">
        <f>H4</f>
        <v>0.35700000000000004</v>
      </c>
      <c r="I5" s="51">
        <f t="shared" ref="I5:M5" si="1">I4</f>
        <v>0.35700000000000004</v>
      </c>
      <c r="J5" s="51">
        <f t="shared" si="1"/>
        <v>0.35700000000000004</v>
      </c>
      <c r="K5" s="51">
        <f t="shared" si="1"/>
        <v>0.94650000000000012</v>
      </c>
      <c r="L5" s="51">
        <f t="shared" si="1"/>
        <v>1.1054999999999999</v>
      </c>
      <c r="M5" s="51">
        <f t="shared" si="1"/>
        <v>1.3780235910586469</v>
      </c>
    </row>
    <row r="6" spans="1:13" x14ac:dyDescent="0.25">
      <c r="A6" s="4" t="s">
        <v>299</v>
      </c>
    </row>
  </sheetData>
  <sheetProtection password="B056" sheet="1" objects="1" scenarios="1"/>
  <mergeCells count="7">
    <mergeCell ref="H2:M2"/>
    <mergeCell ref="A5:G5"/>
    <mergeCell ref="A2:A3"/>
    <mergeCell ref="D2:D3"/>
    <mergeCell ref="E2:G2"/>
    <mergeCell ref="B2:B3"/>
    <mergeCell ref="C2:C3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workbookViewId="0">
      <selection activeCell="D9" sqref="D9"/>
    </sheetView>
  </sheetViews>
  <sheetFormatPr defaultRowHeight="15" customHeight="1" x14ac:dyDescent="0.2"/>
  <cols>
    <col min="1" max="1" width="26.140625" style="1" customWidth="1"/>
    <col min="2" max="2" width="9.28515625" style="1" bestFit="1" customWidth="1"/>
    <col min="3" max="3" width="11.7109375" style="1" customWidth="1"/>
    <col min="4" max="4" width="18.85546875" style="33" customWidth="1"/>
    <col min="5" max="5" width="17.7109375" style="1" customWidth="1"/>
    <col min="6" max="6" width="15.85546875" style="1" customWidth="1"/>
    <col min="7" max="7" width="20.28515625" style="1" bestFit="1" customWidth="1"/>
    <col min="8" max="13" width="10.7109375" style="1" customWidth="1"/>
    <col min="14" max="16384" width="9.140625" style="1"/>
  </cols>
  <sheetData>
    <row r="1" spans="1:13" s="33" customFormat="1" ht="15" customHeight="1" x14ac:dyDescent="0.2">
      <c r="A1" s="3" t="s">
        <v>257</v>
      </c>
      <c r="B1" s="34">
        <v>252</v>
      </c>
    </row>
    <row r="2" spans="1:13" s="33" customFormat="1" ht="15" customHeight="1" x14ac:dyDescent="0.2">
      <c r="A2" s="4" t="s">
        <v>258</v>
      </c>
      <c r="B2" s="19">
        <f>(Dados!C7*4+Dados!C8)/5</f>
        <v>9.8000000000000007</v>
      </c>
    </row>
    <row r="3" spans="1:13" s="33" customFormat="1" ht="15" customHeight="1" x14ac:dyDescent="0.2">
      <c r="A3" s="4"/>
      <c r="B3" s="19"/>
    </row>
    <row r="4" spans="1:13" s="33" customFormat="1" ht="15" customHeight="1" x14ac:dyDescent="0.2">
      <c r="A4" s="3" t="s">
        <v>298</v>
      </c>
      <c r="B4" s="28"/>
    </row>
    <row r="5" spans="1:13" ht="15" customHeight="1" x14ac:dyDescent="0.2">
      <c r="A5" s="233" t="s">
        <v>141</v>
      </c>
      <c r="B5" s="224" t="s">
        <v>199</v>
      </c>
      <c r="C5" s="224" t="s">
        <v>200</v>
      </c>
      <c r="D5" s="228" t="s">
        <v>46</v>
      </c>
      <c r="E5" s="235" t="s">
        <v>17</v>
      </c>
      <c r="F5" s="235" t="s">
        <v>184</v>
      </c>
      <c r="G5" s="235" t="s">
        <v>143</v>
      </c>
      <c r="H5" s="230" t="s">
        <v>48</v>
      </c>
      <c r="I5" s="231"/>
      <c r="J5" s="232"/>
      <c r="K5" s="230" t="s">
        <v>49</v>
      </c>
      <c r="L5" s="231"/>
      <c r="M5" s="232"/>
    </row>
    <row r="6" spans="1:13" ht="15" customHeight="1" x14ac:dyDescent="0.2">
      <c r="A6" s="234"/>
      <c r="B6" s="224"/>
      <c r="C6" s="224"/>
      <c r="D6" s="229"/>
      <c r="E6" s="229"/>
      <c r="F6" s="229"/>
      <c r="G6" s="229"/>
      <c r="H6" s="30" t="s">
        <v>145</v>
      </c>
      <c r="I6" s="30" t="s">
        <v>146</v>
      </c>
      <c r="J6" s="30" t="s">
        <v>147</v>
      </c>
      <c r="K6" s="30" t="s">
        <v>145</v>
      </c>
      <c r="L6" s="30" t="s">
        <v>146</v>
      </c>
      <c r="M6" s="30" t="s">
        <v>147</v>
      </c>
    </row>
    <row r="7" spans="1:13" ht="15" customHeight="1" x14ac:dyDescent="0.2">
      <c r="A7" s="4" t="s">
        <v>185</v>
      </c>
      <c r="B7" s="36">
        <v>-20.241633</v>
      </c>
      <c r="C7" s="36">
        <v>-40.385174999999997</v>
      </c>
      <c r="D7" s="36">
        <f>SUM(Dados!G5:G7,Dados!G12)</f>
        <v>4</v>
      </c>
      <c r="E7" s="62">
        <f>(AVERAGE(Dados!I5:I7,Dados!I12)/(B1*B2))*D7</f>
        <v>2.1165370910268866</v>
      </c>
      <c r="F7" s="32">
        <f>'FE-Transferências'!$I$9</f>
        <v>6</v>
      </c>
      <c r="G7" s="34">
        <v>10</v>
      </c>
      <c r="H7" s="11">
        <f>2.6*(F7)^1.2/G7^1.3</f>
        <v>1.1188061588578717</v>
      </c>
      <c r="I7" s="11">
        <f>(0.45*F7^1.5/G7^1.4)*0.75</f>
        <v>0.19746978473684307</v>
      </c>
      <c r="J7" s="11">
        <f>H7*0.105</f>
        <v>0.11747464668007652</v>
      </c>
      <c r="K7" s="11">
        <f>$H$7*$E$7</f>
        <v>2.3679947328920044</v>
      </c>
      <c r="L7" s="11">
        <f>$I$7*$E$7</f>
        <v>0.41795212375262331</v>
      </c>
      <c r="M7" s="11">
        <f>$J$7*$E$7</f>
        <v>0.24863944695366047</v>
      </c>
    </row>
    <row r="8" spans="1:13" s="35" customFormat="1" ht="15" customHeight="1" x14ac:dyDescent="0.2">
      <c r="A8" s="145" t="s">
        <v>227</v>
      </c>
      <c r="B8" s="145"/>
      <c r="C8" s="145"/>
      <c r="D8" s="145"/>
      <c r="E8" s="145"/>
      <c r="F8" s="145"/>
      <c r="G8" s="145"/>
      <c r="H8" s="145"/>
      <c r="I8" s="145"/>
      <c r="J8" s="145"/>
      <c r="K8" s="51">
        <f>K7</f>
        <v>2.3679947328920044</v>
      </c>
      <c r="L8" s="51">
        <f t="shared" ref="L8:M8" si="0">L7</f>
        <v>0.41795212375262331</v>
      </c>
      <c r="M8" s="51">
        <f t="shared" si="0"/>
        <v>0.24863944695366047</v>
      </c>
    </row>
    <row r="10" spans="1:13" ht="15" customHeight="1" x14ac:dyDescent="0.2">
      <c r="A10" s="227" t="s">
        <v>281</v>
      </c>
      <c r="B10" s="188" t="s">
        <v>50</v>
      </c>
      <c r="C10" s="190"/>
      <c r="D10" s="190"/>
      <c r="E10" s="190"/>
    </row>
    <row r="11" spans="1:13" ht="15" customHeight="1" x14ac:dyDescent="0.2">
      <c r="A11" s="227"/>
      <c r="B11" s="189"/>
      <c r="C11" s="190"/>
      <c r="D11" s="190"/>
      <c r="E11" s="190"/>
    </row>
    <row r="12" spans="1:13" ht="15" customHeight="1" x14ac:dyDescent="0.2">
      <c r="A12" s="227"/>
      <c r="B12" s="188" t="s">
        <v>179</v>
      </c>
      <c r="C12" s="190"/>
      <c r="D12" s="190"/>
      <c r="E12" s="190"/>
    </row>
    <row r="13" spans="1:13" ht="15" customHeight="1" x14ac:dyDescent="0.2">
      <c r="A13" s="227"/>
      <c r="B13" s="191"/>
      <c r="C13" s="190"/>
      <c r="D13" s="190"/>
      <c r="E13" s="190"/>
      <c r="G13" s="103"/>
    </row>
    <row r="14" spans="1:13" ht="15" customHeight="1" x14ac:dyDescent="0.2">
      <c r="A14" s="227"/>
      <c r="B14" s="188" t="s">
        <v>180</v>
      </c>
      <c r="C14" s="192"/>
      <c r="D14" s="192"/>
      <c r="E14" s="192"/>
    </row>
    <row r="15" spans="1:13" ht="15" customHeight="1" x14ac:dyDescent="0.2">
      <c r="A15" s="227"/>
      <c r="B15" s="191"/>
      <c r="C15" s="192"/>
      <c r="D15" s="192"/>
      <c r="E15" s="192"/>
    </row>
    <row r="16" spans="1:13" ht="15" customHeight="1" x14ac:dyDescent="0.2">
      <c r="A16" s="227"/>
      <c r="B16" s="187" t="s">
        <v>282</v>
      </c>
      <c r="C16" s="187"/>
      <c r="D16" s="187"/>
      <c r="E16" s="187"/>
    </row>
    <row r="17" spans="1:13" ht="15" customHeight="1" x14ac:dyDescent="0.2">
      <c r="A17" s="227"/>
      <c r="B17" s="187"/>
      <c r="C17" s="187"/>
      <c r="D17" s="187"/>
      <c r="E17" s="187"/>
    </row>
    <row r="18" spans="1:13" ht="15" customHeight="1" x14ac:dyDescent="0.2">
      <c r="A18" s="227"/>
      <c r="B18" s="187"/>
      <c r="C18" s="187"/>
      <c r="D18" s="187"/>
      <c r="E18" s="187"/>
    </row>
    <row r="19" spans="1:13" ht="15" customHeight="1" x14ac:dyDescent="0.2">
      <c r="A19" s="227"/>
      <c r="B19" s="187"/>
      <c r="C19" s="187"/>
      <c r="D19" s="187"/>
      <c r="E19" s="187"/>
      <c r="F19" s="31"/>
      <c r="G19" s="31"/>
      <c r="H19" s="31"/>
      <c r="I19" s="31"/>
      <c r="J19" s="31"/>
      <c r="K19" s="31"/>
      <c r="L19" s="31"/>
      <c r="M19" s="31"/>
    </row>
    <row r="20" spans="1:13" ht="15" customHeight="1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1:13" ht="15" customHeight="1" x14ac:dyDescent="0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1:13" ht="15" customHeight="1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ht="15" customHeight="1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 ht="15" customHeight="1" x14ac:dyDescent="0.2">
      <c r="A24" s="31"/>
      <c r="B24" s="31"/>
      <c r="C24" s="31"/>
      <c r="D24" s="31"/>
      <c r="E24" s="31"/>
      <c r="G24" s="31"/>
      <c r="H24" s="31"/>
      <c r="I24" s="31"/>
      <c r="J24" s="31"/>
      <c r="K24" s="31"/>
      <c r="L24" s="31"/>
      <c r="M24" s="31"/>
    </row>
    <row r="25" spans="1:13" ht="15" customHeight="1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 ht="15" customHeight="1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ht="15" customHeight="1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1:13" ht="1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</sheetData>
  <sheetProtection password="B056" sheet="1" objects="1" scenarios="1"/>
  <mergeCells count="18">
    <mergeCell ref="D5:D6"/>
    <mergeCell ref="A8:J8"/>
    <mergeCell ref="H5:J5"/>
    <mergeCell ref="K5:M5"/>
    <mergeCell ref="A5:A6"/>
    <mergeCell ref="E5:E6"/>
    <mergeCell ref="F5:F6"/>
    <mergeCell ref="G5:G6"/>
    <mergeCell ref="B5:B6"/>
    <mergeCell ref="C5:C6"/>
    <mergeCell ref="A10:A19"/>
    <mergeCell ref="B10:B11"/>
    <mergeCell ref="C10:E11"/>
    <mergeCell ref="B12:B13"/>
    <mergeCell ref="C12:E13"/>
    <mergeCell ref="B14:B15"/>
    <mergeCell ref="C14:E15"/>
    <mergeCell ref="B16:E19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FE-Solid Waste</vt:lpstr>
      <vt:lpstr>FE-Maq e Equip</vt:lpstr>
      <vt:lpstr>FE-Transferências</vt:lpstr>
      <vt:lpstr>FE-Escavação</vt:lpstr>
      <vt:lpstr>FE-Vias</vt:lpstr>
      <vt:lpstr>Dados</vt:lpstr>
      <vt:lpstr>Emissão Aterro</vt:lpstr>
      <vt:lpstr>Emissão Flare</vt:lpstr>
      <vt:lpstr>Emissão Escavação</vt:lpstr>
      <vt:lpstr>Emissão Transferências</vt:lpstr>
      <vt:lpstr>Emissão Vias</vt:lpstr>
      <vt:lpstr>Emissão Maq e Equip</vt:lpstr>
      <vt:lpstr>Resumo</vt:lpstr>
      <vt:lpstr>Fator_Emissao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Brusco Filete</dc:creator>
  <cp:lastModifiedBy>Vanessa Brusco Filete</cp:lastModifiedBy>
  <cp:lastPrinted>2019-01-10T15:52:25Z</cp:lastPrinted>
  <dcterms:created xsi:type="dcterms:W3CDTF">2019-01-09T11:36:47Z</dcterms:created>
  <dcterms:modified xsi:type="dcterms:W3CDTF">2019-06-06T20:57:16Z</dcterms:modified>
</cp:coreProperties>
</file>