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Mizu\"/>
    </mc:Choice>
  </mc:AlternateContent>
  <bookViews>
    <workbookView xWindow="0" yWindow="0" windowWidth="11955" windowHeight="9630" tabRatio="873" firstSheet="2" activeTab="11"/>
  </bookViews>
  <sheets>
    <sheet name="Dados" sheetId="1" r:id="rId1"/>
    <sheet name="FE - Maq e Equip" sheetId="4" r:id="rId2"/>
    <sheet name="FE-Transferências" sheetId="7" r:id="rId3"/>
    <sheet name="FE-Combustão" sheetId="5" r:id="rId4"/>
    <sheet name="FE-Vias" sheetId="11" r:id="rId5"/>
    <sheet name="Monitoramento" sheetId="12" r:id="rId6"/>
    <sheet name="Emissão Maq e Equip" sheetId="2" r:id="rId7"/>
    <sheet name="Emissão Chaminés" sheetId="3" r:id="rId8"/>
    <sheet name="Emissão Transferências" sheetId="6" r:id="rId9"/>
    <sheet name="Emissão Vias" sheetId="9" r:id="rId10"/>
    <sheet name="Resumo" sheetId="8" r:id="rId11"/>
    <sheet name="Plan1" sheetId="13" r:id="rId12"/>
  </sheets>
  <externalReferences>
    <externalReference r:id="rId13"/>
  </externalReferences>
  <definedNames>
    <definedName name="FE_Equip" localSheetId="3">'[1]FE - Maq e Equip'!$B$3:$I$10</definedName>
    <definedName name="FE_Equip" localSheetId="2">'[1]FE - Maq e Equip'!$B$3:$I$10</definedName>
    <definedName name="FE_Equip" localSheetId="4">'[1]FE - Maq e Equip'!$B$3:$I$10</definedName>
    <definedName name="FE_Equip">'FE - Maq e Equip'!$B$3:$I$10</definedName>
    <definedName name="Pot_Equip" localSheetId="3">'[1]FE - Maq e Equip'!$B$3:$B$10</definedName>
    <definedName name="Pot_Equip" localSheetId="2">'[1]FE - Maq e Equip'!$B$3:$B$10</definedName>
    <definedName name="Pot_Equip" localSheetId="4">'[1]FE - Maq e Equip'!$B$3:$B$10</definedName>
    <definedName name="Pot_Equip">'FE - Maq e Equip'!$B$3:$B$10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 i="9" l="1"/>
  <c r="R4" i="9"/>
  <c r="Q5" i="9"/>
  <c r="Q4" i="9"/>
  <c r="S5" i="9"/>
  <c r="V5" i="9"/>
  <c r="U5" i="9"/>
  <c r="T5" i="9"/>
  <c r="R3" i="9"/>
  <c r="Q3" i="9"/>
  <c r="AE4" i="9" l="1"/>
  <c r="AD4" i="9"/>
  <c r="AE5" i="9"/>
  <c r="AD5" i="9"/>
  <c r="AC5" i="9"/>
  <c r="AC4" i="9"/>
  <c r="D22" i="6" l="1"/>
  <c r="D21" i="6"/>
  <c r="D31" i="6"/>
  <c r="D30" i="6"/>
  <c r="D29" i="6"/>
  <c r="E13" i="6" l="1"/>
  <c r="D13" i="6"/>
  <c r="E12" i="6"/>
  <c r="J12" i="6" s="1"/>
  <c r="D12" i="6"/>
  <c r="I11" i="6"/>
  <c r="J11" i="6"/>
  <c r="H12" i="6"/>
  <c r="H13" i="6"/>
  <c r="I13" i="6"/>
  <c r="J13" i="6"/>
  <c r="E11" i="6"/>
  <c r="H11" i="6" s="1"/>
  <c r="D11" i="6"/>
  <c r="K11" i="6" s="1"/>
  <c r="E16" i="6"/>
  <c r="H16" i="6" s="1"/>
  <c r="D16" i="6"/>
  <c r="K12" i="6" l="1"/>
  <c r="M11" i="6"/>
  <c r="L11" i="6"/>
  <c r="I12" i="6"/>
  <c r="K13" i="6"/>
  <c r="M13" i="6"/>
  <c r="L13" i="6"/>
  <c r="L12" i="6"/>
  <c r="M12" i="6"/>
  <c r="J16" i="6"/>
  <c r="M16" i="6" s="1"/>
  <c r="I16" i="6"/>
  <c r="L16" i="6" s="1"/>
  <c r="K16" i="6"/>
  <c r="F5" i="9"/>
  <c r="G5" i="9" s="1"/>
  <c r="H3" i="2" l="1"/>
  <c r="E7" i="12"/>
  <c r="H3" i="3" s="1"/>
  <c r="D6" i="12"/>
  <c r="D5" i="12"/>
  <c r="D4" i="12"/>
  <c r="D9" i="12"/>
  <c r="D8" i="12"/>
  <c r="D7" i="12"/>
  <c r="B9" i="12"/>
  <c r="B8" i="12"/>
  <c r="E8" i="12" s="1"/>
  <c r="B7" i="12"/>
  <c r="B6" i="12"/>
  <c r="B5" i="12"/>
  <c r="B4" i="12"/>
  <c r="E9" i="12" l="1"/>
  <c r="G3" i="3" s="1"/>
  <c r="F4" i="9"/>
  <c r="G4" i="9" s="1"/>
  <c r="F3" i="9"/>
  <c r="G3" i="9" s="1"/>
  <c r="D28" i="6"/>
  <c r="D27" i="6"/>
  <c r="D26" i="6"/>
  <c r="D25" i="6"/>
  <c r="D24" i="6"/>
  <c r="D23" i="6"/>
  <c r="D20" i="6"/>
  <c r="D19" i="6"/>
  <c r="D18" i="6"/>
  <c r="D17" i="6"/>
  <c r="D15" i="6"/>
  <c r="D14" i="6"/>
  <c r="D10" i="6"/>
  <c r="D9" i="6"/>
  <c r="D8" i="6"/>
  <c r="D7" i="6"/>
  <c r="D6" i="6"/>
  <c r="D5" i="6"/>
  <c r="D4" i="6"/>
  <c r="D3" i="6"/>
  <c r="C3" i="2"/>
  <c r="B3" i="2"/>
  <c r="G3" i="2"/>
  <c r="E6" i="12"/>
  <c r="E5" i="12"/>
  <c r="E4" i="12"/>
  <c r="O3" i="9" l="1"/>
  <c r="N3" i="9"/>
  <c r="M4" i="9"/>
  <c r="M3" i="9"/>
  <c r="L4" i="3"/>
  <c r="N4" i="3" l="1"/>
  <c r="M4" i="3"/>
  <c r="P5" i="9" l="1"/>
  <c r="M5" i="9"/>
  <c r="T4" i="9"/>
  <c r="U4" i="9"/>
  <c r="V4" i="9"/>
  <c r="S4" i="9"/>
  <c r="P4" i="9"/>
  <c r="T3" i="9"/>
  <c r="U3" i="9"/>
  <c r="V3" i="9"/>
  <c r="W3" i="9"/>
  <c r="X3" i="9"/>
  <c r="Y3" i="9"/>
  <c r="Z3" i="9"/>
  <c r="AA3" i="9"/>
  <c r="AB3" i="9"/>
  <c r="S3" i="9"/>
  <c r="P3" i="9"/>
  <c r="AC3" i="9" s="1"/>
  <c r="O4" i="9"/>
  <c r="N4" i="9"/>
  <c r="AE3" i="9" l="1"/>
  <c r="AD3" i="9"/>
  <c r="O5" i="9"/>
  <c r="N5" i="9"/>
  <c r="AH5" i="9"/>
  <c r="AI5" i="9"/>
  <c r="AG5" i="9"/>
  <c r="AF5" i="9"/>
  <c r="G16" i="11"/>
  <c r="J14" i="11"/>
  <c r="J13" i="11"/>
  <c r="J12" i="11"/>
  <c r="J11" i="11"/>
  <c r="J10" i="11"/>
  <c r="J9" i="11"/>
  <c r="J8" i="11"/>
  <c r="J7" i="11"/>
  <c r="J6" i="11"/>
  <c r="J5" i="11"/>
  <c r="J4" i="11"/>
  <c r="J3" i="11"/>
  <c r="G33" i="11"/>
  <c r="J32" i="11"/>
  <c r="J31" i="11"/>
  <c r="J30" i="11"/>
  <c r="J29" i="11"/>
  <c r="J28" i="11"/>
  <c r="J27" i="11"/>
  <c r="J26" i="11"/>
  <c r="J25" i="11"/>
  <c r="J24" i="11"/>
  <c r="J23" i="11"/>
  <c r="J22" i="11"/>
  <c r="J21" i="11"/>
  <c r="AF3" i="9" l="1"/>
  <c r="AI3" i="9"/>
  <c r="AH3" i="9"/>
  <c r="AG3" i="9"/>
  <c r="AI4" i="9"/>
  <c r="AF4" i="9"/>
  <c r="AH4" i="9"/>
  <c r="AG4" i="9"/>
  <c r="AG6" i="9" l="1"/>
  <c r="F6" i="8" s="1"/>
  <c r="AE6" i="9"/>
  <c r="D6" i="8" s="1"/>
  <c r="AD6" i="9"/>
  <c r="C6" i="8" s="1"/>
  <c r="AH6" i="9"/>
  <c r="G6" i="8" s="1"/>
  <c r="AI6" i="9"/>
  <c r="H6" i="8" s="1"/>
  <c r="AC6" i="9"/>
  <c r="B6" i="8" s="1"/>
  <c r="AF6" i="9"/>
  <c r="E6" i="8" s="1"/>
  <c r="E31" i="6"/>
  <c r="E30" i="6"/>
  <c r="E29" i="6"/>
  <c r="E28" i="6"/>
  <c r="E27" i="6"/>
  <c r="E26" i="6"/>
  <c r="E25" i="6"/>
  <c r="E24" i="6"/>
  <c r="E23" i="6"/>
  <c r="E22" i="6"/>
  <c r="E21" i="6"/>
  <c r="E20" i="6"/>
  <c r="E19" i="6"/>
  <c r="E18" i="6"/>
  <c r="E17" i="6"/>
  <c r="E15" i="6"/>
  <c r="E14" i="6"/>
  <c r="E10" i="6"/>
  <c r="E9" i="6"/>
  <c r="E8" i="6"/>
  <c r="E7" i="6"/>
  <c r="E6" i="6"/>
  <c r="E5" i="6"/>
  <c r="E4" i="6"/>
  <c r="E3" i="6"/>
  <c r="J17" i="6" l="1"/>
  <c r="M17" i="6" s="1"/>
  <c r="I17" i="6"/>
  <c r="L17" i="6" s="1"/>
  <c r="H17" i="6"/>
  <c r="K17" i="6" s="1"/>
  <c r="J21" i="6"/>
  <c r="M21" i="6" s="1"/>
  <c r="I21" i="6"/>
  <c r="L21" i="6" s="1"/>
  <c r="H21" i="6"/>
  <c r="K21" i="6" s="1"/>
  <c r="J6" i="6"/>
  <c r="M6" i="6" s="1"/>
  <c r="I6" i="6"/>
  <c r="L6" i="6" s="1"/>
  <c r="H6" i="6"/>
  <c r="K6" i="6" s="1"/>
  <c r="J10" i="6"/>
  <c r="M10" i="6" s="1"/>
  <c r="I10" i="6"/>
  <c r="L10" i="6" s="1"/>
  <c r="H10" i="6"/>
  <c r="K10" i="6" s="1"/>
  <c r="J18" i="6"/>
  <c r="M18" i="6" s="1"/>
  <c r="I18" i="6"/>
  <c r="L18" i="6" s="1"/>
  <c r="H18" i="6"/>
  <c r="K18" i="6" s="1"/>
  <c r="J22" i="6"/>
  <c r="M22" i="6" s="1"/>
  <c r="I22" i="6"/>
  <c r="L22" i="6" s="1"/>
  <c r="H22" i="6"/>
  <c r="K22" i="6" s="1"/>
  <c r="J26" i="6"/>
  <c r="M26" i="6" s="1"/>
  <c r="I26" i="6"/>
  <c r="L26" i="6" s="1"/>
  <c r="H26" i="6"/>
  <c r="K26" i="6" s="1"/>
  <c r="H30" i="6"/>
  <c r="K30" i="6" s="1"/>
  <c r="J30" i="6"/>
  <c r="M30" i="6" s="1"/>
  <c r="I30" i="6"/>
  <c r="L30" i="6" s="1"/>
  <c r="J9" i="6"/>
  <c r="M9" i="6" s="1"/>
  <c r="I9" i="6"/>
  <c r="L9" i="6" s="1"/>
  <c r="H9" i="6"/>
  <c r="K9" i="6" s="1"/>
  <c r="J25" i="6"/>
  <c r="M25" i="6" s="1"/>
  <c r="I25" i="6"/>
  <c r="L25" i="6" s="1"/>
  <c r="H25" i="6"/>
  <c r="K25" i="6" s="1"/>
  <c r="J7" i="6"/>
  <c r="M7" i="6" s="1"/>
  <c r="I7" i="6"/>
  <c r="L7" i="6" s="1"/>
  <c r="H7" i="6"/>
  <c r="K7" i="6" s="1"/>
  <c r="J14" i="6"/>
  <c r="M14" i="6" s="1"/>
  <c r="I14" i="6"/>
  <c r="L14" i="6" s="1"/>
  <c r="H14" i="6"/>
  <c r="K14" i="6" s="1"/>
  <c r="I19" i="6"/>
  <c r="L19" i="6" s="1"/>
  <c r="H19" i="6"/>
  <c r="K19" i="6" s="1"/>
  <c r="J19" i="6"/>
  <c r="M19" i="6" s="1"/>
  <c r="J23" i="6"/>
  <c r="M23" i="6" s="1"/>
  <c r="I23" i="6"/>
  <c r="L23" i="6" s="1"/>
  <c r="H23" i="6"/>
  <c r="K23" i="6" s="1"/>
  <c r="J27" i="6"/>
  <c r="M27" i="6" s="1"/>
  <c r="H27" i="6"/>
  <c r="K27" i="6" s="1"/>
  <c r="I27" i="6"/>
  <c r="L27" i="6" s="1"/>
  <c r="J31" i="6"/>
  <c r="M31" i="6" s="1"/>
  <c r="I31" i="6"/>
  <c r="L31" i="6" s="1"/>
  <c r="H31" i="6"/>
  <c r="K31" i="6" s="1"/>
  <c r="J5" i="6"/>
  <c r="M5" i="6" s="1"/>
  <c r="I5" i="6"/>
  <c r="L5" i="6" s="1"/>
  <c r="H5" i="6"/>
  <c r="K5" i="6" s="1"/>
  <c r="J29" i="6"/>
  <c r="M29" i="6" s="1"/>
  <c r="I29" i="6"/>
  <c r="L29" i="6" s="1"/>
  <c r="H29" i="6"/>
  <c r="K29" i="6" s="1"/>
  <c r="J3" i="6"/>
  <c r="M3" i="6" s="1"/>
  <c r="I3" i="6"/>
  <c r="L3" i="6" s="1"/>
  <c r="H3" i="6"/>
  <c r="K3" i="6" s="1"/>
  <c r="J4" i="6"/>
  <c r="M4" i="6" s="1"/>
  <c r="I4" i="6"/>
  <c r="L4" i="6" s="1"/>
  <c r="H4" i="6"/>
  <c r="K4" i="6" s="1"/>
  <c r="J8" i="6"/>
  <c r="M8" i="6" s="1"/>
  <c r="I8" i="6"/>
  <c r="L8" i="6" s="1"/>
  <c r="H8" i="6"/>
  <c r="K8" i="6" s="1"/>
  <c r="J15" i="6"/>
  <c r="M15" i="6" s="1"/>
  <c r="I15" i="6"/>
  <c r="L15" i="6" s="1"/>
  <c r="H15" i="6"/>
  <c r="K15" i="6" s="1"/>
  <c r="J20" i="6"/>
  <c r="M20" i="6" s="1"/>
  <c r="I20" i="6"/>
  <c r="L20" i="6" s="1"/>
  <c r="H20" i="6"/>
  <c r="K20" i="6" s="1"/>
  <c r="J24" i="6"/>
  <c r="M24" i="6" s="1"/>
  <c r="I24" i="6"/>
  <c r="L24" i="6" s="1"/>
  <c r="H24" i="6"/>
  <c r="K24" i="6" s="1"/>
  <c r="J28" i="6"/>
  <c r="M28" i="6" s="1"/>
  <c r="I28" i="6"/>
  <c r="L28" i="6" s="1"/>
  <c r="H28" i="6"/>
  <c r="K28" i="6" s="1"/>
  <c r="L6" i="3"/>
  <c r="L7" i="3"/>
  <c r="L8" i="3"/>
  <c r="L9" i="3"/>
  <c r="L10" i="3"/>
  <c r="L11" i="3"/>
  <c r="L12" i="3"/>
  <c r="L13" i="3"/>
  <c r="L5" i="3"/>
  <c r="C18" i="5"/>
  <c r="C16" i="5"/>
  <c r="C15" i="5"/>
  <c r="H14" i="5"/>
  <c r="K3" i="3" s="1"/>
  <c r="H13" i="5"/>
  <c r="C13" i="5"/>
  <c r="H12" i="5"/>
  <c r="C12" i="5"/>
  <c r="J3" i="3" s="1"/>
  <c r="H11" i="5"/>
  <c r="C11" i="5"/>
  <c r="H10" i="5"/>
  <c r="H9" i="5"/>
  <c r="C9" i="5"/>
  <c r="H8" i="5"/>
  <c r="C8" i="5"/>
  <c r="H7" i="5"/>
  <c r="C7" i="5"/>
  <c r="H6" i="5"/>
  <c r="C6" i="5"/>
  <c r="H5" i="5"/>
  <c r="H4" i="5"/>
  <c r="M7" i="3" l="1"/>
  <c r="N7" i="3"/>
  <c r="N5" i="3"/>
  <c r="M5" i="3"/>
  <c r="N10" i="3"/>
  <c r="M10" i="3"/>
  <c r="M6" i="3"/>
  <c r="N6" i="3"/>
  <c r="M11" i="3"/>
  <c r="N11" i="3"/>
  <c r="N13" i="3"/>
  <c r="M13" i="3"/>
  <c r="N9" i="3"/>
  <c r="M9" i="3"/>
  <c r="M12" i="3"/>
  <c r="N12" i="3"/>
  <c r="M8" i="3"/>
  <c r="N8" i="3"/>
  <c r="L32" i="6"/>
  <c r="C3" i="8" s="1"/>
  <c r="M32" i="6"/>
  <c r="D3" i="8" s="1"/>
  <c r="K32" i="6"/>
  <c r="B3" i="8" s="1"/>
  <c r="C3" i="3"/>
  <c r="R3" i="3" l="1"/>
  <c r="R14" i="3" s="1"/>
  <c r="H5" i="8" s="1"/>
  <c r="Q3" i="3"/>
  <c r="Q14" i="3" s="1"/>
  <c r="G5" i="8" s="1"/>
  <c r="L3" i="2" l="1"/>
  <c r="L4" i="2" s="1"/>
  <c r="E4" i="8" s="1"/>
  <c r="O3" i="2"/>
  <c r="O4" i="2" s="1"/>
  <c r="M3" i="2"/>
  <c r="M4" i="2" s="1"/>
  <c r="F4" i="8" s="1"/>
  <c r="N3" i="2"/>
  <c r="N4" i="2" s="1"/>
  <c r="G4" i="8" s="1"/>
  <c r="G8" i="8" s="1"/>
  <c r="I3" i="2"/>
  <c r="J3" i="2" l="1"/>
  <c r="I4" i="2"/>
  <c r="B4" i="8" s="1"/>
  <c r="K3" i="2"/>
  <c r="H4" i="8"/>
  <c r="H8" i="8" s="1"/>
  <c r="K4" i="2" l="1"/>
  <c r="D4" i="8" s="1"/>
  <c r="J4" i="2"/>
  <c r="C4" i="8" s="1"/>
  <c r="O3" i="3"/>
  <c r="O14" i="3" s="1"/>
  <c r="L3" i="3"/>
  <c r="N3" i="3" l="1"/>
  <c r="M3" i="3"/>
  <c r="E5" i="8"/>
  <c r="E8" i="8" s="1"/>
  <c r="L14" i="3"/>
  <c r="P3" i="3"/>
  <c r="P14" i="3" s="1"/>
  <c r="B5" i="8" l="1"/>
  <c r="F5" i="8"/>
  <c r="F8" i="8" s="1"/>
  <c r="N14" i="3"/>
  <c r="M14" i="3"/>
  <c r="C5" i="8" l="1"/>
  <c r="D5" i="8"/>
  <c r="D8" i="8" l="1"/>
  <c r="B8" i="8"/>
  <c r="C8" i="8"/>
</calcChain>
</file>

<file path=xl/comments1.xml><?xml version="1.0" encoding="utf-8"?>
<comments xmlns="http://schemas.openxmlformats.org/spreadsheetml/2006/main">
  <authors>
    <author>Alinie Rossi dos Santos</author>
    <author>Vanessa Brusco Filete</author>
  </authors>
  <commentList>
    <comment ref="B5" authorId="0" shapeId="0">
      <text>
        <r>
          <rPr>
            <sz val="9"/>
            <color indexed="81"/>
            <rFont val="Segoe UI"/>
            <family val="2"/>
          </rPr>
          <t>24 horas</t>
        </r>
      </text>
    </comment>
    <comment ref="B7" authorId="1" shapeId="0">
      <text>
        <r>
          <rPr>
            <sz val="9"/>
            <color indexed="81"/>
            <rFont val="Segoe UI"/>
            <family val="2"/>
          </rPr>
          <t>Informado em visita técnica</t>
        </r>
      </text>
    </comment>
    <comment ref="A23" authorId="0" shapeId="0">
      <text>
        <r>
          <rPr>
            <sz val="9"/>
            <color indexed="81"/>
            <rFont val="Segoe UI"/>
            <family val="2"/>
          </rPr>
          <t>Matéria-Prima</t>
        </r>
      </text>
    </comment>
    <comment ref="A24" authorId="0" shapeId="0">
      <text>
        <r>
          <rPr>
            <sz val="9"/>
            <color indexed="81"/>
            <rFont val="Segoe UI"/>
            <family val="2"/>
          </rPr>
          <t>Matéria-Prima</t>
        </r>
      </text>
    </comment>
    <comment ref="A25" authorId="0" shapeId="0">
      <text>
        <r>
          <rPr>
            <sz val="9"/>
            <color indexed="81"/>
            <rFont val="Segoe UI"/>
            <family val="2"/>
          </rPr>
          <t>Matéria-Prima</t>
        </r>
      </text>
    </comment>
    <comment ref="A26" authorId="0" shapeId="0">
      <text>
        <r>
          <rPr>
            <sz val="9"/>
            <color indexed="81"/>
            <rFont val="Segoe UI"/>
            <family val="2"/>
          </rPr>
          <t>Matéria-Prima</t>
        </r>
        <r>
          <rPr>
            <b/>
            <sz val="9"/>
            <color indexed="81"/>
            <rFont val="Segoe UI"/>
            <family val="2"/>
          </rPr>
          <t xml:space="preserve">
</t>
        </r>
      </text>
    </comment>
  </commentList>
</comments>
</file>

<file path=xl/comments2.xml><?xml version="1.0" encoding="utf-8"?>
<comments xmlns="http://schemas.openxmlformats.org/spreadsheetml/2006/main">
  <authors>
    <author>Andrielly Moutinho Knupp</author>
    <author>Alinie Rossi dos Santos</author>
    <author>Autor</author>
  </authors>
  <commentList>
    <comment ref="F1" authorId="0" shapeId="0">
      <text>
        <r>
          <rPr>
            <sz val="9"/>
            <color indexed="81"/>
            <rFont val="Segoe UI"/>
            <family val="2"/>
          </rPr>
          <t xml:space="preserve">Fonte: Estação INMET 
ES_A612_Vitoria
</t>
        </r>
      </text>
    </comment>
    <comment ref="F19" authorId="1" shapeId="0">
      <text>
        <r>
          <rPr>
            <sz val="9"/>
            <color indexed="81"/>
            <rFont val="Segoe UI"/>
            <family val="2"/>
          </rPr>
          <t>Fonte: Estação INMET 
ES_A612_Vitoria</t>
        </r>
        <r>
          <rPr>
            <b/>
            <sz val="9"/>
            <color indexed="81"/>
            <rFont val="Segoe UI"/>
            <family val="2"/>
          </rPr>
          <t xml:space="preserve">
</t>
        </r>
      </text>
    </comment>
    <comment ref="B28" authorId="0" shapeId="0">
      <text>
        <r>
          <rPr>
            <sz val="9"/>
            <color indexed="81"/>
            <rFont val="Segoe UI"/>
            <family val="2"/>
          </rPr>
          <t xml:space="preserve">VKT = DMT </t>
        </r>
      </text>
    </comment>
    <comment ref="C39" authorId="2" shapeId="0">
      <text>
        <r>
          <rPr>
            <sz val="9"/>
            <color indexed="81"/>
            <rFont val="Segoe UI"/>
            <family val="2"/>
          </rPr>
          <t>Consideração:
Assumido PM10 = PM</t>
        </r>
      </text>
    </comment>
    <comment ref="D39" authorId="2" shapeId="0">
      <text>
        <r>
          <rPr>
            <sz val="9"/>
            <color indexed="81"/>
            <rFont val="Segoe UI"/>
            <family val="2"/>
          </rPr>
          <t>Consideração:
Assumido PM2.5 = PM</t>
        </r>
      </text>
    </comment>
    <comment ref="H39" authorId="2" shapeId="0">
      <text>
        <r>
          <rPr>
            <sz val="9"/>
            <color indexed="81"/>
            <rFont val="Segoe UI"/>
            <family val="2"/>
          </rPr>
          <t xml:space="preserve">Consideração:
O fator de veículos pesados é expresso em HC e CH4. Contudo, em alguns casos o CH4 é maior que o HC, o que é incoerente. Assim, foi calculado o fator de emissão considerando todos hidrocarbonetos.
</t>
        </r>
      </text>
    </comment>
  </commentList>
</comments>
</file>

<file path=xl/comments3.xml><?xml version="1.0" encoding="utf-8"?>
<comments xmlns="http://schemas.openxmlformats.org/spreadsheetml/2006/main">
  <authors>
    <author>Alinie Rossi dos Santos</author>
  </authors>
  <commentList>
    <comment ref="A3" authorId="0" shapeId="0">
      <text>
        <r>
          <rPr>
            <sz val="9"/>
            <color indexed="81"/>
            <rFont val="Segoe UI"/>
            <family val="2"/>
          </rPr>
          <t>Média das três amostragens</t>
        </r>
      </text>
    </comment>
    <comment ref="C3" authorId="0" shapeId="0">
      <text>
        <r>
          <rPr>
            <sz val="9"/>
            <color indexed="81"/>
            <rFont val="Segoe UI"/>
            <family val="2"/>
          </rPr>
          <t xml:space="preserve">Média das três amostragens
</t>
        </r>
      </text>
    </comment>
  </commentList>
</comments>
</file>

<file path=xl/comments4.xml><?xml version="1.0" encoding="utf-8"?>
<comments xmlns="http://schemas.openxmlformats.org/spreadsheetml/2006/main">
  <authors>
    <author>Andrielly Moutinho Knupp</author>
  </authors>
  <commentList>
    <comment ref="J2" authorId="0" shapeId="0">
      <text>
        <r>
          <rPr>
            <sz val="9"/>
            <color indexed="81"/>
            <rFont val="Segoe UI"/>
            <family val="2"/>
          </rPr>
          <t>Devido à inexistência de fator para PM10, foi considerado PM10 = PM.</t>
        </r>
      </text>
    </comment>
    <comment ref="K2" authorId="0" shapeId="0">
      <text>
        <r>
          <rPr>
            <sz val="9"/>
            <color indexed="81"/>
            <rFont val="Segoe UI"/>
            <family val="2"/>
          </rPr>
          <t>Devido à inexistência de fator para PM2.5, foi considerado PM2.5 = PM.</t>
        </r>
      </text>
    </comment>
    <comment ref="M2" authorId="0" shapeId="0">
      <text>
        <r>
          <rPr>
            <sz val="9"/>
            <color indexed="81"/>
            <rFont val="Segoe UI"/>
            <family val="2"/>
          </rPr>
          <t>Devido à inexistência de fator para SO2, foi considerado fator de SOx para SO2.</t>
        </r>
      </text>
    </comment>
    <comment ref="O2"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List>
</comments>
</file>

<file path=xl/comments5.xml><?xml version="1.0" encoding="utf-8"?>
<comments xmlns="http://schemas.openxmlformats.org/spreadsheetml/2006/main">
  <authors>
    <author>Alinie Rossi dos Santos</author>
    <author>Vanessa Brusco Filete</author>
  </authors>
  <commentList>
    <comment ref="G1" authorId="0" shapeId="0">
      <text>
        <r>
          <rPr>
            <sz val="9"/>
            <color indexed="81"/>
            <rFont val="Segoe UI"/>
            <family val="2"/>
          </rPr>
          <t>Para os filtros que não possuíam monitoramento, foi considerada a vazão informada como capacidade, contida no Ofício enviado pelo empreendimento.</t>
        </r>
      </text>
    </comment>
    <comment ref="M2" authorId="0" shapeId="0">
      <text>
        <r>
          <rPr>
            <sz val="9"/>
            <color indexed="81"/>
            <rFont val="Segoe UI"/>
            <family val="2"/>
          </rPr>
          <t xml:space="preserve">Exceto a Chaminé UBE, na qual ocorre o consumo de gás natural, foi considerado que cerca de 85% do total de partículas correspondem à PM10, com base no AP-42, "Appendix B.2 Generalized Particle Size Distributions". 
Disponível em: https://www3.epa.gov/ttn/chief/ap42/appendix/appb-2.pdf
</t>
        </r>
      </text>
    </comment>
    <comment ref="N2" authorId="0" shapeId="0">
      <text>
        <r>
          <rPr>
            <sz val="9"/>
            <color indexed="81"/>
            <rFont val="Segoe UI"/>
            <family val="2"/>
          </rPr>
          <t>Exceto a Chaminé UBE, na qual ocorre o consumo de gás natural, foi considerado que cerca de 30% do total de partículas correspondem à PM2,5, com base no AP-42, "Appendix B.2 Generalized Particle Size Distributions". 
Disponível em: https://www3.epa.gov/ttn/chief/ap42/appendix/appb-2.pdf</t>
        </r>
      </text>
    </comment>
    <comment ref="J3" authorId="1" shapeId="0">
      <text>
        <r>
          <rPr>
            <sz val="9"/>
            <color indexed="81"/>
            <rFont val="Segoe UI"/>
            <family val="2"/>
          </rPr>
          <t>Fonte: AP-42 (USEPA, 1998) - Chapter 1.4 "Natural Gas Combustion" Table 1.4-1
https://www3.epa.gov/ttn/chief/ap42/ch01/final/c01s04.pdf</t>
        </r>
      </text>
    </comment>
    <comment ref="K3" authorId="1" shapeId="0">
      <text>
        <r>
          <rPr>
            <sz val="9"/>
            <color indexed="81"/>
            <rFont val="Segoe UI"/>
            <family val="2"/>
          </rPr>
          <t>Fonte: AP-42 (USEPA, 1998) - Chapter 1.4 "Natural Gas Combustion" Table 1.4-2
https://www3.epa.gov/ttn/chief/ap42/ch01/final/c01s04.pdf</t>
        </r>
      </text>
    </comment>
    <comment ref="L3" authorId="1" shapeId="0">
      <text>
        <r>
          <rPr>
            <sz val="9"/>
            <color indexed="81"/>
            <rFont val="Segoe UI"/>
            <family val="2"/>
          </rPr>
          <t>Média dos dados de monitoramento</t>
        </r>
        <r>
          <rPr>
            <b/>
            <sz val="9"/>
            <color indexed="81"/>
            <rFont val="Segoe UI"/>
            <family val="2"/>
          </rPr>
          <t xml:space="preserve">
</t>
        </r>
      </text>
    </comment>
    <comment ref="M3" authorId="1" shapeId="0">
      <text>
        <r>
          <rPr>
            <sz val="9"/>
            <color indexed="81"/>
            <rFont val="Segoe UI"/>
            <family val="2"/>
          </rPr>
          <t>AP42 - Section 1.4 - Natural Gas Combustion
Particulate matter from natural gas combustion has been estimated to be less than 1 micrometer in size. Considerou-se então PM10=PM.</t>
        </r>
      </text>
    </comment>
    <comment ref="N3" authorId="0" shapeId="0">
      <text>
        <r>
          <rPr>
            <sz val="9"/>
            <color indexed="81"/>
            <rFont val="Segoe UI"/>
            <family val="2"/>
          </rPr>
          <t>AP42 - Section 1.4 - Natural Gas Combustion
Particulate matter from natural gas combustion has been estimated to be less than 1 micrometer in size. Considerou-se então PM2.5=PM.</t>
        </r>
      </text>
    </comment>
    <comment ref="O3" authorId="1" shapeId="0">
      <text>
        <r>
          <rPr>
            <sz val="9"/>
            <color indexed="81"/>
            <rFont val="Segoe UI"/>
            <family val="2"/>
          </rPr>
          <t>Média dos dados de monitoramento</t>
        </r>
      </text>
    </comment>
    <comment ref="P3" authorId="1" shapeId="0">
      <text>
        <r>
          <rPr>
            <sz val="9"/>
            <color indexed="81"/>
            <rFont val="Segoe UI"/>
            <family val="2"/>
          </rPr>
          <t>Média dos dados de monitoramento</t>
        </r>
      </text>
    </comment>
    <comment ref="A16" authorId="0" shapeId="0">
      <text>
        <r>
          <rPr>
            <sz val="9"/>
            <color indexed="81"/>
            <rFont val="Segoe UI"/>
            <family val="2"/>
          </rPr>
          <t>Para as chaminés que não possuem monitoramento, foi considerado uma concentração dos filtros de mangas de 50 mg/m³, visto que a concentração típica corresponde a um valor &lt; 50 mg/m³.</t>
        </r>
      </text>
    </comment>
  </commentList>
</comments>
</file>

<file path=xl/comments6.xml><?xml version="1.0" encoding="utf-8"?>
<comments xmlns="http://schemas.openxmlformats.org/spreadsheetml/2006/main">
  <authors>
    <author>Vanessa Brusco Filete</author>
    <author>Alinie Rossi dos Santos</author>
  </authors>
  <commentList>
    <comment ref="G2" authorId="0" shapeId="0">
      <text>
        <r>
          <rPr>
            <b/>
            <sz val="8"/>
            <color theme="1"/>
            <rFont val="Arial"/>
            <family val="2"/>
          </rPr>
          <t xml:space="preserve">Filtros de mangas - Fonte: EPA - Air Pollution Control Technology Fact Sheet
</t>
        </r>
        <r>
          <rPr>
            <sz val="8"/>
            <color theme="1"/>
            <rFont val="Arial"/>
            <family val="2"/>
          </rPr>
          <t>Disponível em: https: //www3.epa.gov/ttn/catc/cica/files/ff-pulse.pdf</t>
        </r>
        <r>
          <rPr>
            <b/>
            <sz val="8"/>
            <color theme="1"/>
            <rFont val="Arial"/>
            <family val="2"/>
          </rPr>
          <t xml:space="preserve">
</t>
        </r>
        <r>
          <rPr>
            <sz val="8"/>
            <color theme="1"/>
            <rFont val="Arial"/>
            <family val="2"/>
          </rPr>
          <t xml:space="preserve">
</t>
        </r>
        <r>
          <rPr>
            <b/>
            <sz val="8"/>
            <color theme="1"/>
            <rFont val="Arial"/>
            <family val="2"/>
          </rPr>
          <t>Enclausuramento</t>
        </r>
        <r>
          <rPr>
            <sz val="8"/>
            <color theme="1"/>
            <rFont val="Arial"/>
            <family val="2"/>
          </rPr>
          <t xml:space="preserve"> - WRAP Fugitive Dust Handbook
https://www.wrapair.org/forums/dejf/fdh/content/FDHandbook_Rev_06.pdf</t>
        </r>
      </text>
    </comment>
    <comment ref="A34" authorId="1" shapeId="0">
      <text>
        <r>
          <rPr>
            <sz val="9"/>
            <color indexed="81"/>
            <rFont val="Segoe UI"/>
            <family val="2"/>
          </rPr>
          <t>Velocidade média do ano de 2015 da Estação Aeroporto</t>
        </r>
      </text>
    </comment>
    <comment ref="B36" authorId="0" shapeId="0">
      <text>
        <r>
          <rPr>
            <sz val="9"/>
            <color indexed="81"/>
            <rFont val="Segoe UI"/>
            <family val="2"/>
          </rPr>
          <t xml:space="preserve">Teor de umidade informado em visita técnica
</t>
        </r>
      </text>
    </comment>
    <comment ref="B41" authorId="0" shapeId="0">
      <text>
        <r>
          <rPr>
            <sz val="9"/>
            <color indexed="81"/>
            <rFont val="Segoe UI"/>
            <family val="2"/>
          </rPr>
          <t>USEPA (1995) - Portland Cement Manufacturing</t>
        </r>
      </text>
    </comment>
  </commentList>
</comments>
</file>

<file path=xl/comments7.xml><?xml version="1.0" encoding="utf-8"?>
<comments xmlns="http://schemas.openxmlformats.org/spreadsheetml/2006/main">
  <authors>
    <author>Alinie Rossi dos Santos</author>
    <author>Vanessa Brusco Filete</author>
  </authors>
  <commentList>
    <comment ref="I1" authorId="0" shapeId="0">
      <text>
        <r>
          <rPr>
            <sz val="9"/>
            <color indexed="81"/>
            <rFont val="Segoe UI"/>
            <family val="2"/>
          </rPr>
          <t>Como não foi informado pelo empreendimento o modelo e características específicas dos caminhões que transportam a matéria-prima e produto final, foi considerado peso médio de um caminhão caçamba/basculante.
http://www1.dnit.gov.br/Pesagem/sis_sgpv/QFV/QFV%202008%20Divulga%C3%A7%C3%A3o.pdf</t>
        </r>
      </text>
    </comment>
    <comment ref="J1" authorId="0" shapeId="0">
      <text>
        <r>
          <rPr>
            <sz val="9"/>
            <color indexed="81"/>
            <rFont val="Segoe UI"/>
            <family val="2"/>
          </rPr>
          <t xml:space="preserve">Fonte: WRAP: Fugitive Dust Control Measures </t>
        </r>
      </text>
    </comment>
    <comment ref="K1" authorId="0" shapeId="0">
      <text>
        <r>
          <rPr>
            <sz val="9"/>
            <color indexed="81"/>
            <rFont val="Segoe UI"/>
            <family val="2"/>
          </rPr>
          <t>WRAP (2006)</t>
        </r>
        <r>
          <rPr>
            <sz val="9"/>
            <color indexed="81"/>
            <rFont val="Segoe UI"/>
            <family val="2"/>
          </rPr>
          <t xml:space="preserve">
</t>
        </r>
      </text>
    </comment>
    <comment ref="V2" authorId="1" shapeId="0">
      <text>
        <r>
          <rPr>
            <sz val="9"/>
            <color indexed="81"/>
            <rFont val="Segoe UI"/>
            <family val="2"/>
          </rPr>
          <t xml:space="preserve">Fora considerado o Fator de Emissão de HCT, devido à ausência de fator específico para VOC.
</t>
        </r>
      </text>
    </comment>
    <comment ref="H3" authorId="1" shapeId="0">
      <text>
        <r>
          <rPr>
            <sz val="9"/>
            <color indexed="81"/>
            <rFont val="Segoe UI"/>
            <family val="2"/>
          </rPr>
          <t>USEPA (2011) - Paved Roads. Table 13.2.1-3 - Concrete Batching
Como não foi informado o teor de silte das vias internas, foi considerado o valor médio referente à "Concrete Batching".</t>
        </r>
        <r>
          <rPr>
            <b/>
            <sz val="9"/>
            <color indexed="81"/>
            <rFont val="Segoe UI"/>
            <family val="2"/>
          </rPr>
          <t xml:space="preserve">
</t>
        </r>
      </text>
    </comment>
    <comment ref="H4" authorId="1" shapeId="0">
      <text>
        <r>
          <rPr>
            <sz val="9"/>
            <color indexed="81"/>
            <rFont val="Segoe UI"/>
            <family val="2"/>
          </rPr>
          <t xml:space="preserve">USEPA (2011) - Unpaved Roads. Table 13.2.2-1 - Stone quarrying and processing
Como não foi informado o teor de silte das vias internas, foi considerado o valor médio referente à "Stone quarrying and processing".
</t>
        </r>
      </text>
    </comment>
    <comment ref="H5" authorId="1" shapeId="0">
      <text>
        <r>
          <rPr>
            <sz val="9"/>
            <color indexed="81"/>
            <rFont val="Segoe UI"/>
            <family val="2"/>
          </rPr>
          <t xml:space="preserve">USEPA (2011) - Unpaved Roads. Table 13.2.2-1 - Stone quarrying and processing
Como não foi informado o teor de silte das vias internas, foi considerado o valor médio referente à "Stone quarrying and processing".
</t>
        </r>
      </text>
    </comment>
  </commentList>
</comments>
</file>

<file path=xl/sharedStrings.xml><?xml version="1.0" encoding="utf-8"?>
<sst xmlns="http://schemas.openxmlformats.org/spreadsheetml/2006/main" count="564" uniqueCount="271">
  <si>
    <t>Jan</t>
  </si>
  <si>
    <t>Fev</t>
  </si>
  <si>
    <t>Mar</t>
  </si>
  <si>
    <t>Abr</t>
  </si>
  <si>
    <t>Mai</t>
  </si>
  <si>
    <t>Jun</t>
  </si>
  <si>
    <t>Jul</t>
  </si>
  <si>
    <t>Ago</t>
  </si>
  <si>
    <t>Set</t>
  </si>
  <si>
    <t>Out</t>
  </si>
  <si>
    <t>Nov</t>
  </si>
  <si>
    <t>Dez</t>
  </si>
  <si>
    <t>Gás natural</t>
  </si>
  <si>
    <t>Combustível:</t>
  </si>
  <si>
    <t>Consumo [m³/ano]:</t>
  </si>
  <si>
    <t>Máquinas e Equipamentos</t>
  </si>
  <si>
    <t>Gesso</t>
  </si>
  <si>
    <t>Calcário</t>
  </si>
  <si>
    <t>Clínquer</t>
  </si>
  <si>
    <t>Moinho UBE</t>
  </si>
  <si>
    <t>Veículos [caminhões/dia]:</t>
  </si>
  <si>
    <t xml:space="preserve">Temperatura do gás [ºC]: </t>
  </si>
  <si>
    <t>Umidade do gás [% vol]:</t>
  </si>
  <si>
    <t>Taxa de Emissão</t>
  </si>
  <si>
    <t>MP [kg/h]:</t>
  </si>
  <si>
    <r>
      <t>SO</t>
    </r>
    <r>
      <rPr>
        <vertAlign val="subscript"/>
        <sz val="8"/>
        <color theme="1"/>
        <rFont val="Arial"/>
        <family val="2"/>
      </rPr>
      <t>2</t>
    </r>
    <r>
      <rPr>
        <sz val="8"/>
        <color theme="1"/>
        <rFont val="Arial"/>
        <family val="2"/>
      </rPr>
      <t xml:space="preserve"> [kg/h]:</t>
    </r>
  </si>
  <si>
    <r>
      <t>NO</t>
    </r>
    <r>
      <rPr>
        <vertAlign val="subscript"/>
        <sz val="8"/>
        <color theme="1"/>
        <rFont val="Arial"/>
        <family val="2"/>
      </rPr>
      <t>X</t>
    </r>
    <r>
      <rPr>
        <sz val="8"/>
        <color theme="1"/>
        <rFont val="Arial"/>
        <family val="2"/>
      </rPr>
      <t xml:space="preserve"> [kg/h]:</t>
    </r>
  </si>
  <si>
    <t>Vazão cond. Normais [m³/h]:</t>
  </si>
  <si>
    <t>Pá Carregadeira</t>
  </si>
  <si>
    <t>Modelo</t>
  </si>
  <si>
    <t>VOLVO L90E</t>
  </si>
  <si>
    <t>Quantidade</t>
  </si>
  <si>
    <t>Potência [HP]</t>
  </si>
  <si>
    <t>Horas Trab (ano 2015)</t>
  </si>
  <si>
    <t>Monitoramento Atmosférico 2015 (Isocinético)</t>
  </si>
  <si>
    <t>Fonte Emissora</t>
  </si>
  <si>
    <t>Potência [hp]</t>
  </si>
  <si>
    <t>Equipamento [hp]</t>
  </si>
  <si>
    <t>Horas/dia</t>
  </si>
  <si>
    <t>Taxa de Emissão [kg/h]</t>
  </si>
  <si>
    <t>PM</t>
  </si>
  <si>
    <r>
      <t>PM</t>
    </r>
    <r>
      <rPr>
        <b/>
        <vertAlign val="subscript"/>
        <sz val="8"/>
        <color theme="0"/>
        <rFont val="Arial"/>
        <family val="2"/>
      </rPr>
      <t>10</t>
    </r>
  </si>
  <si>
    <r>
      <t>PM</t>
    </r>
    <r>
      <rPr>
        <b/>
        <vertAlign val="subscript"/>
        <sz val="8"/>
        <color theme="0"/>
        <rFont val="Arial"/>
        <family val="2"/>
      </rPr>
      <t>2.5</t>
    </r>
  </si>
  <si>
    <r>
      <t>NO</t>
    </r>
    <r>
      <rPr>
        <b/>
        <vertAlign val="subscript"/>
        <sz val="8"/>
        <color theme="0"/>
        <rFont val="Arial"/>
        <family val="2"/>
      </rPr>
      <t>X</t>
    </r>
  </si>
  <si>
    <r>
      <t>SO</t>
    </r>
    <r>
      <rPr>
        <b/>
        <vertAlign val="subscript"/>
        <sz val="8"/>
        <color theme="0"/>
        <rFont val="Arial"/>
        <family val="2"/>
      </rPr>
      <t>2</t>
    </r>
  </si>
  <si>
    <t>CO</t>
  </si>
  <si>
    <t>Rubber Tired Loaders - 175</t>
  </si>
  <si>
    <t>Referência: AQMD (2016) - http://www.aqmd.gov/home/regulations/ceqa/air-quality-analysis-handbook/off-road-mobile-source-emission-factors</t>
  </si>
  <si>
    <t>Equipment</t>
  </si>
  <si>
    <t>MaxHP</t>
  </si>
  <si>
    <t>PM [kg/h]</t>
  </si>
  <si>
    <r>
      <t>NO</t>
    </r>
    <r>
      <rPr>
        <vertAlign val="subscript"/>
        <sz val="8"/>
        <rFont val="Arial"/>
        <family val="2"/>
      </rPr>
      <t>X</t>
    </r>
    <r>
      <rPr>
        <sz val="8"/>
        <rFont val="Arial"/>
        <family val="2"/>
      </rPr>
      <t xml:space="preserve"> [kg/h]</t>
    </r>
  </si>
  <si>
    <r>
      <t>SO</t>
    </r>
    <r>
      <rPr>
        <vertAlign val="subscript"/>
        <sz val="8"/>
        <rFont val="Arial"/>
        <family val="2"/>
      </rPr>
      <t>X</t>
    </r>
    <r>
      <rPr>
        <sz val="8"/>
        <rFont val="Arial"/>
        <family val="2"/>
      </rPr>
      <t xml:space="preserve"> [kg/h]</t>
    </r>
  </si>
  <si>
    <t>CO [kg/h]</t>
  </si>
  <si>
    <t>ROG [kg/h]</t>
  </si>
  <si>
    <r>
      <t>CO</t>
    </r>
    <r>
      <rPr>
        <vertAlign val="subscript"/>
        <sz val="8"/>
        <rFont val="Arial"/>
        <family val="2"/>
      </rPr>
      <t xml:space="preserve">2 </t>
    </r>
    <r>
      <rPr>
        <sz val="8"/>
        <rFont val="Arial"/>
        <family val="2"/>
      </rPr>
      <t>[kg/h]</t>
    </r>
  </si>
  <si>
    <r>
      <t>CH</t>
    </r>
    <r>
      <rPr>
        <vertAlign val="subscript"/>
        <sz val="8"/>
        <rFont val="Arial"/>
        <family val="2"/>
      </rPr>
      <t>4</t>
    </r>
    <r>
      <rPr>
        <sz val="8"/>
        <rFont val="Arial"/>
        <family val="2"/>
      </rPr>
      <t xml:space="preserve"> [kg/h]</t>
    </r>
  </si>
  <si>
    <t>Rubber Tired Loaders
(Pá Carregadeira)</t>
  </si>
  <si>
    <t>Rubber Tired Loaders - 25</t>
  </si>
  <si>
    <t>Rubber Tired Loaders - 50</t>
  </si>
  <si>
    <t>Rubber Tired Loaders - 120</t>
  </si>
  <si>
    <t>Rubber Tired Loaders - 250</t>
  </si>
  <si>
    <t>Rubber Tired Loaders - 500</t>
  </si>
  <si>
    <t>Rubber Tired Loaders - 750</t>
  </si>
  <si>
    <t>Rubber Tired Loaders - 1000</t>
  </si>
  <si>
    <t>Equação Geral:</t>
  </si>
  <si>
    <t>Onde:
E - emissão (lb/dia)
n - número de equipamentos de cada categoria
H - número de horas diárias de operação do equipamento
EF - fator de emissão (lb/h)</t>
  </si>
  <si>
    <t>-</t>
  </si>
  <si>
    <t>Tipo de Combustível</t>
  </si>
  <si>
    <t>Consumo Combustível [m³/h]</t>
  </si>
  <si>
    <r>
      <t>PM</t>
    </r>
    <r>
      <rPr>
        <b/>
        <vertAlign val="subscript"/>
        <sz val="8"/>
        <color theme="0"/>
        <rFont val="Arial"/>
        <family val="2"/>
      </rPr>
      <t>2,5</t>
    </r>
  </si>
  <si>
    <t>Valores Médios</t>
  </si>
  <si>
    <r>
      <t>CO</t>
    </r>
    <r>
      <rPr>
        <vertAlign val="subscript"/>
        <sz val="8"/>
        <color theme="1"/>
        <rFont val="Arial"/>
        <family val="2"/>
      </rPr>
      <t>2</t>
    </r>
  </si>
  <si>
    <t>TOC</t>
  </si>
  <si>
    <t>Onde:
E - emissão
EF - fator de emissão
ER - eficiência de redução de emissão</t>
  </si>
  <si>
    <t>Chaminé POLYSIUS - Filtro Moagem de clínquer</t>
  </si>
  <si>
    <t>Gás Natural</t>
  </si>
  <si>
    <t>Referência: AP-42 (USEPA, 1998) - https://www3.epa.gov/ttn/chief/ap42/ch01/final/c01s04.pdf</t>
  </si>
  <si>
    <t>Table 1.4-1. EMISSION FACTORS FOR NITROGEN OXIDES (NOx) AND CARBON MONOXIDE (CO)
FROM NATURAL GAS COMBUSTION</t>
  </si>
  <si>
    <t>TABLE 1.4-2. EMISSION FACTORS FOR CRITERIA POLLUTANTS AND GREENHOUSE GASES FROM NATURAL GAS COMBUSTION</t>
  </si>
  <si>
    <t>Combustor Type
(MMBtu/hr Heat Input)</t>
  </si>
  <si>
    <t>Pollutant</t>
  </si>
  <si>
    <r>
      <t>Emission Factor (lb/10</t>
    </r>
    <r>
      <rPr>
        <vertAlign val="superscript"/>
        <sz val="8"/>
        <color theme="1"/>
        <rFont val="Arial"/>
        <family val="2"/>
      </rPr>
      <t>6</t>
    </r>
    <r>
      <rPr>
        <sz val="8"/>
        <color theme="1"/>
        <rFont val="Arial"/>
        <family val="2"/>
      </rPr>
      <t xml:space="preserve"> scf)</t>
    </r>
  </si>
  <si>
    <r>
      <t>Emission Factor (kg/10</t>
    </r>
    <r>
      <rPr>
        <vertAlign val="superscript"/>
        <sz val="8"/>
        <color theme="1"/>
        <rFont val="Arial"/>
        <family val="2"/>
      </rPr>
      <t>6</t>
    </r>
    <r>
      <rPr>
        <sz val="8"/>
        <color theme="1"/>
        <rFont val="Arial"/>
        <family val="2"/>
      </rPr>
      <t xml:space="preserve"> m³)</t>
    </r>
  </si>
  <si>
    <t>Emisison Factor Rating</t>
  </si>
  <si>
    <t>A</t>
  </si>
  <si>
    <t>Large Wall-Fired Boilers (&gt;100)</t>
  </si>
  <si>
    <t>Lead</t>
  </si>
  <si>
    <t>D</t>
  </si>
  <si>
    <t>Uncontrolled (Pre-NSPS)</t>
  </si>
  <si>
    <t>B</t>
  </si>
  <si>
    <r>
      <t>N</t>
    </r>
    <r>
      <rPr>
        <vertAlign val="subscript"/>
        <sz val="8"/>
        <color theme="1"/>
        <rFont val="Arial"/>
        <family val="2"/>
      </rPr>
      <t>2</t>
    </r>
    <r>
      <rPr>
        <sz val="8"/>
        <color theme="1"/>
        <rFont val="Arial"/>
        <family val="2"/>
      </rPr>
      <t>O (Uncontrolled)</t>
    </r>
  </si>
  <si>
    <t>E</t>
  </si>
  <si>
    <t>Uncontrolled (Post-NSPS)</t>
  </si>
  <si>
    <r>
      <t>N</t>
    </r>
    <r>
      <rPr>
        <vertAlign val="subscript"/>
        <sz val="8"/>
        <color theme="1"/>
        <rFont val="Arial"/>
        <family val="2"/>
      </rPr>
      <t>2</t>
    </r>
    <r>
      <rPr>
        <sz val="8"/>
        <color theme="1"/>
        <rFont val="Arial"/>
        <family val="2"/>
      </rPr>
      <t>O (Controlled-low-NOx burner)</t>
    </r>
  </si>
  <si>
    <t>Controlled - Low NOx burners</t>
  </si>
  <si>
    <t>PM (Total)</t>
  </si>
  <si>
    <t>Controlled - Flue gas recirculation</t>
  </si>
  <si>
    <t>PM (Condensable)</t>
  </si>
  <si>
    <t>Small Boilers (&lt;100)</t>
  </si>
  <si>
    <t>PM (Filterable)</t>
  </si>
  <si>
    <t>Uncontrolled</t>
  </si>
  <si>
    <t>Controlled - Low NOx burners/Flue gas recirculation</t>
  </si>
  <si>
    <t>C</t>
  </si>
  <si>
    <t>Methane</t>
  </si>
  <si>
    <t>Tangential - Fired Boilers (All Sizes)</t>
  </si>
  <si>
    <t>VOC</t>
  </si>
  <si>
    <t xml:space="preserve">All PM (total, condensible, and filterable) is assumed to be less than 1.0 micrometer in diameter.
Therefore, the PM emission factors presented here may be used to estimate PM10, PM2.5 or PM1
emissions. Total PM is the sum of the filterable PM and condensible PM. </t>
  </si>
  <si>
    <t>Residential Furnaces (&lt;0.3)</t>
  </si>
  <si>
    <r>
      <t>To convert from lb/10</t>
    </r>
    <r>
      <rPr>
        <vertAlign val="superscript"/>
        <sz val="8"/>
        <color theme="1"/>
        <rFont val="Arial"/>
        <family val="2"/>
      </rPr>
      <t>6</t>
    </r>
    <r>
      <rPr>
        <sz val="8"/>
        <color theme="1"/>
        <rFont val="Arial"/>
        <family val="2"/>
      </rPr>
      <t xml:space="preserve"> scf to kg/10</t>
    </r>
    <r>
      <rPr>
        <vertAlign val="superscript"/>
        <sz val="8"/>
        <color theme="1"/>
        <rFont val="Arial"/>
        <family val="2"/>
      </rPr>
      <t>6</t>
    </r>
    <r>
      <rPr>
        <sz val="8"/>
        <color theme="1"/>
        <rFont val="Arial"/>
        <family val="2"/>
      </rPr>
      <t xml:space="preserve"> m³, multiply by 16. Emission factors are based on an average natural gas higher heating value of 1,020 Btu/scf. To convert from 1lb/10</t>
    </r>
    <r>
      <rPr>
        <vertAlign val="superscript"/>
        <sz val="8"/>
        <color theme="1"/>
        <rFont val="Arial"/>
        <family val="2"/>
      </rPr>
      <t>6</t>
    </r>
    <r>
      <rPr>
        <sz val="8"/>
        <color theme="1"/>
        <rFont val="Arial"/>
        <family val="2"/>
      </rPr>
      <t xml:space="preserve"> scf to lb/MMBtu, divide by 1.020. </t>
    </r>
  </si>
  <si>
    <t>Concentração - Filtro de Mangas [mg/m³]</t>
  </si>
  <si>
    <t>Chaminé - Filtro Recepção de Matérias primas</t>
  </si>
  <si>
    <t>Chaminé - Filtro das Transferências de Correias TR1/TR2</t>
  </si>
  <si>
    <t xml:space="preserve">Chaminé - Filtro do Silo Multicâmara Célula B </t>
  </si>
  <si>
    <t>Chaminé - Filtro da Ensacadeira 1</t>
  </si>
  <si>
    <t>Chaminé - Filtro da Ensacadeira 2</t>
  </si>
  <si>
    <t>Chaminé - Filtro do Carregamento a Granel</t>
  </si>
  <si>
    <t>Movimentação material [t/h]</t>
  </si>
  <si>
    <t>Umidade do Material [%]</t>
  </si>
  <si>
    <t>Controle</t>
  </si>
  <si>
    <t>Fator de Emissão [kg/t]</t>
  </si>
  <si>
    <t>Tipo</t>
  </si>
  <si>
    <t>Eficiência [%]</t>
  </si>
  <si>
    <t xml:space="preserve">PM </t>
  </si>
  <si>
    <r>
      <t>PM</t>
    </r>
    <r>
      <rPr>
        <b/>
        <vertAlign val="subscript"/>
        <sz val="8"/>
        <color theme="0"/>
        <rFont val="Arial"/>
        <family val="2"/>
      </rPr>
      <t>10</t>
    </r>
    <r>
      <rPr>
        <b/>
        <sz val="8"/>
        <color theme="0"/>
        <rFont val="Arial"/>
        <family val="2"/>
      </rPr>
      <t xml:space="preserve"> </t>
    </r>
  </si>
  <si>
    <r>
      <t>PM</t>
    </r>
    <r>
      <rPr>
        <b/>
        <vertAlign val="subscript"/>
        <sz val="8"/>
        <color theme="0"/>
        <rFont val="Arial"/>
        <family val="2"/>
      </rPr>
      <t>2,5</t>
    </r>
    <r>
      <rPr>
        <b/>
        <sz val="8"/>
        <color theme="0"/>
        <rFont val="Arial"/>
        <family val="2"/>
      </rPr>
      <t xml:space="preserve"> </t>
    </r>
  </si>
  <si>
    <t>Fonte: USEPA (2006) - https://www3.epa.gov/ttn/chief/ap42/ch13/final/c13s0204.pdf</t>
  </si>
  <si>
    <r>
      <t>PM</t>
    </r>
    <r>
      <rPr>
        <vertAlign val="subscript"/>
        <sz val="8"/>
        <color theme="1"/>
        <rFont val="Arial"/>
        <family val="2"/>
      </rPr>
      <t>10</t>
    </r>
  </si>
  <si>
    <r>
      <t>PM</t>
    </r>
    <r>
      <rPr>
        <vertAlign val="subscript"/>
        <sz val="8"/>
        <color theme="1"/>
        <rFont val="Arial"/>
        <family val="2"/>
      </rPr>
      <t>2,5</t>
    </r>
  </si>
  <si>
    <t>Aerodynamic Particle Size Multiplier (k)</t>
  </si>
  <si>
    <t>Onde:
E - emissão (kg/t)
k -constante de tamanho das partículas com diâmetro aerodinâmico ≤ i μm
U - velocidade do vento (m/s)
M - teor de umidade do material (%)</t>
  </si>
  <si>
    <t>Umidade [%]</t>
  </si>
  <si>
    <t>Escória</t>
  </si>
  <si>
    <t>Velocidade do Vento (m/s)</t>
  </si>
  <si>
    <t xml:space="preserve">Cimento </t>
  </si>
  <si>
    <t>Filtro de Mangas</t>
  </si>
  <si>
    <t>TR - Descarregamento Escória</t>
  </si>
  <si>
    <t>TR - Descarregamento Clínquer</t>
  </si>
  <si>
    <t>TR - Descarregamento Gesso</t>
  </si>
  <si>
    <t>TR - Moega Escória</t>
  </si>
  <si>
    <t>TR - Moega Clínquer</t>
  </si>
  <si>
    <t>TR - Moega Gesso</t>
  </si>
  <si>
    <t>TR - Silo Escória</t>
  </si>
  <si>
    <t>TR - Silo Clínquer</t>
  </si>
  <si>
    <t>TR - Moagem Escória</t>
  </si>
  <si>
    <t>TR - Moagem Clínquer</t>
  </si>
  <si>
    <t>TR - Moagem Gesso</t>
  </si>
  <si>
    <t>TR - Silo Multicâmara Escória</t>
  </si>
  <si>
    <t>TR - Silo Multicâmara Clínquer</t>
  </si>
  <si>
    <t>TR - Misturador Escória</t>
  </si>
  <si>
    <t>TR - Misturador Clínquer</t>
  </si>
  <si>
    <t>TR - Misturador Gesso</t>
  </si>
  <si>
    <t>TR - Silo Multicâmara Cimento</t>
  </si>
  <si>
    <t>TR - Ensacadeiras Cimento</t>
  </si>
  <si>
    <t>TR - Granel Cimento</t>
  </si>
  <si>
    <t>TR - Descarregamento Calcário</t>
  </si>
  <si>
    <t>TR - Moega Calcário</t>
  </si>
  <si>
    <t>TR - Moagem Calcário</t>
  </si>
  <si>
    <t>TR - Silo Multicâmara Gesso</t>
  </si>
  <si>
    <t>TR - Silo Multicâmara Calcário</t>
  </si>
  <si>
    <t>TR - Misturador Calcário</t>
  </si>
  <si>
    <t>Chaminé UBE - Filtro Moagem e secagem de escória</t>
  </si>
  <si>
    <t xml:space="preserve">Fonte Emissora </t>
  </si>
  <si>
    <t>Comprimento [m]</t>
  </si>
  <si>
    <r>
      <t>Nº de Caminhões por Hora [h</t>
    </r>
    <r>
      <rPr>
        <b/>
        <vertAlign val="superscript"/>
        <sz val="8"/>
        <color theme="0"/>
        <rFont val="Arial"/>
        <family val="2"/>
      </rPr>
      <t>-1</t>
    </r>
    <r>
      <rPr>
        <b/>
        <sz val="8"/>
        <color theme="0"/>
        <rFont val="Arial"/>
        <family val="2"/>
      </rPr>
      <t>]</t>
    </r>
  </si>
  <si>
    <t>Teor de Silte [%] ou [g/m²]</t>
  </si>
  <si>
    <t>Peso Médio dos Caminhões[t]</t>
  </si>
  <si>
    <t>Eficiência de Controle [%]</t>
  </si>
  <si>
    <t>Fator de Emissão - Ressuspensão [kg/VKT]</t>
  </si>
  <si>
    <t>Fator de Emissão - Gases Escapamento [kg/km]</t>
  </si>
  <si>
    <t>Fator - Desgaste da Pista [kg/km]</t>
  </si>
  <si>
    <t>Varrição</t>
  </si>
  <si>
    <t>Setor</t>
  </si>
  <si>
    <t>Administrativo</t>
  </si>
  <si>
    <t>Produção</t>
  </si>
  <si>
    <t>Expedição</t>
  </si>
  <si>
    <t>Horário Func.</t>
  </si>
  <si>
    <t>seg - qui 7 às 17
Sex 7 às 16</t>
  </si>
  <si>
    <t>seg - sex 7 às 23
Sab 7 às 15</t>
  </si>
  <si>
    <t>7 às 7</t>
  </si>
  <si>
    <t>Redebimento rodoviário</t>
  </si>
  <si>
    <t>7 às 23</t>
  </si>
  <si>
    <t xml:space="preserve">Fonte: USEPA (2011)https://www3.epa.gov/ttn/chief/ap42/ch13/final/c13s0201.pdf </t>
  </si>
  <si>
    <t>Ano 2015</t>
  </si>
  <si>
    <t>Table 13.2.1-1. PARTICLE SIZE MULTIPLIERS FOR PAVED ROAD EQUATION</t>
  </si>
  <si>
    <t xml:space="preserve">Mês </t>
  </si>
  <si>
    <t>Precipitação Acumulada (mm)</t>
  </si>
  <si>
    <t>Número de Horas com Precipitação &gt; 0,254 mm</t>
  </si>
  <si>
    <t>N° dias no mês</t>
  </si>
  <si>
    <t>Fator de Ajuste</t>
  </si>
  <si>
    <t>Size Range</t>
  </si>
  <si>
    <t>Particle Size Multiplier (k)</t>
  </si>
  <si>
    <t>PM2.5</t>
  </si>
  <si>
    <t>PM10</t>
  </si>
  <si>
    <t>PM30</t>
  </si>
  <si>
    <t>g/VKT</t>
  </si>
  <si>
    <t>Onde:
FE - fator de emissão de material particulado (g/km)
k - constante de tamanho da partícula (g/VKT)
sL - taxa de silt na superfície de rodagem (g/m²)
W - peso médio dos veículos que trafegam na via (t)
P - número de horas onde a precipitação durante o período observado foi no mínimo 0,254 mm
N - número de horas do período observado (Ex: 8760 para anual, 2124 por estação, 720 para mensal)</t>
  </si>
  <si>
    <t>Fator Ajuste:</t>
  </si>
  <si>
    <t>Classe de Veículo</t>
  </si>
  <si>
    <t>Fator de emissão médio da frota veicular da RGV [g/km]</t>
  </si>
  <si>
    <t>Escapamento</t>
  </si>
  <si>
    <t>Desgaste Pneus e Freio</t>
  </si>
  <si>
    <t>Desgaste da Pista</t>
  </si>
  <si>
    <r>
      <t>PM</t>
    </r>
    <r>
      <rPr>
        <vertAlign val="subscript"/>
        <sz val="8"/>
        <color theme="1"/>
        <rFont val="Arial"/>
        <family val="2"/>
      </rPr>
      <t>25</t>
    </r>
  </si>
  <si>
    <r>
      <t>NO</t>
    </r>
    <r>
      <rPr>
        <vertAlign val="subscript"/>
        <sz val="8"/>
        <color theme="1"/>
        <rFont val="Arial"/>
        <family val="2"/>
      </rPr>
      <t>X</t>
    </r>
  </si>
  <si>
    <r>
      <t>SO</t>
    </r>
    <r>
      <rPr>
        <vertAlign val="subscript"/>
        <sz val="8"/>
        <color theme="1"/>
        <rFont val="Arial"/>
        <family val="2"/>
      </rPr>
      <t>2</t>
    </r>
  </si>
  <si>
    <t>HCT</t>
  </si>
  <si>
    <t>Veículos Pesados</t>
  </si>
  <si>
    <t>Fonte: USEPA (2006) https://www3.epa.gov/ttn/chief/ap42/ch13/final/c13s0202.pdf</t>
  </si>
  <si>
    <t>AP42 - 13.2.2 Unpaved Roads</t>
  </si>
  <si>
    <t>Número de Dias com Precipitação &gt; 0,254 mm</t>
  </si>
  <si>
    <t>Table 13.2.2-2 Constants for Equations 1a and 1b</t>
  </si>
  <si>
    <t>Constant</t>
  </si>
  <si>
    <t>Industrial Roads (Equation 1a)</t>
  </si>
  <si>
    <t>k (lb/VMT)</t>
  </si>
  <si>
    <t>a</t>
  </si>
  <si>
    <t>b</t>
  </si>
  <si>
    <t>1 lb/VMT</t>
  </si>
  <si>
    <t>Equation</t>
  </si>
  <si>
    <r>
      <t>k, a e b: constantes empíricas
s: teor de</t>
    </r>
    <r>
      <rPr>
        <i/>
        <sz val="8"/>
        <color theme="1"/>
        <rFont val="Arial"/>
        <family val="2"/>
      </rPr>
      <t xml:space="preserve"> silt</t>
    </r>
    <r>
      <rPr>
        <sz val="8"/>
        <color theme="1"/>
        <rFont val="Arial"/>
        <family val="2"/>
      </rPr>
      <t xml:space="preserve"> do material da superfície (%)
W: peso médio do veículo (t)</t>
    </r>
  </si>
  <si>
    <t>Fontes Emissoras</t>
  </si>
  <si>
    <t>Transferências</t>
  </si>
  <si>
    <t>Vias de Tráfego</t>
  </si>
  <si>
    <t>Erosão Eólica</t>
  </si>
  <si>
    <t>Processo Produtivo 2015</t>
  </si>
  <si>
    <t>Volume Total (t)</t>
  </si>
  <si>
    <t>Material</t>
  </si>
  <si>
    <t>Movimentação de Material</t>
  </si>
  <si>
    <t>Insumos/Produtos</t>
  </si>
  <si>
    <t>Clinquer</t>
  </si>
  <si>
    <t>Escória Alto Forno</t>
  </si>
  <si>
    <t>Escória Moída</t>
  </si>
  <si>
    <t>Cimento Granel</t>
  </si>
  <si>
    <t>Cimento Ensacado</t>
  </si>
  <si>
    <t>Chaminé UBE - Escória (jul/2015)</t>
  </si>
  <si>
    <t>Chaminé UBE - Escória (fev/2015)</t>
  </si>
  <si>
    <t>Energia Elétrica</t>
  </si>
  <si>
    <t>Informações retiradas do Ofício respondido pela empresa</t>
  </si>
  <si>
    <t>Chaminé - Filtro do Silo Multicâmara Célula C/D</t>
  </si>
  <si>
    <t>Chaminé - Filtro do Silo Multicâmara Células A/E</t>
  </si>
  <si>
    <t>Pavimentada</t>
  </si>
  <si>
    <t>Não-Pavimentada</t>
  </si>
  <si>
    <t xml:space="preserve">Umectação </t>
  </si>
  <si>
    <t>Varrição/Umectação</t>
  </si>
  <si>
    <t>Umectação</t>
  </si>
  <si>
    <t>Enclausuramento</t>
  </si>
  <si>
    <t>TR - Silo Gesso</t>
  </si>
  <si>
    <t>TR - M1J02/M1J03 - Escória</t>
  </si>
  <si>
    <t>TR - M1J02/M1J03 - Gesso</t>
  </si>
  <si>
    <t>TR - M1J02/M1J03 - Clínquer</t>
  </si>
  <si>
    <t>Chaminé - Filtro Despoeiramento Silo Matéria-Prima</t>
  </si>
  <si>
    <t>Entradas (t)</t>
  </si>
  <si>
    <t>Saídas (t)</t>
  </si>
  <si>
    <t>Clinquer Moído</t>
  </si>
  <si>
    <t>Fator - Desgaste Pneus e Freios [kg/km]</t>
  </si>
  <si>
    <t>Via - Trecho 1</t>
  </si>
  <si>
    <t>Via - Trecho 2</t>
  </si>
  <si>
    <t>Via - Trecho 3</t>
  </si>
  <si>
    <t>Consideração:</t>
  </si>
  <si>
    <t>Como não foi informado o ano dos equipamentos, foi considerado, de forma conservadora, os fatores de 2007.</t>
  </si>
  <si>
    <t>TOTAL</t>
  </si>
  <si>
    <r>
      <t>Fator de Emissão [kg/10</t>
    </r>
    <r>
      <rPr>
        <b/>
        <vertAlign val="superscript"/>
        <sz val="8"/>
        <color theme="0"/>
        <rFont val="Arial"/>
        <family val="2"/>
      </rPr>
      <t>6</t>
    </r>
    <r>
      <rPr>
        <b/>
        <sz val="8"/>
        <color theme="0"/>
        <rFont val="Arial"/>
        <family val="2"/>
      </rPr>
      <t xml:space="preserve"> m³]</t>
    </r>
  </si>
  <si>
    <t>Chaminés</t>
  </si>
  <si>
    <t>Latitude [º]</t>
  </si>
  <si>
    <t>Longitude [º]</t>
  </si>
  <si>
    <t>DMT [km/h]</t>
  </si>
  <si>
    <t>Diâmetro [m]</t>
  </si>
  <si>
    <t>Vazão [m³/h]</t>
  </si>
  <si>
    <t>Temperatura [ºC]</t>
  </si>
  <si>
    <t>Altura [m]</t>
  </si>
  <si>
    <t>Nota: "Erosão Eólica" foi calculada na Planilha: Erosão Eólica_Mizu</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</si>
</sst>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0"/>
    <numFmt numFmtId="165" formatCode="0.00000"/>
    <numFmt numFmtId="166" formatCode="0.0000"/>
    <numFmt numFmtId="167" formatCode="0.000"/>
    <numFmt numFmtId="168" formatCode="#,##0.000"/>
    <numFmt numFmtId="169" formatCode="0.0"/>
    <numFmt numFmtId="170" formatCode="[&gt;=0.005]\ #,##0.00;[&lt;0.005]&quot;&lt;0,01&quot;"/>
  </numFmts>
  <fonts count="18" x14ac:knownFonts="1">
    <font>
      <sz val="11"/>
      <color theme="1"/>
      <name val="Calibri"/>
      <family val="2"/>
      <scheme val="minor"/>
    </font>
    <font>
      <sz val="8"/>
      <color theme="1"/>
      <name val="Arial"/>
      <family val="2"/>
    </font>
    <font>
      <b/>
      <sz val="8"/>
      <color theme="1"/>
      <name val="Arial"/>
      <family val="2"/>
    </font>
    <font>
      <sz val="8"/>
      <color rgb="FFFF0000"/>
      <name val="Arial"/>
      <family val="2"/>
    </font>
    <font>
      <sz val="9"/>
      <color indexed="81"/>
      <name val="Segoe UI"/>
      <family val="2"/>
    </font>
    <font>
      <b/>
      <sz val="9"/>
      <color indexed="81"/>
      <name val="Segoe UI"/>
      <family val="2"/>
    </font>
    <font>
      <vertAlign val="subscript"/>
      <sz val="8"/>
      <color theme="1"/>
      <name val="Arial"/>
      <family val="2"/>
    </font>
    <font>
      <sz val="8"/>
      <color theme="2" tint="-0.89999084444715716"/>
      <name val="Arial"/>
      <family val="2"/>
    </font>
    <font>
      <sz val="8"/>
      <name val="Arial"/>
      <family val="2"/>
    </font>
    <font>
      <b/>
      <sz val="8"/>
      <color theme="0"/>
      <name val="Arial"/>
      <family val="2"/>
    </font>
    <font>
      <b/>
      <vertAlign val="subscript"/>
      <sz val="8"/>
      <color theme="0"/>
      <name val="Arial"/>
      <family val="2"/>
    </font>
    <font>
      <vertAlign val="subscript"/>
      <sz val="8"/>
      <name val="Arial"/>
      <family val="2"/>
    </font>
    <font>
      <b/>
      <i/>
      <sz val="8"/>
      <color theme="1"/>
      <name val="Arial"/>
      <family val="2"/>
    </font>
    <font>
      <vertAlign val="superscript"/>
      <sz val="8"/>
      <color theme="1"/>
      <name val="Arial"/>
      <family val="2"/>
    </font>
    <font>
      <sz val="8"/>
      <color theme="0" tint="-0.34998626667073579"/>
      <name val="Arial"/>
      <family val="2"/>
    </font>
    <font>
      <b/>
      <vertAlign val="superscript"/>
      <sz val="8"/>
      <color theme="0"/>
      <name val="Arial"/>
      <family val="2"/>
    </font>
    <font>
      <sz val="8"/>
      <color theme="0"/>
      <name val="Arial"/>
      <family val="2"/>
    </font>
    <font>
      <i/>
      <sz val="8"/>
      <color theme="1"/>
      <name val="Arial"/>
      <family val="2"/>
    </font>
  </fonts>
  <fills count="5">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s>
  <borders count="26">
    <border>
      <left/>
      <right/>
      <top/>
      <bottom/>
      <diagonal/>
    </border>
    <border>
      <left style="thin">
        <color theme="0"/>
      </left>
      <right style="thin">
        <color theme="0"/>
      </right>
      <top style="thin">
        <color theme="0"/>
      </top>
      <bottom/>
      <diagonal/>
    </border>
    <border>
      <left style="thin">
        <color rgb="FFD9D9D9"/>
      </left>
      <right style="thin">
        <color rgb="FFD9D9D9"/>
      </right>
      <top style="thin">
        <color rgb="FFD9D9D9"/>
      </top>
      <bottom style="thin">
        <color rgb="FFD9D9D9"/>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rgb="FFD9D9D9"/>
      </right>
      <top style="thin">
        <color theme="0"/>
      </top>
      <bottom/>
      <diagonal/>
    </border>
    <border>
      <left style="thin">
        <color theme="0"/>
      </left>
      <right style="thin">
        <color rgb="FFD9D9D9"/>
      </right>
      <top/>
      <bottom style="thin">
        <color theme="0"/>
      </bottom>
      <diagonal/>
    </border>
    <border>
      <left/>
      <right style="thin">
        <color rgb="FFD9D9D9"/>
      </right>
      <top style="thin">
        <color rgb="FFD9D9D9"/>
      </top>
      <bottom/>
      <diagonal/>
    </border>
    <border>
      <left/>
      <right style="thin">
        <color rgb="FFD9D9D9"/>
      </right>
      <top/>
      <bottom/>
      <diagonal/>
    </border>
    <border>
      <left style="thin">
        <color rgb="FFD9D9D9"/>
      </left>
      <right/>
      <top style="thin">
        <color rgb="FFD9D9D9"/>
      </top>
      <bottom/>
      <diagonal/>
    </border>
    <border>
      <left/>
      <right/>
      <top style="thin">
        <color rgb="FFD9D9D9"/>
      </top>
      <bottom/>
      <diagonal/>
    </border>
    <border>
      <left style="thin">
        <color rgb="FFD9D9D9"/>
      </left>
      <right/>
      <top/>
      <bottom/>
      <diagonal/>
    </border>
    <border>
      <left style="thin">
        <color rgb="FFD9D9D9"/>
      </left>
      <right/>
      <top/>
      <bottom style="thin">
        <color rgb="FFD9D9D9"/>
      </bottom>
      <diagonal/>
    </border>
    <border>
      <left/>
      <right/>
      <top/>
      <bottom style="thin">
        <color rgb="FFD9D9D9"/>
      </bottom>
      <diagonal/>
    </border>
    <border>
      <left/>
      <right style="thin">
        <color rgb="FFD9D9D9"/>
      </right>
      <top/>
      <bottom style="thin">
        <color rgb="FFD9D9D9"/>
      </bottom>
      <diagonal/>
    </border>
    <border>
      <left style="thin">
        <color rgb="FFD9D9D9"/>
      </left>
      <right style="thin">
        <color rgb="FFD9D9D9"/>
      </right>
      <top style="thin">
        <color rgb="FFD9D9D9"/>
      </top>
      <bottom/>
      <diagonal/>
    </border>
    <border>
      <left style="thin">
        <color rgb="FFD9D9D9"/>
      </left>
      <right style="thin">
        <color rgb="FFD9D9D9"/>
      </right>
      <top/>
      <bottom style="thin">
        <color rgb="FFD9D9D9"/>
      </bottom>
      <diagonal/>
    </border>
    <border>
      <left/>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bottom/>
      <diagonal/>
    </border>
    <border>
      <left/>
      <right style="thin">
        <color theme="0"/>
      </right>
      <top/>
      <bottom/>
      <diagonal/>
    </border>
    <border>
      <left style="thin">
        <color rgb="FFD9D9D9"/>
      </left>
      <right/>
      <top/>
      <bottom style="thin">
        <color theme="0"/>
      </bottom>
      <diagonal/>
    </border>
    <border>
      <left/>
      <right style="thin">
        <color rgb="FFD9D9D9"/>
      </right>
      <top/>
      <bottom style="thin">
        <color theme="0"/>
      </bottom>
      <diagonal/>
    </border>
  </borders>
  <cellStyleXfs count="1">
    <xf numFmtId="0" fontId="0" fillId="0" borderId="0"/>
  </cellStyleXfs>
  <cellXfs count="206">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horizontal="center"/>
    </xf>
    <xf numFmtId="2" fontId="1" fillId="0" borderId="0" xfId="0" applyNumberFormat="1" applyFont="1"/>
    <xf numFmtId="0" fontId="9" fillId="2" borderId="6" xfId="0" applyFont="1" applyFill="1" applyBorder="1" applyAlignment="1">
      <alignment horizontal="center" vertical="center"/>
    </xf>
    <xf numFmtId="0" fontId="1" fillId="0" borderId="0" xfId="0" applyFont="1" applyFill="1" applyAlignment="1">
      <alignment vertical="center"/>
    </xf>
    <xf numFmtId="1" fontId="1" fillId="0" borderId="0" xfId="0" applyNumberFormat="1" applyFont="1" applyFill="1" applyAlignment="1">
      <alignment horizontal="center" vertical="center"/>
    </xf>
    <xf numFmtId="164" fontId="1" fillId="0" borderId="0" xfId="0" applyNumberFormat="1" applyFont="1" applyFill="1" applyAlignment="1">
      <alignment horizontal="center" vertical="center"/>
    </xf>
    <xf numFmtId="0" fontId="1" fillId="0" borderId="0" xfId="0" applyFont="1" applyFill="1" applyAlignment="1">
      <alignment horizontal="center" vertical="center"/>
    </xf>
    <xf numFmtId="2" fontId="1" fillId="0" borderId="0" xfId="0" applyNumberFormat="1" applyFont="1" applyFill="1" applyAlignment="1">
      <alignment horizontal="center" vertical="center"/>
    </xf>
    <xf numFmtId="166" fontId="1" fillId="0" borderId="0" xfId="0" applyNumberFormat="1" applyFont="1" applyFill="1" applyAlignment="1">
      <alignment horizontal="center" vertical="center"/>
    </xf>
    <xf numFmtId="0" fontId="1" fillId="3" borderId="2" xfId="0" applyFont="1" applyFill="1" applyBorder="1" applyAlignment="1">
      <alignment horizontal="center" vertical="center"/>
    </xf>
    <xf numFmtId="1" fontId="1" fillId="0" borderId="2" xfId="0" applyNumberFormat="1" applyFont="1" applyFill="1" applyBorder="1" applyAlignment="1">
      <alignment horizontal="left" vertical="center"/>
    </xf>
    <xf numFmtId="166" fontId="1" fillId="0" borderId="0" xfId="0" applyNumberFormat="1" applyFont="1" applyAlignment="1">
      <alignment horizontal="center"/>
    </xf>
    <xf numFmtId="166" fontId="0" fillId="0" borderId="0" xfId="0" applyNumberFormat="1"/>
    <xf numFmtId="0" fontId="9" fillId="2" borderId="2" xfId="0" applyNumberFormat="1" applyFont="1" applyFill="1" applyBorder="1" applyAlignment="1" applyProtection="1">
      <alignment horizontal="center" vertical="center" wrapText="1"/>
    </xf>
    <xf numFmtId="0" fontId="1" fillId="0" borderId="2" xfId="0" applyFont="1" applyBorder="1" applyAlignment="1">
      <alignment vertical="center"/>
    </xf>
    <xf numFmtId="0" fontId="2" fillId="0" borderId="2" xfId="0" applyFont="1" applyBorder="1" applyAlignment="1">
      <alignment vertical="center"/>
    </xf>
    <xf numFmtId="0" fontId="1" fillId="3" borderId="17"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2" xfId="0" applyFont="1" applyBorder="1" applyAlignment="1">
      <alignment horizontal="center" vertical="center"/>
    </xf>
    <xf numFmtId="3" fontId="1" fillId="0" borderId="2" xfId="0" applyNumberFormat="1" applyFont="1" applyBorder="1" applyAlignment="1">
      <alignment horizontal="center" vertical="center"/>
    </xf>
    <xf numFmtId="168" fontId="1" fillId="0" borderId="2" xfId="0" applyNumberFormat="1" applyFont="1" applyBorder="1" applyAlignment="1">
      <alignment horizontal="center" vertical="center"/>
    </xf>
    <xf numFmtId="0" fontId="2" fillId="0" borderId="2" xfId="0" applyFont="1" applyBorder="1" applyAlignment="1">
      <alignment horizontal="center" vertical="center"/>
    </xf>
    <xf numFmtId="3" fontId="2" fillId="0" borderId="2" xfId="0" applyNumberFormat="1" applyFont="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vertical="center" wrapText="1"/>
    </xf>
    <xf numFmtId="0" fontId="1" fillId="3" borderId="0" xfId="0" applyFont="1" applyFill="1" applyAlignment="1">
      <alignment vertical="center"/>
    </xf>
    <xf numFmtId="0" fontId="14" fillId="0" borderId="0" xfId="0" applyFont="1"/>
    <xf numFmtId="0" fontId="14" fillId="0" borderId="0" xfId="0" applyFont="1" applyAlignment="1">
      <alignment horizontal="right"/>
    </xf>
    <xf numFmtId="0" fontId="9" fillId="2" borderId="2" xfId="0" applyFont="1" applyFill="1" applyBorder="1" applyAlignment="1">
      <alignment horizontal="center" vertical="center" wrapText="1"/>
    </xf>
    <xf numFmtId="0" fontId="9" fillId="2" borderId="2" xfId="0" applyFont="1" applyFill="1" applyBorder="1" applyAlignment="1">
      <alignment horizontal="center" vertical="center"/>
    </xf>
    <xf numFmtId="0" fontId="1" fillId="0" borderId="0" xfId="0" applyFont="1" applyFill="1" applyBorder="1" applyAlignment="1">
      <alignment vertical="center"/>
    </xf>
    <xf numFmtId="0" fontId="2" fillId="0" borderId="0" xfId="0" applyFont="1" applyFill="1" applyBorder="1" applyAlignment="1">
      <alignment vertical="center"/>
    </xf>
    <xf numFmtId="0" fontId="1" fillId="0" borderId="2" xfId="0" applyFont="1" applyBorder="1" applyAlignment="1">
      <alignment horizontal="left" vertical="center"/>
    </xf>
    <xf numFmtId="0" fontId="1" fillId="4" borderId="11" xfId="0" applyFont="1" applyFill="1" applyBorder="1" applyAlignment="1"/>
    <xf numFmtId="0" fontId="1" fillId="4" borderId="12" xfId="0" applyFont="1" applyFill="1" applyBorder="1" applyAlignment="1"/>
    <xf numFmtId="0" fontId="1" fillId="4" borderId="13" xfId="0" applyFont="1" applyFill="1" applyBorder="1" applyAlignment="1"/>
    <xf numFmtId="0" fontId="1" fillId="4" borderId="0" xfId="0" applyFont="1" applyFill="1" applyBorder="1" applyAlignment="1"/>
    <xf numFmtId="0" fontId="1" fillId="4" borderId="14" xfId="0" applyFont="1" applyFill="1" applyBorder="1" applyAlignment="1"/>
    <xf numFmtId="0" fontId="1" fillId="4" borderId="15" xfId="0" applyFont="1" applyFill="1" applyBorder="1" applyAlignment="1"/>
    <xf numFmtId="0" fontId="9" fillId="2"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0" borderId="0" xfId="0" applyFont="1" applyAlignment="1">
      <alignment horizontal="left" vertical="center"/>
    </xf>
    <xf numFmtId="0" fontId="9" fillId="2" borderId="21" xfId="0" applyFont="1" applyFill="1" applyBorder="1" applyAlignment="1">
      <alignment horizontal="center" vertical="center"/>
    </xf>
    <xf numFmtId="0" fontId="9" fillId="2" borderId="20" xfId="0" applyFont="1" applyFill="1" applyBorder="1" applyAlignment="1">
      <alignment horizontal="center" vertical="center"/>
    </xf>
    <xf numFmtId="2" fontId="1" fillId="0" borderId="0" xfId="0" applyNumberFormat="1" applyFont="1" applyAlignment="1">
      <alignment horizontal="center" vertical="center"/>
    </xf>
    <xf numFmtId="0" fontId="1" fillId="0" borderId="2" xfId="0" applyFont="1" applyFill="1" applyBorder="1" applyAlignment="1">
      <alignment horizontal="center" vertical="center"/>
    </xf>
    <xf numFmtId="0" fontId="1" fillId="0" borderId="0" xfId="0" applyFont="1" applyBorder="1" applyAlignment="1">
      <alignment horizontal="left" vertical="center" wrapText="1"/>
    </xf>
    <xf numFmtId="2" fontId="1" fillId="0" borderId="2" xfId="0" applyNumberFormat="1" applyFont="1" applyFill="1" applyBorder="1" applyAlignment="1">
      <alignment horizontal="center" vertical="center"/>
    </xf>
    <xf numFmtId="0" fontId="1" fillId="0" borderId="18" xfId="0" applyFont="1" applyFill="1" applyBorder="1" applyAlignment="1">
      <alignment horizontal="center" vertical="center"/>
    </xf>
    <xf numFmtId="2" fontId="1" fillId="0" borderId="18" xfId="0" applyNumberFormat="1" applyFont="1" applyBorder="1" applyAlignment="1">
      <alignment horizontal="center" vertical="center"/>
    </xf>
    <xf numFmtId="2" fontId="1" fillId="0" borderId="2" xfId="0" applyNumberFormat="1" applyFont="1" applyBorder="1" applyAlignment="1">
      <alignment horizontal="center" vertical="center"/>
    </xf>
    <xf numFmtId="0" fontId="1" fillId="4" borderId="2" xfId="0" applyFont="1" applyFill="1" applyBorder="1" applyAlignment="1"/>
    <xf numFmtId="0" fontId="1" fillId="4" borderId="2" xfId="0" applyFont="1" applyFill="1" applyBorder="1" applyAlignment="1">
      <alignment vertical="center" wrapText="1"/>
    </xf>
    <xf numFmtId="169" fontId="1" fillId="0" borderId="2" xfId="0" applyNumberFormat="1" applyFont="1" applyBorder="1" applyAlignment="1">
      <alignment horizontal="center" vertical="center"/>
    </xf>
    <xf numFmtId="0" fontId="16" fillId="2" borderId="2" xfId="0" applyFont="1" applyFill="1" applyBorder="1" applyAlignment="1">
      <alignment horizontal="center" vertical="center"/>
    </xf>
    <xf numFmtId="0" fontId="1" fillId="0" borderId="0" xfId="0" applyFont="1" applyBorder="1" applyAlignment="1">
      <alignment horizontal="center" vertical="center"/>
    </xf>
    <xf numFmtId="0" fontId="1" fillId="0" borderId="22" xfId="0" applyFont="1" applyFill="1" applyBorder="1" applyAlignment="1">
      <alignment horizontal="left" vertical="center"/>
    </xf>
    <xf numFmtId="0" fontId="1" fillId="0" borderId="2" xfId="0" applyFont="1" applyFill="1" applyBorder="1" applyAlignment="1">
      <alignment vertical="center"/>
    </xf>
    <xf numFmtId="0" fontId="2" fillId="0" borderId="0" xfId="0" applyFont="1" applyFill="1" applyAlignment="1">
      <alignment horizontal="center" vertical="center"/>
    </xf>
    <xf numFmtId="0" fontId="1" fillId="0" borderId="0" xfId="0" applyFont="1" applyAlignment="1"/>
    <xf numFmtId="0" fontId="1" fillId="0" borderId="0" xfId="0" applyFont="1" applyBorder="1"/>
    <xf numFmtId="0" fontId="2" fillId="0" borderId="0" xfId="0" applyFont="1" applyBorder="1"/>
    <xf numFmtId="0" fontId="2" fillId="0" borderId="0" xfId="0" applyFont="1" applyBorder="1" applyAlignment="1">
      <alignment horizontal="center"/>
    </xf>
    <xf numFmtId="3" fontId="1" fillId="0" borderId="0" xfId="0" applyNumberFormat="1" applyFont="1" applyBorder="1"/>
    <xf numFmtId="3" fontId="1" fillId="0" borderId="0" xfId="0" applyNumberFormat="1" applyFont="1" applyFill="1" applyBorder="1"/>
    <xf numFmtId="0" fontId="1" fillId="0" borderId="0" xfId="0" applyFont="1" applyFill="1" applyBorder="1"/>
    <xf numFmtId="0" fontId="2" fillId="0" borderId="0" xfId="0" applyFont="1" applyFill="1" applyBorder="1"/>
    <xf numFmtId="0" fontId="2" fillId="0" borderId="0" xfId="0"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alignment horizontal="center"/>
    </xf>
    <xf numFmtId="0" fontId="2" fillId="0" borderId="0" xfId="0" applyFont="1" applyFill="1" applyBorder="1" applyAlignment="1">
      <alignment horizontal="center" wrapText="1"/>
    </xf>
    <xf numFmtId="0" fontId="1" fillId="0" borderId="0" xfId="0" applyFont="1" applyFill="1" applyBorder="1" applyAlignment="1">
      <alignment horizontal="right"/>
    </xf>
    <xf numFmtId="2" fontId="1" fillId="0" borderId="0" xfId="0" applyNumberFormat="1" applyFont="1" applyFill="1" applyBorder="1"/>
    <xf numFmtId="0" fontId="2" fillId="0" borderId="0" xfId="0" applyFont="1" applyBorder="1" applyAlignment="1"/>
    <xf numFmtId="0" fontId="3" fillId="0" borderId="0" xfId="0" applyFont="1" applyBorder="1"/>
    <xf numFmtId="0" fontId="0" fillId="0" borderId="15" xfId="0" applyBorder="1"/>
    <xf numFmtId="0" fontId="1" fillId="0" borderId="10" xfId="0" applyFont="1" applyBorder="1"/>
    <xf numFmtId="0" fontId="1" fillId="0" borderId="18" xfId="0" applyFont="1" applyBorder="1"/>
    <xf numFmtId="0" fontId="0" fillId="0" borderId="12" xfId="0" applyBorder="1"/>
    <xf numFmtId="0" fontId="1" fillId="3" borderId="2" xfId="0" applyFont="1" applyFill="1" applyBorder="1" applyAlignment="1">
      <alignment horizontal="center" vertical="center"/>
    </xf>
    <xf numFmtId="0" fontId="1" fillId="3" borderId="20" xfId="0" applyFont="1" applyFill="1" applyBorder="1" applyAlignment="1">
      <alignment horizontal="center" vertical="center"/>
    </xf>
    <xf numFmtId="0" fontId="1" fillId="0" borderId="0" xfId="0" applyFont="1" applyBorder="1" applyAlignment="1">
      <alignment horizontal="center" vertical="center"/>
    </xf>
    <xf numFmtId="0" fontId="9" fillId="2" borderId="2" xfId="0" applyFont="1" applyFill="1" applyBorder="1" applyAlignment="1">
      <alignment horizontal="center" vertical="center" wrapText="1"/>
    </xf>
    <xf numFmtId="1" fontId="1" fillId="0" borderId="0" xfId="0" applyNumberFormat="1" applyFont="1" applyAlignment="1">
      <alignment horizontal="center" vertical="center"/>
    </xf>
    <xf numFmtId="170" fontId="1" fillId="3" borderId="0" xfId="0" applyNumberFormat="1" applyFont="1" applyFill="1" applyAlignment="1">
      <alignment horizontal="center" vertical="center"/>
    </xf>
    <xf numFmtId="2" fontId="1" fillId="3" borderId="0" xfId="0" applyNumberFormat="1" applyFont="1" applyFill="1" applyAlignment="1">
      <alignment horizontal="center" vertical="center"/>
    </xf>
    <xf numFmtId="0" fontId="1" fillId="0" borderId="0" xfId="0" applyFont="1" applyBorder="1" applyAlignment="1">
      <alignment vertical="center"/>
    </xf>
    <xf numFmtId="3" fontId="1" fillId="0" borderId="0" xfId="0" applyNumberFormat="1" applyFont="1" applyBorder="1" applyAlignment="1">
      <alignment vertical="center"/>
    </xf>
    <xf numFmtId="0" fontId="1" fillId="0" borderId="0" xfId="0" applyFont="1" applyBorder="1" applyAlignment="1">
      <alignment horizontal="right" vertical="center"/>
    </xf>
    <xf numFmtId="0" fontId="1" fillId="0" borderId="15" xfId="0" applyFont="1" applyBorder="1" applyAlignment="1">
      <alignment vertical="center"/>
    </xf>
    <xf numFmtId="0" fontId="1" fillId="0" borderId="15" xfId="0" applyFont="1" applyBorder="1" applyAlignment="1">
      <alignment horizontal="right" vertical="center"/>
    </xf>
    <xf numFmtId="0" fontId="1" fillId="0" borderId="13" xfId="0" applyFont="1" applyBorder="1" applyAlignment="1">
      <alignment horizontal="center" vertical="center"/>
    </xf>
    <xf numFmtId="0" fontId="2" fillId="0" borderId="13" xfId="0" applyFont="1" applyBorder="1" applyAlignment="1">
      <alignment vertical="center"/>
    </xf>
    <xf numFmtId="0" fontId="1" fillId="0" borderId="12" xfId="0" applyFont="1" applyBorder="1" applyAlignment="1">
      <alignment vertical="center"/>
    </xf>
    <xf numFmtId="0" fontId="1" fillId="0" borderId="0" xfId="0" applyFont="1" applyBorder="1" applyAlignment="1">
      <alignment vertical="center" wrapText="1"/>
    </xf>
    <xf numFmtId="3" fontId="1" fillId="0" borderId="0" xfId="0" applyNumberFormat="1" applyFont="1" applyFill="1" applyBorder="1" applyAlignment="1">
      <alignment vertical="center"/>
    </xf>
    <xf numFmtId="0" fontId="1" fillId="3" borderId="9" xfId="0" applyFont="1" applyFill="1" applyBorder="1" applyAlignment="1">
      <alignment horizontal="center" vertical="center"/>
    </xf>
    <xf numFmtId="2" fontId="8" fillId="0" borderId="19" xfId="0" applyNumberFormat="1" applyFont="1" applyBorder="1" applyAlignment="1">
      <alignment horizontal="center" vertical="center"/>
    </xf>
    <xf numFmtId="2" fontId="8" fillId="0" borderId="15" xfId="0" applyNumberFormat="1" applyFont="1" applyBorder="1" applyAlignment="1">
      <alignment horizontal="center" vertical="center"/>
    </xf>
    <xf numFmtId="0" fontId="1" fillId="0" borderId="21" xfId="0" applyFont="1" applyBorder="1" applyAlignment="1">
      <alignment vertical="center"/>
    </xf>
    <xf numFmtId="0" fontId="1" fillId="0" borderId="9" xfId="0" applyFont="1" applyBorder="1" applyAlignment="1">
      <alignment vertical="center"/>
    </xf>
    <xf numFmtId="0" fontId="1" fillId="0" borderId="16" xfId="0" applyFont="1" applyBorder="1" applyAlignment="1">
      <alignment vertical="center"/>
    </xf>
    <xf numFmtId="2" fontId="1" fillId="0" borderId="21" xfId="0" applyNumberFormat="1" applyFont="1" applyBorder="1" applyAlignment="1">
      <alignment horizontal="center" vertical="center"/>
    </xf>
    <xf numFmtId="0" fontId="8" fillId="0" borderId="15" xfId="0" applyFont="1" applyBorder="1" applyAlignment="1">
      <alignment horizontal="center" vertical="center"/>
    </xf>
    <xf numFmtId="0" fontId="1" fillId="0" borderId="21" xfId="0" applyFont="1" applyBorder="1" applyAlignment="1">
      <alignment horizontal="center" vertical="center"/>
    </xf>
    <xf numFmtId="0" fontId="1" fillId="0" borderId="10" xfId="0" applyFont="1" applyBorder="1" applyAlignment="1">
      <alignment vertical="center"/>
    </xf>
    <xf numFmtId="3" fontId="8" fillId="0" borderId="15" xfId="0" applyNumberFormat="1" applyFont="1" applyBorder="1" applyAlignment="1">
      <alignment horizontal="center" vertical="center"/>
    </xf>
    <xf numFmtId="3" fontId="1" fillId="0" borderId="21" xfId="0" applyNumberFormat="1" applyFont="1" applyBorder="1" applyAlignment="1">
      <alignment horizontal="center" vertical="center"/>
    </xf>
    <xf numFmtId="0" fontId="1" fillId="0" borderId="0" xfId="0" applyNumberFormat="1" applyFont="1" applyAlignment="1">
      <alignment horizontal="center" vertical="center"/>
    </xf>
    <xf numFmtId="2" fontId="8" fillId="0" borderId="2" xfId="0" applyNumberFormat="1" applyFont="1" applyFill="1" applyBorder="1" applyAlignment="1">
      <alignment horizontal="center" vertical="center"/>
    </xf>
    <xf numFmtId="0" fontId="1" fillId="0" borderId="0" xfId="0" applyNumberFormat="1" applyFont="1" applyFill="1" applyAlignment="1">
      <alignment horizontal="center" vertical="center"/>
    </xf>
    <xf numFmtId="0" fontId="2" fillId="0" borderId="0" xfId="0" applyFont="1" applyAlignment="1">
      <alignment vertical="center"/>
    </xf>
    <xf numFmtId="169" fontId="1" fillId="0" borderId="0" xfId="0" applyNumberFormat="1" applyFont="1" applyAlignment="1">
      <alignment horizontal="center" vertical="center"/>
    </xf>
    <xf numFmtId="0" fontId="3" fillId="0" borderId="0" xfId="0" applyFont="1"/>
    <xf numFmtId="0" fontId="1" fillId="3" borderId="2"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Alignment="1">
      <alignment horizontal="left" vertical="center"/>
    </xf>
    <xf numFmtId="0" fontId="1" fillId="0" borderId="0" xfId="0" applyFont="1" applyFill="1" applyAlignment="1">
      <alignment horizontal="left" vertical="center"/>
    </xf>
    <xf numFmtId="0" fontId="1" fillId="3" borderId="2" xfId="0" applyFont="1" applyFill="1" applyBorder="1" applyAlignment="1">
      <alignment horizontal="center" vertical="center"/>
    </xf>
    <xf numFmtId="0" fontId="1" fillId="0" borderId="0" xfId="0" applyFont="1" applyBorder="1" applyAlignment="1">
      <alignment horizontal="center" vertical="center"/>
    </xf>
    <xf numFmtId="0" fontId="1" fillId="3" borderId="0" xfId="0" applyFont="1" applyFill="1" applyAlignment="1">
      <alignment horizontal="center" vertical="center"/>
    </xf>
    <xf numFmtId="0" fontId="9" fillId="2" borderId="2" xfId="0" applyFont="1" applyFill="1" applyBorder="1" applyAlignment="1">
      <alignment horizontal="center" vertical="center"/>
    </xf>
    <xf numFmtId="3" fontId="1" fillId="0" borderId="12" xfId="0" applyNumberFormat="1" applyFont="1" applyBorder="1" applyAlignment="1">
      <alignment horizontal="center" vertical="center"/>
    </xf>
    <xf numFmtId="4" fontId="1" fillId="0" borderId="0" xfId="0" applyNumberFormat="1" applyFont="1" applyBorder="1" applyAlignment="1">
      <alignment horizontal="center" vertical="center"/>
    </xf>
    <xf numFmtId="3" fontId="1" fillId="0" borderId="0" xfId="0" applyNumberFormat="1" applyFont="1" applyBorder="1" applyAlignment="1">
      <alignment horizontal="center" vertical="center"/>
    </xf>
    <xf numFmtId="0" fontId="1" fillId="3" borderId="0" xfId="0" applyFont="1" applyFill="1" applyBorder="1" applyAlignment="1">
      <alignment horizontal="center" vertical="center"/>
    </xf>
    <xf numFmtId="3" fontId="7" fillId="0" borderId="0" xfId="0" applyNumberFormat="1" applyFont="1" applyBorder="1" applyAlignment="1">
      <alignment horizontal="center" vertical="center"/>
    </xf>
    <xf numFmtId="165" fontId="1" fillId="0" borderId="22" xfId="0" applyNumberFormat="1" applyFont="1" applyFill="1" applyBorder="1" applyAlignment="1">
      <alignment horizontal="center" vertical="center"/>
    </xf>
    <xf numFmtId="167" fontId="1" fillId="0" borderId="0" xfId="0" applyNumberFormat="1" applyFont="1" applyAlignment="1">
      <alignment horizontal="center"/>
    </xf>
    <xf numFmtId="3" fontId="1" fillId="0" borderId="0" xfId="0" applyNumberFormat="1" applyFont="1" applyAlignment="1">
      <alignment horizontal="center" vertical="center"/>
    </xf>
    <xf numFmtId="3" fontId="1" fillId="0" borderId="0" xfId="0" applyNumberFormat="1" applyFont="1" applyFill="1" applyAlignment="1">
      <alignment horizontal="center" vertical="center"/>
    </xf>
    <xf numFmtId="170" fontId="1" fillId="0" borderId="0" xfId="0" applyNumberFormat="1" applyFont="1" applyFill="1" applyAlignment="1">
      <alignment horizontal="center" vertical="center"/>
    </xf>
    <xf numFmtId="170" fontId="1" fillId="0" borderId="2" xfId="0" applyNumberFormat="1" applyFont="1" applyFill="1" applyBorder="1" applyAlignment="1">
      <alignment horizontal="center" vertical="center"/>
    </xf>
    <xf numFmtId="165" fontId="1" fillId="0" borderId="2" xfId="0" applyNumberFormat="1" applyFont="1" applyFill="1" applyBorder="1" applyAlignment="1">
      <alignment horizontal="center" vertical="center"/>
    </xf>
    <xf numFmtId="4" fontId="1" fillId="0" borderId="0" xfId="0" applyNumberFormat="1" applyFont="1" applyFill="1" applyAlignment="1">
      <alignment horizontal="center" vertical="center"/>
    </xf>
    <xf numFmtId="0" fontId="1" fillId="3" borderId="2"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1" xfId="0" applyFont="1" applyFill="1" applyBorder="1" applyAlignment="1">
      <alignment horizontal="center" vertical="center"/>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12" fillId="4" borderId="11" xfId="0" applyFont="1" applyFill="1" applyBorder="1" applyAlignment="1">
      <alignment horizontal="center" vertical="center"/>
    </xf>
    <xf numFmtId="0" fontId="12" fillId="4" borderId="13" xfId="0" applyFont="1" applyFill="1" applyBorder="1" applyAlignment="1">
      <alignment horizontal="center" vertical="center"/>
    </xf>
    <xf numFmtId="0" fontId="12" fillId="4" borderId="14" xfId="0" applyFont="1" applyFill="1" applyBorder="1" applyAlignment="1">
      <alignment horizontal="center" vertic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4" borderId="9" xfId="0" applyFont="1" applyFill="1" applyBorder="1" applyAlignment="1">
      <alignment horizontal="center"/>
    </xf>
    <xf numFmtId="0" fontId="1" fillId="4" borderId="13" xfId="0" applyFont="1" applyFill="1" applyBorder="1" applyAlignment="1">
      <alignment horizontal="center"/>
    </xf>
    <xf numFmtId="0" fontId="1" fillId="4" borderId="0" xfId="0" applyFont="1" applyFill="1" applyBorder="1" applyAlignment="1">
      <alignment horizontal="center"/>
    </xf>
    <xf numFmtId="0" fontId="1" fillId="4" borderId="10" xfId="0" applyFont="1" applyFill="1" applyBorder="1" applyAlignment="1">
      <alignment horizontal="center"/>
    </xf>
    <xf numFmtId="0" fontId="1" fillId="4" borderId="14" xfId="0" applyFont="1" applyFill="1" applyBorder="1" applyAlignment="1">
      <alignment horizontal="center"/>
    </xf>
    <xf numFmtId="0" fontId="1" fillId="4" borderId="15" xfId="0" applyFont="1" applyFill="1" applyBorder="1" applyAlignment="1">
      <alignment horizontal="center"/>
    </xf>
    <xf numFmtId="0" fontId="1" fillId="4" borderId="16" xfId="0" applyFont="1" applyFill="1" applyBorder="1" applyAlignment="1">
      <alignment horizontal="center"/>
    </xf>
    <xf numFmtId="0" fontId="1" fillId="4" borderId="11" xfId="0" applyFont="1" applyFill="1" applyBorder="1" applyAlignment="1">
      <alignment horizontal="left" vertical="center" wrapText="1"/>
    </xf>
    <xf numFmtId="0" fontId="1" fillId="4" borderId="12" xfId="0" applyFont="1" applyFill="1" applyBorder="1" applyAlignment="1">
      <alignment horizontal="left" vertical="center" wrapText="1"/>
    </xf>
    <xf numFmtId="0" fontId="1" fillId="4" borderId="9" xfId="0" applyFont="1" applyFill="1" applyBorder="1" applyAlignment="1">
      <alignment horizontal="left" vertical="center" wrapText="1"/>
    </xf>
    <xf numFmtId="0" fontId="1" fillId="4" borderId="13"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10" xfId="0" applyFont="1" applyFill="1" applyBorder="1" applyAlignment="1">
      <alignment horizontal="left" vertical="center" wrapText="1"/>
    </xf>
    <xf numFmtId="0" fontId="1" fillId="4" borderId="14" xfId="0" applyFont="1" applyFill="1" applyBorder="1" applyAlignment="1">
      <alignment horizontal="left" vertical="center" wrapText="1"/>
    </xf>
    <xf numFmtId="0" fontId="1" fillId="4" borderId="15" xfId="0" applyFont="1" applyFill="1" applyBorder="1" applyAlignment="1">
      <alignment horizontal="left" vertical="center" wrapText="1"/>
    </xf>
    <xf numFmtId="0" fontId="1" fillId="4" borderId="16"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2" fillId="4"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1" fillId="3" borderId="17" xfId="0" applyFont="1" applyFill="1" applyBorder="1" applyAlignment="1">
      <alignment horizontal="center" vertical="center" wrapText="1"/>
    </xf>
    <xf numFmtId="0" fontId="1" fillId="3" borderId="18" xfId="0" applyFont="1" applyFill="1" applyBorder="1" applyAlignment="1">
      <alignment horizontal="center" vertical="center"/>
    </xf>
    <xf numFmtId="0" fontId="1" fillId="0" borderId="2" xfId="0" applyFont="1" applyBorder="1" applyAlignment="1">
      <alignment horizontal="left" vertical="center"/>
    </xf>
    <xf numFmtId="0" fontId="1" fillId="4" borderId="2" xfId="0" applyFont="1" applyFill="1" applyBorder="1" applyAlignment="1">
      <alignment horizontal="center"/>
    </xf>
    <xf numFmtId="0" fontId="2" fillId="0" borderId="2" xfId="0" applyFont="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left" vertical="center" wrapText="1"/>
    </xf>
    <xf numFmtId="0" fontId="1" fillId="3" borderId="14" xfId="0" applyFont="1" applyFill="1" applyBorder="1" applyAlignment="1">
      <alignment horizontal="center" vertical="center"/>
    </xf>
    <xf numFmtId="0" fontId="1" fillId="3" borderId="15" xfId="0" applyFont="1" applyFill="1" applyBorder="1" applyAlignment="1">
      <alignment horizontal="center" vertical="center"/>
    </xf>
    <xf numFmtId="17" fontId="1" fillId="3" borderId="2"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4" xfId="0" applyFont="1" applyFill="1" applyBorder="1" applyAlignment="1">
      <alignment horizontal="center" vertical="center"/>
    </xf>
    <xf numFmtId="0" fontId="1" fillId="3" borderId="0" xfId="0" applyFont="1" applyFill="1" applyAlignment="1">
      <alignment horizontal="center" vertical="center"/>
    </xf>
    <xf numFmtId="0" fontId="9" fillId="2" borderId="7"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2" xfId="0" applyNumberFormat="1" applyFont="1" applyFill="1" applyBorder="1" applyAlignment="1" applyProtection="1">
      <alignment horizontal="center" vertical="center" wrapText="1"/>
    </xf>
    <xf numFmtId="0" fontId="9" fillId="2" borderId="13"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17" xfId="0" applyNumberFormat="1" applyFont="1" applyFill="1" applyBorder="1" applyAlignment="1" applyProtection="1">
      <alignment horizontal="center" vertical="center" wrapText="1"/>
    </xf>
    <xf numFmtId="0" fontId="9" fillId="2" borderId="18" xfId="0" applyNumberFormat="1" applyFont="1" applyFill="1" applyBorder="1" applyAlignment="1" applyProtection="1">
      <alignment horizontal="center" vertical="center" wrapText="1"/>
    </xf>
    <xf numFmtId="0" fontId="9" fillId="2" borderId="24" xfId="0" applyFont="1" applyFill="1" applyBorder="1" applyAlignment="1">
      <alignment horizontal="center" vertical="center"/>
    </xf>
    <xf numFmtId="0" fontId="9" fillId="2" borderId="25"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0"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2" borderId="2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DCE6F1"/>
      <color rgb="FFD9D9D9"/>
      <color rgb="FFD9000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676275</xdr:colOff>
      <xdr:row>12</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xdr:cNvSpPr txBox="1"/>
          </xdr:nvSpPr>
          <xdr:spPr>
            <a:xfrm>
              <a:off x="1971675" y="2300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1971675" y="2300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142876</xdr:colOff>
      <xdr:row>4</xdr:row>
      <xdr:rowOff>100012</xdr:rowOff>
    </xdr:from>
    <xdr:ext cx="2400300" cy="372603"/>
    <mc:AlternateContent xmlns:mc="http://schemas.openxmlformats.org/markup-compatibility/2006" xmlns:a14="http://schemas.microsoft.com/office/drawing/2010/main">
      <mc:Choice Requires="a14">
        <xdr:sp macro="" textlink="">
          <xdr:nvSpPr>
            <xdr:cNvPr id="2" name="CaixaDeTexto 1">
              <a:extLst>
                <a:ext uri="{FF2B5EF4-FFF2-40B4-BE49-F238E27FC236}">
                  <a16:creationId xmlns:a16="http://schemas.microsoft.com/office/drawing/2014/main" xmlns="" id="{00000000-0008-0000-0200-000002000000}"/>
                </a:ext>
              </a:extLst>
            </xdr:cNvPr>
            <xdr:cNvSpPr txBox="1"/>
          </xdr:nvSpPr>
          <xdr:spPr>
            <a:xfrm>
              <a:off x="1952626" y="862012"/>
              <a:ext cx="2400300" cy="3726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𝑘</m:t>
                    </m:r>
                    <m:r>
                      <a:rPr lang="pt-BR" sz="1100" b="0" i="1">
                        <a:latin typeface="Cambria Math" panose="02040503050406030204" pitchFamily="18" charset="0"/>
                      </a:rPr>
                      <m:t> × 0,0016×</m:t>
                    </m:r>
                    <m:f>
                      <m:fPr>
                        <m:type m:val="lin"/>
                        <m:ctrlPr>
                          <a:rPr lang="pt-BR" sz="1100" b="0" i="1">
                            <a:latin typeface="Cambria Math" panose="02040503050406030204" pitchFamily="18" charset="0"/>
                          </a:rPr>
                        </m:ctrlPr>
                      </m:fPr>
                      <m:num>
                        <m:sSup>
                          <m:sSupPr>
                            <m:ctrlPr>
                              <a:rPr lang="pt-BR" sz="1100" b="0" i="1">
                                <a:solidFill>
                                  <a:schemeClr val="tx1"/>
                                </a:solidFill>
                                <a:effectLst/>
                                <a:latin typeface="Cambria Math" panose="02040503050406030204" pitchFamily="18" charset="0"/>
                                <a:ea typeface="+mn-ea"/>
                                <a:cs typeface="+mn-cs"/>
                              </a:rPr>
                            </m:ctrlPr>
                          </m:sSupPr>
                          <m:e>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r>
                                      <a:rPr lang="pt-BR" sz="1100" b="0" i="1">
                                        <a:solidFill>
                                          <a:schemeClr val="tx1"/>
                                        </a:solidFill>
                                        <a:effectLst/>
                                        <a:latin typeface="Cambria Math" panose="02040503050406030204" pitchFamily="18" charset="0"/>
                                        <a:ea typeface="+mn-ea"/>
                                        <a:cs typeface="+mn-cs"/>
                                      </a:rPr>
                                      <m:t>𝑈</m:t>
                                    </m:r>
                                  </m:num>
                                  <m:den>
                                    <m:r>
                                      <a:rPr lang="pt-BR" sz="1100" b="0" i="1">
                                        <a:solidFill>
                                          <a:schemeClr val="tx1"/>
                                        </a:solidFill>
                                        <a:effectLst/>
                                        <a:latin typeface="Cambria Math" panose="02040503050406030204" pitchFamily="18" charset="0"/>
                                        <a:ea typeface="+mn-ea"/>
                                        <a:cs typeface="+mn-cs"/>
                                      </a:rPr>
                                      <m:t>2,2</m:t>
                                    </m:r>
                                  </m:den>
                                </m:f>
                              </m:e>
                            </m:d>
                          </m:e>
                          <m:sup>
                            <m:r>
                              <a:rPr lang="pt-BR" sz="1100" b="0" i="1">
                                <a:solidFill>
                                  <a:schemeClr val="tx1"/>
                                </a:solidFill>
                                <a:effectLst/>
                                <a:latin typeface="Cambria Math" panose="02040503050406030204" pitchFamily="18" charset="0"/>
                                <a:ea typeface="+mn-ea"/>
                                <a:cs typeface="+mn-cs"/>
                              </a:rPr>
                              <m:t>1,3</m:t>
                            </m:r>
                          </m:sup>
                        </m:sSup>
                      </m:num>
                      <m:den>
                        <m:sSup>
                          <m:sSupPr>
                            <m:ctrlPr>
                              <a:rPr lang="pt-BR" sz="1100" b="0" i="1">
                                <a:solidFill>
                                  <a:schemeClr val="tx1"/>
                                </a:solidFill>
                                <a:effectLst/>
                                <a:latin typeface="Cambria Math" panose="02040503050406030204" pitchFamily="18" charset="0"/>
                                <a:ea typeface="+mn-ea"/>
                                <a:cs typeface="+mn-cs"/>
                              </a:rPr>
                            </m:ctrlPr>
                          </m:sSupPr>
                          <m:e>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r>
                                      <a:rPr lang="pt-BR" sz="1100" b="0" i="1">
                                        <a:solidFill>
                                          <a:schemeClr val="tx1"/>
                                        </a:solidFill>
                                        <a:effectLst/>
                                        <a:latin typeface="Cambria Math" panose="02040503050406030204" pitchFamily="18" charset="0"/>
                                        <a:ea typeface="+mn-ea"/>
                                        <a:cs typeface="+mn-cs"/>
                                      </a:rPr>
                                      <m:t>𝑀</m:t>
                                    </m:r>
                                  </m:num>
                                  <m:den>
                                    <m:r>
                                      <a:rPr lang="pt-BR" sz="1100" b="0" i="1">
                                        <a:solidFill>
                                          <a:schemeClr val="tx1"/>
                                        </a:solidFill>
                                        <a:effectLst/>
                                        <a:latin typeface="Cambria Math" panose="02040503050406030204" pitchFamily="18" charset="0"/>
                                        <a:ea typeface="+mn-ea"/>
                                        <a:cs typeface="+mn-cs"/>
                                      </a:rPr>
                                      <m:t>2</m:t>
                                    </m:r>
                                  </m:den>
                                </m:f>
                              </m:e>
                            </m:d>
                          </m:e>
                          <m:sup>
                            <m:r>
                              <a:rPr lang="pt-BR" sz="1100" b="0" i="1">
                                <a:solidFill>
                                  <a:schemeClr val="tx1"/>
                                </a:solidFill>
                                <a:effectLst/>
                                <a:latin typeface="Cambria Math" panose="02040503050406030204" pitchFamily="18" charset="0"/>
                                <a:ea typeface="+mn-ea"/>
                                <a:cs typeface="+mn-cs"/>
                              </a:rPr>
                              <m:t>1,4</m:t>
                            </m:r>
                          </m:sup>
                        </m:sSup>
                      </m:den>
                    </m:f>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a:extLst>
                <a:ext uri="{FF2B5EF4-FFF2-40B4-BE49-F238E27FC236}">
                  <a16:creationId xmlns:a16="http://schemas.microsoft.com/office/drawing/2014/main" xmlns="" xmlns:a14="http://schemas.microsoft.com/office/drawing/2010/main" id="{00000000-0008-0000-0200-000002000000}"/>
                </a:ext>
              </a:extLst>
            </xdr:cNvPr>
            <xdr:cNvSpPr txBox="1"/>
          </xdr:nvSpPr>
          <xdr:spPr>
            <a:xfrm>
              <a:off x="1952626" y="862012"/>
              <a:ext cx="2400300" cy="3726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𝐸=𝑘 × 0,0016×</a:t>
              </a:r>
              <a:r>
                <a:rPr lang="pt-BR" sz="1100" b="0" i="0">
                  <a:solidFill>
                    <a:schemeClr val="tx1"/>
                  </a:solidFill>
                  <a:effectLst/>
                  <a:latin typeface="Cambria Math" panose="02040503050406030204" pitchFamily="18" charset="0"/>
                  <a:ea typeface="+mn-ea"/>
                  <a:cs typeface="+mn-cs"/>
                </a:rPr>
                <a:t>(𝑈/2,2)^1,3∕(𝑀/2)^1,4  </a:t>
              </a:r>
              <a:r>
                <a:rPr lang="pt-BR" sz="1100" b="0" i="0">
                  <a:latin typeface="Cambria Math" panose="02040503050406030204" pitchFamily="18" charset="0"/>
                </a:rPr>
                <a:t> </a:t>
              </a:r>
              <a:endParaRPr lang="pt-B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xdr:col>
      <xdr:colOff>323850</xdr:colOff>
      <xdr:row>20</xdr:row>
      <xdr:rowOff>90487</xdr:rowOff>
    </xdr:from>
    <xdr:ext cx="1609725" cy="316946"/>
    <mc:AlternateContent xmlns:mc="http://schemas.openxmlformats.org/markup-compatibility/2006" xmlns:a14="http://schemas.microsoft.com/office/drawing/2010/main">
      <mc:Choice Requires="a14">
        <xdr:sp macro="" textlink="">
          <xdr:nvSpPr>
            <xdr:cNvPr id="2" name="CaixaDeTexto 1"/>
            <xdr:cNvSpPr txBox="1"/>
          </xdr:nvSpPr>
          <xdr:spPr>
            <a:xfrm>
              <a:off x="2800350" y="4205287"/>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𝐴</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(1−</m:t>
                    </m:r>
                    <m:f>
                      <m:fPr>
                        <m:ctrlPr>
                          <a:rPr lang="pt-BR" sz="1100" b="0" i="1">
                            <a:latin typeface="Cambria Math" panose="02040503050406030204" pitchFamily="18" charset="0"/>
                          </a:rPr>
                        </m:ctrlPr>
                      </m:fPr>
                      <m:num>
                        <m:r>
                          <a:rPr lang="pt-BR" sz="1100" b="0" i="1">
                            <a:latin typeface="Cambria Math" panose="02040503050406030204" pitchFamily="18" charset="0"/>
                          </a:rPr>
                          <m:t>𝐸𝑅</m:t>
                        </m:r>
                      </m:num>
                      <m:den>
                        <m:r>
                          <a:rPr lang="pt-BR" sz="1100" b="0" i="1">
                            <a:latin typeface="Cambria Math" panose="02040503050406030204" pitchFamily="18" charset="0"/>
                          </a:rPr>
                          <m:t>100</m:t>
                        </m:r>
                      </m:den>
                    </m:f>
                    <m:r>
                      <a:rPr lang="pt-BR" sz="1100" b="0" i="1">
                        <a:latin typeface="Cambria Math" panose="02040503050406030204" pitchFamily="18" charset="0"/>
                      </a:rPr>
                      <m:t>)</m:t>
                    </m:r>
                  </m:oMath>
                </m:oMathPara>
              </a14:m>
              <a:endParaRPr lang="pt-BR" sz="1100"/>
            </a:p>
          </xdr:txBody>
        </xdr:sp>
      </mc:Choice>
      <mc:Fallback xmlns="">
        <xdr:sp macro="" textlink="">
          <xdr:nvSpPr>
            <xdr:cNvPr id="2" name="CaixaDeTexto 1"/>
            <xdr:cNvSpPr txBox="1"/>
          </xdr:nvSpPr>
          <xdr:spPr>
            <a:xfrm>
              <a:off x="2800350" y="4205287"/>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𝐸=𝐴 𝑥 𝐸𝐹 𝑥 (1−𝐸𝑅/100)</a:t>
              </a:r>
              <a:endParaRPr lang="pt-BR"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1</xdr:col>
      <xdr:colOff>152400</xdr:colOff>
      <xdr:row>25</xdr:row>
      <xdr:rowOff>4762</xdr:rowOff>
    </xdr:from>
    <xdr:ext cx="2343150" cy="175369"/>
    <mc:AlternateContent xmlns:mc="http://schemas.openxmlformats.org/markup-compatibility/2006" xmlns:a14="http://schemas.microsoft.com/office/drawing/2010/main">
      <mc:Choice Requires="a14">
        <xdr:sp macro="" textlink="">
          <xdr:nvSpPr>
            <xdr:cNvPr id="2" name="CaixaDeTexto 1"/>
            <xdr:cNvSpPr txBox="1"/>
          </xdr:nvSpPr>
          <xdr:spPr>
            <a:xfrm>
              <a:off x="1143000" y="1576387"/>
              <a:ext cx="234315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𝐹𝐸</m:t>
                    </m:r>
                    <m:r>
                      <a:rPr lang="pt-BR" sz="1100" b="0" i="1">
                        <a:latin typeface="Cambria Math" panose="02040503050406030204" pitchFamily="18" charset="0"/>
                      </a:rPr>
                      <m:t>=</m:t>
                    </m:r>
                    <m:d>
                      <m:dPr>
                        <m:ctrlPr>
                          <a:rPr lang="pt-BR" sz="1100" b="0" i="1">
                            <a:latin typeface="Cambria Math" panose="02040503050406030204" pitchFamily="18" charset="0"/>
                          </a:rPr>
                        </m:ctrlPr>
                      </m:dPr>
                      <m:e>
                        <m:r>
                          <a:rPr lang="pt-BR" sz="1100" b="0" i="1">
                            <a:latin typeface="Cambria Math" panose="02040503050406030204" pitchFamily="18" charset="0"/>
                          </a:rPr>
                          <m:t>𝑘</m:t>
                        </m:r>
                        <m:r>
                          <a:rPr lang="pt-BR" sz="1100" b="0" i="1">
                            <a:latin typeface="Cambria Math" panose="02040503050406030204" pitchFamily="18" charset="0"/>
                          </a:rPr>
                          <m:t> . </m:t>
                        </m:r>
                        <m:sSup>
                          <m:sSupPr>
                            <m:ctrlPr>
                              <a:rPr lang="pt-BR" sz="1100" b="0" i="1">
                                <a:latin typeface="Cambria Math" panose="02040503050406030204" pitchFamily="18" charset="0"/>
                              </a:rPr>
                            </m:ctrlPr>
                          </m:sSupPr>
                          <m:e>
                            <m:r>
                              <a:rPr lang="pt-BR" sz="1100" b="0" i="1">
                                <a:latin typeface="Cambria Math" panose="02040503050406030204" pitchFamily="18" charset="0"/>
                              </a:rPr>
                              <m:t>𝑠𝐿</m:t>
                            </m:r>
                          </m:e>
                          <m:sup>
                            <m:r>
                              <a:rPr lang="pt-BR" sz="1100" b="0" i="1">
                                <a:latin typeface="Cambria Math" panose="02040503050406030204" pitchFamily="18" charset="0"/>
                              </a:rPr>
                              <m:t>0,91</m:t>
                            </m:r>
                          </m:sup>
                        </m:sSup>
                        <m:r>
                          <a:rPr lang="pt-BR" sz="1100" b="0" i="1">
                            <a:latin typeface="Cambria Math" panose="02040503050406030204" pitchFamily="18" charset="0"/>
                          </a:rPr>
                          <m:t>. </m:t>
                        </m:r>
                        <m:sSup>
                          <m:sSupPr>
                            <m:ctrlPr>
                              <a:rPr lang="pt-BR" sz="1100" b="0" i="1">
                                <a:latin typeface="Cambria Math" panose="02040503050406030204" pitchFamily="18" charset="0"/>
                              </a:rPr>
                            </m:ctrlPr>
                          </m:sSupPr>
                          <m:e>
                            <m:r>
                              <a:rPr lang="pt-BR" sz="1100" b="0" i="1">
                                <a:latin typeface="Cambria Math" panose="02040503050406030204" pitchFamily="18" charset="0"/>
                              </a:rPr>
                              <m:t>𝑊</m:t>
                            </m:r>
                          </m:e>
                          <m:sup>
                            <m:r>
                              <a:rPr lang="pt-BR" sz="1100" b="0" i="1">
                                <a:latin typeface="Cambria Math" panose="02040503050406030204" pitchFamily="18" charset="0"/>
                              </a:rPr>
                              <m:t>1,02</m:t>
                            </m:r>
                          </m:sup>
                        </m:sSup>
                      </m:e>
                    </m:d>
                    <m:r>
                      <a:rPr lang="pt-BR" sz="1100" b="0" i="1">
                        <a:latin typeface="Cambria Math" panose="02040503050406030204" pitchFamily="18" charset="0"/>
                      </a:rPr>
                      <m:t> . </m:t>
                    </m:r>
                    <m:d>
                      <m:dPr>
                        <m:ctrlPr>
                          <a:rPr lang="pt-BR" sz="1100" b="0" i="1">
                            <a:latin typeface="Cambria Math" panose="02040503050406030204" pitchFamily="18" charset="0"/>
                          </a:rPr>
                        </m:ctrlPr>
                      </m:dPr>
                      <m:e>
                        <m:r>
                          <a:rPr lang="pt-BR" sz="1100" b="0" i="1">
                            <a:latin typeface="Cambria Math" panose="02040503050406030204" pitchFamily="18" charset="0"/>
                          </a:rPr>
                          <m:t>1−1,2</m:t>
                        </m:r>
                        <m:r>
                          <a:rPr lang="pt-BR" sz="1100" b="0" i="1">
                            <a:latin typeface="Cambria Math" panose="02040503050406030204" pitchFamily="18" charset="0"/>
                          </a:rPr>
                          <m:t>𝑃</m:t>
                        </m:r>
                        <m:r>
                          <a:rPr lang="pt-BR" sz="1100" b="0" i="1">
                            <a:latin typeface="Cambria Math" panose="02040503050406030204" pitchFamily="18" charset="0"/>
                          </a:rPr>
                          <m:t>/</m:t>
                        </m:r>
                        <m:r>
                          <a:rPr lang="pt-BR" sz="1100" b="0" i="1">
                            <a:latin typeface="Cambria Math" panose="02040503050406030204" pitchFamily="18" charset="0"/>
                          </a:rPr>
                          <m:t>𝑁</m:t>
                        </m:r>
                      </m:e>
                    </m:d>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1143000" y="1576387"/>
              <a:ext cx="234315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𝐹𝐸=(𝑘 . 〖𝑠𝐿〗^0,91. 𝑊^1,02 )  . (1−1,2𝑃/𝑁)  </a:t>
              </a:r>
              <a:endParaRPr lang="pt-BR" sz="1100"/>
            </a:p>
          </xdr:txBody>
        </xdr:sp>
      </mc:Fallback>
    </mc:AlternateContent>
    <xdr:clientData/>
  </xdr:oneCellAnchor>
  <xdr:twoCellAnchor>
    <xdr:from>
      <xdr:col>2</xdr:col>
      <xdr:colOff>600076</xdr:colOff>
      <xdr:row>24</xdr:row>
      <xdr:rowOff>142875</xdr:rowOff>
    </xdr:from>
    <xdr:to>
      <xdr:col>3</xdr:col>
      <xdr:colOff>552450</xdr:colOff>
      <xdr:row>26</xdr:row>
      <xdr:rowOff>47625</xdr:rowOff>
    </xdr:to>
    <xdr:sp macro="" textlink="">
      <xdr:nvSpPr>
        <xdr:cNvPr id="3" name="Elipse 2"/>
        <xdr:cNvSpPr/>
      </xdr:nvSpPr>
      <xdr:spPr>
        <a:xfrm>
          <a:off x="2581276" y="1524000"/>
          <a:ext cx="942974" cy="2857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oneCellAnchor>
    <xdr:from>
      <xdr:col>1</xdr:col>
      <xdr:colOff>1</xdr:colOff>
      <xdr:row>9</xdr:row>
      <xdr:rowOff>0</xdr:rowOff>
    </xdr:from>
    <xdr:ext cx="2628900" cy="361830"/>
    <mc:AlternateContent xmlns:mc="http://schemas.openxmlformats.org/markup-compatibility/2006" xmlns:a14="http://schemas.microsoft.com/office/drawing/2010/main">
      <mc:Choice Requires="a14">
        <xdr:sp macro="" textlink="">
          <xdr:nvSpPr>
            <xdr:cNvPr id="4" name="CaixaDeTexto 3">
              <a:extLst>
                <a:ext uri="{FF2B5EF4-FFF2-40B4-BE49-F238E27FC236}">
                  <a16:creationId xmlns="" xmlns:a16="http://schemas.microsoft.com/office/drawing/2014/main" id="{00000000-0008-0000-0400-000002000000}"/>
                </a:ext>
              </a:extLst>
            </xdr:cNvPr>
            <xdr:cNvSpPr txBox="1"/>
          </xdr:nvSpPr>
          <xdr:spPr>
            <a:xfrm>
              <a:off x="885826" y="1933575"/>
              <a:ext cx="2628900" cy="361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000" b="0" i="1">
                        <a:latin typeface="Cambria Math" panose="02040503050406030204" pitchFamily="18" charset="0"/>
                      </a:rPr>
                      <m:t>𝐹𝐸</m:t>
                    </m:r>
                    <m:r>
                      <a:rPr lang="pt-BR" sz="1000" b="0" i="1">
                        <a:latin typeface="Cambria Math" panose="02040503050406030204" pitchFamily="18" charset="0"/>
                      </a:rPr>
                      <m:t>=</m:t>
                    </m:r>
                    <m:d>
                      <m:dPr>
                        <m:begChr m:val="["/>
                        <m:endChr m:val="]"/>
                        <m:ctrlPr>
                          <a:rPr lang="pt-BR" sz="1000" b="0" i="1">
                            <a:latin typeface="Cambria Math" panose="02040503050406030204" pitchFamily="18" charset="0"/>
                          </a:rPr>
                        </m:ctrlPr>
                      </m:dPr>
                      <m:e>
                        <m:d>
                          <m:dPr>
                            <m:ctrlPr>
                              <a:rPr lang="pt-BR" sz="1000" b="0" i="1">
                                <a:solidFill>
                                  <a:schemeClr val="tx1"/>
                                </a:solidFill>
                                <a:effectLst/>
                                <a:latin typeface="Cambria Math" panose="02040503050406030204" pitchFamily="18" charset="0"/>
                                <a:ea typeface="+mn-ea"/>
                                <a:cs typeface="+mn-cs"/>
                              </a:rPr>
                            </m:ctrlPr>
                          </m:dPr>
                          <m:e>
                            <m:r>
                              <a:rPr lang="pt-BR" sz="1000" b="0" i="1">
                                <a:solidFill>
                                  <a:schemeClr val="tx1"/>
                                </a:solidFill>
                                <a:effectLst/>
                                <a:latin typeface="Cambria Math" panose="02040503050406030204" pitchFamily="18" charset="0"/>
                                <a:ea typeface="+mn-ea"/>
                                <a:cs typeface="+mn-cs"/>
                              </a:rPr>
                              <m:t>𝑘</m:t>
                            </m:r>
                            <m:r>
                              <a:rPr lang="pt-BR" sz="1000" b="0" i="1">
                                <a:solidFill>
                                  <a:schemeClr val="tx1"/>
                                </a:solidFill>
                                <a:effectLst/>
                                <a:latin typeface="Cambria Math" panose="02040503050406030204" pitchFamily="18" charset="0"/>
                                <a:ea typeface="+mn-ea"/>
                                <a:cs typeface="+mn-cs"/>
                              </a:rPr>
                              <m:t> . </m:t>
                            </m:r>
                            <m:sSup>
                              <m:sSupPr>
                                <m:ctrlPr>
                                  <a:rPr lang="pt-BR" sz="1000" b="0" i="1">
                                    <a:solidFill>
                                      <a:schemeClr val="tx1"/>
                                    </a:solidFill>
                                    <a:effectLst/>
                                    <a:latin typeface="Cambria Math" panose="02040503050406030204" pitchFamily="18" charset="0"/>
                                    <a:ea typeface="+mn-ea"/>
                                    <a:cs typeface="+mn-cs"/>
                                  </a:rPr>
                                </m:ctrlPr>
                              </m:sSupPr>
                              <m:e>
                                <m:d>
                                  <m:dPr>
                                    <m:ctrlPr>
                                      <a:rPr lang="pt-BR" sz="1000" b="0" i="1">
                                        <a:solidFill>
                                          <a:schemeClr val="tx1"/>
                                        </a:solidFill>
                                        <a:effectLst/>
                                        <a:latin typeface="Cambria Math" panose="02040503050406030204" pitchFamily="18" charset="0"/>
                                        <a:ea typeface="+mn-ea"/>
                                        <a:cs typeface="+mn-cs"/>
                                      </a:rPr>
                                    </m:ctrlPr>
                                  </m:dPr>
                                  <m:e>
                                    <m:f>
                                      <m:fPr>
                                        <m:ctrlPr>
                                          <a:rPr lang="pt-BR" sz="1000" b="0" i="1">
                                            <a:solidFill>
                                              <a:schemeClr val="tx1"/>
                                            </a:solidFill>
                                            <a:effectLst/>
                                            <a:latin typeface="Cambria Math" panose="02040503050406030204" pitchFamily="18" charset="0"/>
                                            <a:ea typeface="+mn-ea"/>
                                            <a:cs typeface="+mn-cs"/>
                                          </a:rPr>
                                        </m:ctrlPr>
                                      </m:fPr>
                                      <m:num>
                                        <m:r>
                                          <a:rPr lang="pt-BR" sz="1000" b="0" i="1">
                                            <a:solidFill>
                                              <a:schemeClr val="tx1"/>
                                            </a:solidFill>
                                            <a:effectLst/>
                                            <a:latin typeface="Cambria Math" panose="02040503050406030204" pitchFamily="18" charset="0"/>
                                            <a:ea typeface="+mn-ea"/>
                                            <a:cs typeface="+mn-cs"/>
                                          </a:rPr>
                                          <m:t>𝑠</m:t>
                                        </m:r>
                                      </m:num>
                                      <m:den>
                                        <m:r>
                                          <a:rPr lang="pt-BR" sz="1000" b="0" i="1">
                                            <a:solidFill>
                                              <a:schemeClr val="tx1"/>
                                            </a:solidFill>
                                            <a:effectLst/>
                                            <a:latin typeface="Cambria Math" panose="02040503050406030204" pitchFamily="18" charset="0"/>
                                            <a:ea typeface="+mn-ea"/>
                                            <a:cs typeface="+mn-cs"/>
                                          </a:rPr>
                                          <m:t>12</m:t>
                                        </m:r>
                                      </m:den>
                                    </m:f>
                                  </m:e>
                                </m:d>
                              </m:e>
                              <m:sup>
                                <m:r>
                                  <a:rPr lang="pt-BR" sz="1000" b="0" i="1">
                                    <a:solidFill>
                                      <a:schemeClr val="tx1"/>
                                    </a:solidFill>
                                    <a:effectLst/>
                                    <a:latin typeface="Cambria Math" panose="02040503050406030204" pitchFamily="18" charset="0"/>
                                    <a:ea typeface="+mn-ea"/>
                                    <a:cs typeface="+mn-cs"/>
                                  </a:rPr>
                                  <m:t>𝑎</m:t>
                                </m:r>
                              </m:sup>
                            </m:sSup>
                            <m:r>
                              <a:rPr lang="pt-BR" sz="1000" b="0" i="1">
                                <a:solidFill>
                                  <a:schemeClr val="tx1"/>
                                </a:solidFill>
                                <a:effectLst/>
                                <a:latin typeface="Cambria Math" panose="02040503050406030204" pitchFamily="18" charset="0"/>
                                <a:ea typeface="+mn-ea"/>
                                <a:cs typeface="+mn-cs"/>
                              </a:rPr>
                              <m:t>.  </m:t>
                            </m:r>
                            <m:sSup>
                              <m:sSupPr>
                                <m:ctrlPr>
                                  <a:rPr lang="pt-BR" sz="1000" b="0" i="1">
                                    <a:solidFill>
                                      <a:schemeClr val="tx1"/>
                                    </a:solidFill>
                                    <a:effectLst/>
                                    <a:latin typeface="Cambria Math" panose="02040503050406030204" pitchFamily="18" charset="0"/>
                                    <a:ea typeface="+mn-ea"/>
                                    <a:cs typeface="+mn-cs"/>
                                  </a:rPr>
                                </m:ctrlPr>
                              </m:sSupPr>
                              <m:e>
                                <m:d>
                                  <m:dPr>
                                    <m:ctrlPr>
                                      <a:rPr lang="pt-BR" sz="1000" b="0" i="1">
                                        <a:solidFill>
                                          <a:schemeClr val="tx1"/>
                                        </a:solidFill>
                                        <a:effectLst/>
                                        <a:latin typeface="Cambria Math" panose="02040503050406030204" pitchFamily="18" charset="0"/>
                                        <a:ea typeface="+mn-ea"/>
                                        <a:cs typeface="+mn-cs"/>
                                      </a:rPr>
                                    </m:ctrlPr>
                                  </m:dPr>
                                  <m:e>
                                    <m:f>
                                      <m:fPr>
                                        <m:ctrlPr>
                                          <a:rPr lang="pt-BR" sz="1000" b="0" i="1">
                                            <a:solidFill>
                                              <a:schemeClr val="tx1"/>
                                            </a:solidFill>
                                            <a:effectLst/>
                                            <a:latin typeface="Cambria Math" panose="02040503050406030204" pitchFamily="18" charset="0"/>
                                            <a:ea typeface="+mn-ea"/>
                                            <a:cs typeface="+mn-cs"/>
                                          </a:rPr>
                                        </m:ctrlPr>
                                      </m:fPr>
                                      <m:num>
                                        <m:r>
                                          <a:rPr lang="pt-BR" sz="1000" b="0" i="1">
                                            <a:solidFill>
                                              <a:schemeClr val="tx1"/>
                                            </a:solidFill>
                                            <a:effectLst/>
                                            <a:latin typeface="Cambria Math" panose="02040503050406030204" pitchFamily="18" charset="0"/>
                                            <a:ea typeface="+mn-ea"/>
                                            <a:cs typeface="+mn-cs"/>
                                          </a:rPr>
                                          <m:t>𝑊</m:t>
                                        </m:r>
                                      </m:num>
                                      <m:den>
                                        <m:r>
                                          <a:rPr lang="pt-BR" sz="1000" b="0" i="1">
                                            <a:solidFill>
                                              <a:schemeClr val="tx1"/>
                                            </a:solidFill>
                                            <a:effectLst/>
                                            <a:latin typeface="Cambria Math" panose="02040503050406030204" pitchFamily="18" charset="0"/>
                                            <a:ea typeface="+mn-ea"/>
                                            <a:cs typeface="+mn-cs"/>
                                          </a:rPr>
                                          <m:t>3</m:t>
                                        </m:r>
                                      </m:den>
                                    </m:f>
                                  </m:e>
                                </m:d>
                              </m:e>
                              <m:sup>
                                <m:r>
                                  <a:rPr lang="pt-BR" sz="1000" b="0" i="1">
                                    <a:solidFill>
                                      <a:schemeClr val="tx1"/>
                                    </a:solidFill>
                                    <a:effectLst/>
                                    <a:latin typeface="Cambria Math" panose="02040503050406030204" pitchFamily="18" charset="0"/>
                                    <a:ea typeface="+mn-ea"/>
                                    <a:cs typeface="+mn-cs"/>
                                  </a:rPr>
                                  <m:t>𝑏</m:t>
                                </m:r>
                              </m:sup>
                            </m:sSup>
                          </m:e>
                        </m:d>
                        <m:r>
                          <a:rPr lang="pt-BR" sz="1000" b="0" i="1">
                            <a:solidFill>
                              <a:schemeClr val="tx1"/>
                            </a:solidFill>
                            <a:effectLst/>
                            <a:latin typeface="Cambria Math" panose="02040503050406030204" pitchFamily="18" charset="0"/>
                            <a:ea typeface="+mn-ea"/>
                            <a:cs typeface="+mn-cs"/>
                          </a:rPr>
                          <m:t> . (</m:t>
                        </m:r>
                        <m:d>
                          <m:dPr>
                            <m:ctrlPr>
                              <a:rPr lang="pt-BR" sz="1000" b="0" i="1">
                                <a:solidFill>
                                  <a:schemeClr val="tx1"/>
                                </a:solidFill>
                                <a:effectLst/>
                                <a:latin typeface="Cambria Math" panose="02040503050406030204" pitchFamily="18" charset="0"/>
                                <a:ea typeface="+mn-ea"/>
                                <a:cs typeface="+mn-cs"/>
                              </a:rPr>
                            </m:ctrlPr>
                          </m:dPr>
                          <m:e>
                            <m:r>
                              <a:rPr lang="pt-BR" sz="1000" b="0" i="1">
                                <a:solidFill>
                                  <a:schemeClr val="tx1"/>
                                </a:solidFill>
                                <a:effectLst/>
                                <a:latin typeface="Cambria Math" panose="02040503050406030204" pitchFamily="18" charset="0"/>
                                <a:ea typeface="+mn-ea"/>
                                <a:cs typeface="+mn-cs"/>
                              </a:rPr>
                              <m:t>365−</m:t>
                            </m:r>
                            <m:r>
                              <a:rPr lang="pt-BR" sz="1000" b="0" i="1">
                                <a:solidFill>
                                  <a:schemeClr val="tx1"/>
                                </a:solidFill>
                                <a:effectLst/>
                                <a:latin typeface="Cambria Math" panose="02040503050406030204" pitchFamily="18" charset="0"/>
                                <a:ea typeface="+mn-ea"/>
                                <a:cs typeface="+mn-cs"/>
                              </a:rPr>
                              <m:t>𝑃</m:t>
                            </m:r>
                            <m:r>
                              <a:rPr lang="pt-BR" sz="1000" b="0" i="1">
                                <a:solidFill>
                                  <a:schemeClr val="tx1"/>
                                </a:solidFill>
                                <a:effectLst/>
                                <a:latin typeface="Cambria Math" panose="02040503050406030204" pitchFamily="18" charset="0"/>
                                <a:ea typeface="+mn-ea"/>
                                <a:cs typeface="+mn-cs"/>
                              </a:rPr>
                              <m:t>)/365)</m:t>
                            </m:r>
                          </m:e>
                        </m:d>
                      </m:e>
                    </m:d>
                    <m:r>
                      <a:rPr lang="pt-BR" sz="1000" b="0" i="1">
                        <a:latin typeface="Cambria Math" panose="02040503050406030204" pitchFamily="18" charset="0"/>
                      </a:rPr>
                      <m:t> </m:t>
                    </m:r>
                  </m:oMath>
                </m:oMathPara>
              </a14:m>
              <a:endParaRPr lang="pt-BR" sz="1000"/>
            </a:p>
          </xdr:txBody>
        </xdr:sp>
      </mc:Choice>
      <mc:Fallback xmlns="">
        <xdr:sp macro="" textlink="">
          <xdr:nvSpPr>
            <xdr:cNvPr id="4" name="CaixaDeTexto 3">
              <a:extLst>
                <a:ext uri="{FF2B5EF4-FFF2-40B4-BE49-F238E27FC236}">
                  <a16:creationId xmlns="" xmlns:a16="http://schemas.microsoft.com/office/drawing/2014/main" xmlns:a14="http://schemas.microsoft.com/office/drawing/2010/main" id="{00000000-0008-0000-0400-000002000000}"/>
                </a:ext>
              </a:extLst>
            </xdr:cNvPr>
            <xdr:cNvSpPr txBox="1"/>
          </xdr:nvSpPr>
          <xdr:spPr>
            <a:xfrm>
              <a:off x="885826" y="1933575"/>
              <a:ext cx="2628900" cy="361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000" b="0" i="0">
                  <a:latin typeface="Cambria Math" panose="02040503050406030204" pitchFamily="18" charset="0"/>
                </a:rPr>
                <a:t>𝐹𝐸=[</a:t>
              </a:r>
              <a:r>
                <a:rPr lang="pt-BR" sz="1000" b="0" i="0">
                  <a:solidFill>
                    <a:schemeClr val="tx1"/>
                  </a:solidFill>
                  <a:effectLst/>
                  <a:latin typeface="Cambria Math" panose="02040503050406030204" pitchFamily="18" charset="0"/>
                  <a:ea typeface="+mn-ea"/>
                  <a:cs typeface="+mn-cs"/>
                </a:rPr>
                <a:t>(𝑘 . (𝑠/12)^𝑎.  (𝑊/3)^𝑏 )  . ((365−𝑃)/365))] </a:t>
              </a:r>
              <a:r>
                <a:rPr lang="pt-BR" sz="1000" b="0" i="0">
                  <a:latin typeface="Cambria Math" panose="02040503050406030204" pitchFamily="18" charset="0"/>
                </a:rPr>
                <a:t> </a:t>
              </a:r>
              <a:endParaRPr lang="pt-BR" sz="1000"/>
            </a:p>
          </xdr:txBody>
        </xdr:sp>
      </mc:Fallback>
    </mc:AlternateContent>
    <xdr:clientData/>
  </xdr:oneCellAnchor>
  <xdr:twoCellAnchor>
    <xdr:from>
      <xdr:col>2</xdr:col>
      <xdr:colOff>552450</xdr:colOff>
      <xdr:row>9</xdr:row>
      <xdr:rowOff>0</xdr:rowOff>
    </xdr:from>
    <xdr:to>
      <xdr:col>3</xdr:col>
      <xdr:colOff>533400</xdr:colOff>
      <xdr:row>10</xdr:row>
      <xdr:rowOff>180976</xdr:rowOff>
    </xdr:to>
    <xdr:sp macro="" textlink="">
      <xdr:nvSpPr>
        <xdr:cNvPr id="5" name="Elipse 4">
          <a:extLst>
            <a:ext uri="{FF2B5EF4-FFF2-40B4-BE49-F238E27FC236}">
              <a16:creationId xmlns="" xmlns:a16="http://schemas.microsoft.com/office/drawing/2014/main" id="{00000000-0008-0000-0400-000003000000}"/>
            </a:ext>
          </a:extLst>
        </xdr:cNvPr>
        <xdr:cNvSpPr/>
      </xdr:nvSpPr>
      <xdr:spPr>
        <a:xfrm>
          <a:off x="2533650" y="1952625"/>
          <a:ext cx="971550" cy="371476"/>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anessa\Documents\Vanessa\Inventario%20QAr%20RGV\Invent&#225;rio\Modelos\Holcim\Memorial_Holci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dos"/>
      <sheetName val="Monitoramento"/>
      <sheetName val="FE - Combustao"/>
      <sheetName val="FE - Maq e Equip"/>
      <sheetName val="FE - Transferências"/>
      <sheetName val="FE - Vias"/>
      <sheetName val="Emissão Chaminés"/>
      <sheetName val="Emissão Transferências"/>
      <sheetName val="Emissão Vias"/>
      <sheetName val="Emissão Maq e Equip"/>
      <sheetName val="Resumo"/>
    </sheetNames>
    <sheetDataSet>
      <sheetData sheetId="0"/>
      <sheetData sheetId="1"/>
      <sheetData sheetId="2"/>
      <sheetData sheetId="3">
        <row r="3">
          <cell r="B3" t="str">
            <v>Rubber Tired Loaders - 25</v>
          </cell>
          <cell r="C3">
            <v>4.1647481574952775E-3</v>
          </cell>
          <cell r="D3">
            <v>6.5318933034944765E-2</v>
          </cell>
          <cell r="E3">
            <v>9.7431139391112798E-5</v>
          </cell>
          <cell r="F3">
            <v>3.2117661168667613E-2</v>
          </cell>
          <cell r="G3">
            <v>1.0013560541894806E-2</v>
          </cell>
          <cell r="H3">
            <v>7.6789363702976381</v>
          </cell>
          <cell r="I3">
            <v>9.0350737078986789E-4</v>
          </cell>
        </row>
        <row r="4">
          <cell r="B4" t="str">
            <v>Rubber Tired Loaders - 50</v>
          </cell>
          <cell r="C4">
            <v>1.9389461005136124E-2</v>
          </cell>
          <cell r="D4">
            <v>0.15850781980120351</v>
          </cell>
          <cell r="E4">
            <v>1.8265581631205882E-4</v>
          </cell>
          <cell r="F4">
            <v>0.19953638186759515</v>
          </cell>
          <cell r="G4">
            <v>8.7889870552575564E-2</v>
          </cell>
          <cell r="H4">
            <v>14.129238189499569</v>
          </cell>
          <cell r="I4">
            <v>7.9301638618412291E-3</v>
          </cell>
        </row>
        <row r="5">
          <cell r="B5" t="str">
            <v>Rubber Tired Loaders - 120</v>
          </cell>
          <cell r="C5">
            <v>3.5159649405128737E-2</v>
          </cell>
          <cell r="D5">
            <v>0.39013010201093185</v>
          </cell>
          <cell r="E5">
            <v>3.1347091665644508E-4</v>
          </cell>
          <cell r="F5">
            <v>0.2004419223709539</v>
          </cell>
          <cell r="G5">
            <v>6.7138814469940591E-2</v>
          </cell>
          <cell r="H5">
            <v>26.722695910514073</v>
          </cell>
          <cell r="I5">
            <v>6.0578280967871325E-3</v>
          </cell>
        </row>
        <row r="6">
          <cell r="B6" t="str">
            <v>Rubber Tired Loaders - 175</v>
          </cell>
          <cell r="C6">
            <v>3.4873730864910753E-2</v>
          </cell>
          <cell r="D6">
            <v>0.62819014565488085</v>
          </cell>
          <cell r="E6">
            <v>5.4259968788077681E-4</v>
          </cell>
          <cell r="F6">
            <v>0.29143683660988179</v>
          </cell>
          <cell r="G6">
            <v>7.9806989940830519E-2</v>
          </cell>
          <cell r="H6">
            <v>48.223729179933819</v>
          </cell>
          <cell r="I6">
            <v>7.2008552575325378E-3</v>
          </cell>
        </row>
        <row r="7">
          <cell r="B7" t="str">
            <v>Rubber Tired Loaders - 250</v>
          </cell>
          <cell r="C7">
            <v>3.101083119228833E-2</v>
          </cell>
          <cell r="D7">
            <v>0.83698143551687265</v>
          </cell>
          <cell r="E7">
            <v>7.6033040375300068E-4</v>
          </cell>
          <cell r="F7">
            <v>0.22495851814724077</v>
          </cell>
          <cell r="G7">
            <v>8.0781384871570633E-2</v>
          </cell>
          <cell r="H7">
            <v>67.57462749683539</v>
          </cell>
          <cell r="I7">
            <v>7.2887737155482657E-3</v>
          </cell>
        </row>
        <row r="8">
          <cell r="B8" t="str">
            <v>Rubber Tired Loaders - 500</v>
          </cell>
          <cell r="C8">
            <v>4.4312637095619792E-2</v>
          </cell>
          <cell r="D8">
            <v>1.1811178567160983</v>
          </cell>
          <cell r="E8">
            <v>1.0551972934755545E-3</v>
          </cell>
          <cell r="F8">
            <v>0.44023160723795168</v>
          </cell>
          <cell r="G8">
            <v>0.11468313954524458</v>
          </cell>
          <cell r="H8">
            <v>107.50511325477065</v>
          </cell>
          <cell r="I8">
            <v>1.0347677695252593E-2</v>
          </cell>
        </row>
        <row r="9">
          <cell r="B9" t="str">
            <v>Rubber Tired Loaders - 750</v>
          </cell>
          <cell r="C9">
            <v>9.1699292295937748E-2</v>
          </cell>
          <cell r="D9">
            <v>2.4816495823931239</v>
          </cell>
          <cell r="E9">
            <v>2.2143711863278365E-3</v>
          </cell>
          <cell r="F9">
            <v>0.8977989810489746</v>
          </cell>
          <cell r="G9">
            <v>0.2376690359121682</v>
          </cell>
          <cell r="H9">
            <v>220.23193257962103</v>
          </cell>
          <cell r="I9">
            <v>2.1444490325478866E-2</v>
          </cell>
        </row>
        <row r="10">
          <cell r="B10" t="str">
            <v>Rubber Tired Loaders - 1000</v>
          </cell>
          <cell r="C10">
            <v>0.11281698418835924</v>
          </cell>
          <cell r="D10">
            <v>3.6320533542247149</v>
          </cell>
          <cell r="E10">
            <v>2.708513011176045E-3</v>
          </cell>
          <cell r="F10">
            <v>1.2834306373108464</v>
          </cell>
          <cell r="G10">
            <v>0.33188731556128104</v>
          </cell>
          <cell r="H10">
            <v>269.37717766866973</v>
          </cell>
          <cell r="I10">
            <v>2.9945664738985911E-2</v>
          </cell>
        </row>
      </sheetData>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2"/>
  <sheetViews>
    <sheetView zoomScaleNormal="100" workbookViewId="0">
      <selection activeCell="C11" sqref="C11"/>
    </sheetView>
  </sheetViews>
  <sheetFormatPr defaultRowHeight="15" customHeight="1" x14ac:dyDescent="0.2"/>
  <cols>
    <col min="1" max="1" width="40.140625" style="65" customWidth="1"/>
    <col min="2" max="2" width="20.7109375" style="65" bestFit="1" customWidth="1"/>
    <col min="3" max="3" width="14.7109375" style="65" customWidth="1"/>
    <col min="4" max="4" width="18.28515625" style="65" customWidth="1"/>
    <col min="5" max="5" width="18.140625" style="65" bestFit="1" customWidth="1"/>
    <col min="6" max="6" width="17.85546875" style="65" bestFit="1" customWidth="1"/>
    <col min="7" max="7" width="39.7109375" style="65" bestFit="1" customWidth="1"/>
    <col min="8" max="8" width="13.42578125" style="65" bestFit="1" customWidth="1"/>
    <col min="9" max="9" width="9.140625" style="65"/>
    <col min="10" max="10" width="23.5703125" style="65" bestFit="1" customWidth="1"/>
    <col min="11" max="11" width="20.7109375" style="65" bestFit="1" customWidth="1"/>
    <col min="12" max="12" width="9.85546875" style="65" customWidth="1"/>
    <col min="13" max="13" width="20.28515625" style="65" customWidth="1"/>
    <col min="14" max="14" width="9.28515625" style="65" customWidth="1"/>
    <col min="15" max="15" width="10" style="65" customWidth="1"/>
    <col min="16" max="16" width="41.28515625" style="65" bestFit="1" customWidth="1"/>
    <col min="17" max="18" width="9.28515625" style="65" customWidth="1"/>
    <col min="19" max="19" width="14.42578125" style="65" customWidth="1"/>
    <col min="20" max="20" width="21.140625" style="65" bestFit="1" customWidth="1"/>
    <col min="21" max="21" width="11.28515625" style="65" bestFit="1" customWidth="1"/>
    <col min="22" max="22" width="13.85546875" style="65" customWidth="1"/>
    <col min="23" max="23" width="17.85546875" style="65" bestFit="1" customWidth="1"/>
    <col min="24" max="24" width="11.28515625" style="65" bestFit="1" customWidth="1"/>
    <col min="25" max="16384" width="9.140625" style="65"/>
  </cols>
  <sheetData>
    <row r="1" spans="1:20" ht="15" customHeight="1" x14ac:dyDescent="0.2">
      <c r="A1" s="91" t="s">
        <v>237</v>
      </c>
    </row>
    <row r="2" spans="1:20" ht="15" customHeight="1" x14ac:dyDescent="0.2">
      <c r="A2" s="91"/>
    </row>
    <row r="3" spans="1:20" ht="15" customHeight="1" x14ac:dyDescent="0.2">
      <c r="A3" s="101" t="s">
        <v>172</v>
      </c>
      <c r="B3" s="85" t="s">
        <v>176</v>
      </c>
    </row>
    <row r="4" spans="1:20" ht="21" customHeight="1" x14ac:dyDescent="0.2">
      <c r="A4" s="98" t="s">
        <v>173</v>
      </c>
      <c r="B4" s="99" t="s">
        <v>177</v>
      </c>
    </row>
    <row r="5" spans="1:20" ht="21" customHeight="1" x14ac:dyDescent="0.2">
      <c r="A5" s="91" t="s">
        <v>174</v>
      </c>
      <c r="B5" s="91" t="s">
        <v>179</v>
      </c>
    </row>
    <row r="6" spans="1:20" ht="21" customHeight="1" x14ac:dyDescent="0.2">
      <c r="A6" s="91" t="s">
        <v>175</v>
      </c>
      <c r="B6" s="99" t="s">
        <v>178</v>
      </c>
    </row>
    <row r="7" spans="1:20" ht="21" customHeight="1" x14ac:dyDescent="0.2">
      <c r="A7" s="91" t="s">
        <v>180</v>
      </c>
      <c r="B7" s="91" t="s">
        <v>181</v>
      </c>
    </row>
    <row r="8" spans="1:20" ht="15" customHeight="1" x14ac:dyDescent="0.2">
      <c r="A8" s="91"/>
    </row>
    <row r="9" spans="1:20" ht="15" customHeight="1" x14ac:dyDescent="0.2">
      <c r="A9" s="140" t="s">
        <v>224</v>
      </c>
      <c r="B9" s="140"/>
      <c r="C9" s="91"/>
      <c r="D9" s="34"/>
      <c r="E9" s="34"/>
      <c r="F9" s="91"/>
      <c r="G9" s="71"/>
      <c r="H9" s="70"/>
      <c r="I9" s="70"/>
      <c r="J9" s="67"/>
      <c r="L9" s="78"/>
      <c r="M9" s="78"/>
    </row>
    <row r="10" spans="1:20" ht="15" customHeight="1" x14ac:dyDescent="0.2">
      <c r="A10" s="91" t="s">
        <v>225</v>
      </c>
      <c r="B10" s="127">
        <v>582987</v>
      </c>
      <c r="C10" s="91"/>
      <c r="F10" s="91"/>
      <c r="G10" s="70"/>
      <c r="H10" s="70"/>
      <c r="I10" s="70"/>
      <c r="P10" s="67"/>
      <c r="Q10" s="67"/>
      <c r="S10" s="66"/>
      <c r="T10" s="71"/>
    </row>
    <row r="11" spans="1:20" ht="15" customHeight="1" x14ac:dyDescent="0.2">
      <c r="A11" s="91"/>
      <c r="B11" s="92"/>
      <c r="C11" s="91"/>
      <c r="D11" s="93"/>
      <c r="E11" s="93"/>
      <c r="F11" s="91"/>
      <c r="G11" s="70"/>
      <c r="H11" s="77"/>
      <c r="I11" s="70"/>
      <c r="P11" s="79"/>
      <c r="Q11" s="79"/>
      <c r="S11" s="79"/>
      <c r="T11" s="68"/>
    </row>
    <row r="12" spans="1:20" ht="15" customHeight="1" x14ac:dyDescent="0.2">
      <c r="A12" s="140" t="s">
        <v>19</v>
      </c>
      <c r="B12" s="140"/>
      <c r="C12" s="91"/>
      <c r="D12" s="93"/>
      <c r="E12" s="93"/>
      <c r="F12" s="91"/>
      <c r="G12" s="70"/>
      <c r="H12" s="69"/>
      <c r="I12" s="70"/>
      <c r="J12" s="72"/>
      <c r="K12" s="72"/>
      <c r="L12" s="70"/>
      <c r="R12" s="68"/>
      <c r="T12" s="68"/>
    </row>
    <row r="13" spans="1:20" ht="15" customHeight="1" x14ac:dyDescent="0.2">
      <c r="A13" s="91" t="s">
        <v>13</v>
      </c>
      <c r="B13" s="124" t="s">
        <v>12</v>
      </c>
      <c r="C13" s="91"/>
      <c r="D13" s="93"/>
      <c r="E13" s="93"/>
      <c r="F13" s="91"/>
      <c r="G13" s="70"/>
      <c r="H13" s="69"/>
      <c r="I13" s="70"/>
      <c r="J13" s="70"/>
      <c r="K13" s="69"/>
      <c r="L13" s="70"/>
    </row>
    <row r="14" spans="1:20" ht="15" customHeight="1" x14ac:dyDescent="0.2">
      <c r="A14" s="91" t="s">
        <v>14</v>
      </c>
      <c r="B14" s="128">
        <v>2947804.95</v>
      </c>
      <c r="C14" s="91"/>
      <c r="D14" s="93"/>
      <c r="E14" s="93"/>
      <c r="F14" s="91"/>
      <c r="G14" s="71"/>
      <c r="H14" s="70"/>
      <c r="I14" s="70"/>
      <c r="J14" s="70"/>
      <c r="K14" s="69"/>
      <c r="L14" s="70"/>
    </row>
    <row r="15" spans="1:20" ht="15" customHeight="1" x14ac:dyDescent="0.2">
      <c r="A15" s="94"/>
      <c r="B15" s="94"/>
      <c r="C15" s="94"/>
      <c r="D15" s="95"/>
      <c r="E15" s="94"/>
      <c r="F15" s="91"/>
      <c r="G15" s="70"/>
      <c r="H15" s="77"/>
      <c r="I15" s="70"/>
      <c r="J15" s="70"/>
      <c r="K15" s="69"/>
      <c r="L15" s="70"/>
    </row>
    <row r="16" spans="1:20" ht="15" customHeight="1" x14ac:dyDescent="0.2">
      <c r="A16" s="84" t="s">
        <v>15</v>
      </c>
      <c r="B16" s="84" t="s">
        <v>29</v>
      </c>
      <c r="C16" s="84" t="s">
        <v>31</v>
      </c>
      <c r="D16" s="84" t="s">
        <v>32</v>
      </c>
      <c r="E16" s="84" t="s">
        <v>33</v>
      </c>
      <c r="F16" s="91"/>
      <c r="G16" s="120"/>
      <c r="H16" s="120"/>
      <c r="I16" s="120"/>
      <c r="J16" s="120"/>
      <c r="K16" s="69"/>
      <c r="L16" s="70"/>
    </row>
    <row r="17" spans="1:14" ht="15" customHeight="1" x14ac:dyDescent="0.2">
      <c r="A17" s="86" t="s">
        <v>28</v>
      </c>
      <c r="B17" s="86" t="s">
        <v>30</v>
      </c>
      <c r="C17" s="86">
        <v>1</v>
      </c>
      <c r="D17" s="86">
        <v>162</v>
      </c>
      <c r="E17" s="131">
        <v>5800</v>
      </c>
      <c r="F17" s="91"/>
      <c r="G17" s="70"/>
      <c r="H17" s="70"/>
      <c r="I17" s="70"/>
      <c r="J17" s="71"/>
      <c r="K17" s="70"/>
      <c r="L17" s="70"/>
    </row>
    <row r="18" spans="1:14" ht="15" customHeight="1" x14ac:dyDescent="0.2">
      <c r="A18" s="91"/>
      <c r="B18" s="92"/>
      <c r="C18" s="91"/>
      <c r="D18" s="91"/>
      <c r="E18" s="93"/>
      <c r="F18" s="91"/>
      <c r="G18" s="70"/>
      <c r="H18" s="76"/>
      <c r="I18" s="70"/>
      <c r="J18" s="70"/>
      <c r="K18" s="70"/>
      <c r="L18" s="70"/>
    </row>
    <row r="19" spans="1:14" ht="15" customHeight="1" x14ac:dyDescent="0.2">
      <c r="A19" s="130" t="s">
        <v>20</v>
      </c>
      <c r="B19" s="124">
        <v>80</v>
      </c>
      <c r="C19" s="97"/>
      <c r="D19" s="91"/>
      <c r="E19" s="93"/>
      <c r="F19" s="91"/>
      <c r="J19" s="70"/>
      <c r="K19" s="70"/>
      <c r="L19" s="70"/>
    </row>
    <row r="20" spans="1:14" ht="15" customHeight="1" x14ac:dyDescent="0.2">
      <c r="A20" s="91"/>
      <c r="B20" s="91"/>
      <c r="C20" s="91"/>
      <c r="D20" s="91"/>
      <c r="E20" s="91"/>
      <c r="F20" s="91"/>
      <c r="G20" s="73"/>
      <c r="H20" s="74"/>
      <c r="I20" s="70"/>
      <c r="J20" s="70"/>
      <c r="K20" s="70"/>
      <c r="L20" s="70"/>
      <c r="M20" s="70"/>
      <c r="N20" s="70"/>
    </row>
    <row r="21" spans="1:14" ht="15" customHeight="1" x14ac:dyDescent="0.2">
      <c r="A21" s="141" t="s">
        <v>227</v>
      </c>
      <c r="B21" s="142"/>
      <c r="C21" s="143"/>
      <c r="E21" s="91"/>
      <c r="F21" s="91"/>
      <c r="G21" s="70"/>
      <c r="H21" s="70"/>
      <c r="I21" s="70"/>
      <c r="J21" s="70"/>
      <c r="K21" s="70"/>
      <c r="L21" s="70"/>
      <c r="M21" s="70"/>
      <c r="N21" s="70"/>
    </row>
    <row r="22" spans="1:14" ht="15" customHeight="1" x14ac:dyDescent="0.2">
      <c r="A22" s="119" t="s">
        <v>228</v>
      </c>
      <c r="B22" s="119" t="s">
        <v>251</v>
      </c>
      <c r="C22" s="119" t="s">
        <v>252</v>
      </c>
      <c r="E22" s="96"/>
      <c r="F22" s="86"/>
      <c r="G22" s="35"/>
      <c r="H22" s="72"/>
      <c r="I22" s="75"/>
      <c r="J22" s="72"/>
      <c r="K22" s="72"/>
      <c r="L22" s="72"/>
      <c r="M22" s="75"/>
      <c r="N22" s="70"/>
    </row>
    <row r="23" spans="1:14" ht="15.75" customHeight="1" x14ac:dyDescent="0.2">
      <c r="A23" s="91" t="s">
        <v>229</v>
      </c>
      <c r="B23" s="127">
        <v>159977</v>
      </c>
      <c r="C23" s="129">
        <v>162696</v>
      </c>
      <c r="E23" s="91"/>
      <c r="F23" s="91"/>
      <c r="G23" s="35"/>
      <c r="H23" s="74"/>
      <c r="I23" s="74"/>
      <c r="J23" s="74"/>
      <c r="K23" s="74"/>
      <c r="L23" s="74"/>
      <c r="M23" s="74"/>
      <c r="N23" s="70"/>
    </row>
    <row r="24" spans="1:14" ht="15" customHeight="1" x14ac:dyDescent="0.2">
      <c r="A24" s="91" t="s">
        <v>16</v>
      </c>
      <c r="B24" s="129">
        <v>12101</v>
      </c>
      <c r="C24" s="129">
        <v>10648</v>
      </c>
      <c r="E24" s="91"/>
      <c r="F24" s="91"/>
      <c r="G24" s="35"/>
      <c r="H24" s="74"/>
      <c r="I24" s="74"/>
      <c r="J24" s="74"/>
      <c r="K24" s="74"/>
      <c r="L24" s="73"/>
      <c r="M24" s="74"/>
      <c r="N24" s="70"/>
    </row>
    <row r="25" spans="1:14" ht="15" customHeight="1" x14ac:dyDescent="0.2">
      <c r="A25" s="91" t="s">
        <v>17</v>
      </c>
      <c r="B25" s="129">
        <v>24602</v>
      </c>
      <c r="C25" s="129">
        <v>23551</v>
      </c>
      <c r="E25" s="91"/>
      <c r="F25" s="91"/>
    </row>
    <row r="26" spans="1:14" ht="15" customHeight="1" x14ac:dyDescent="0.2">
      <c r="A26" s="91" t="s">
        <v>230</v>
      </c>
      <c r="B26" s="129">
        <v>541931</v>
      </c>
      <c r="C26" s="129">
        <v>407033</v>
      </c>
      <c r="E26" s="91"/>
      <c r="F26" s="91"/>
    </row>
    <row r="27" spans="1:14" ht="15" customHeight="1" x14ac:dyDescent="0.2">
      <c r="A27" s="91" t="s">
        <v>253</v>
      </c>
      <c r="B27" s="100"/>
      <c r="C27" s="129">
        <v>201407</v>
      </c>
      <c r="E27" s="91"/>
      <c r="F27" s="91"/>
    </row>
    <row r="28" spans="1:14" ht="15" customHeight="1" x14ac:dyDescent="0.2">
      <c r="A28" s="91" t="s">
        <v>231</v>
      </c>
      <c r="B28" s="100"/>
      <c r="C28" s="129">
        <v>382310</v>
      </c>
      <c r="E28" s="91"/>
      <c r="F28" s="91"/>
    </row>
    <row r="29" spans="1:14" ht="15" customHeight="1" x14ac:dyDescent="0.2">
      <c r="A29" s="91" t="s">
        <v>232</v>
      </c>
      <c r="B29" s="100"/>
      <c r="C29" s="129">
        <v>181120</v>
      </c>
      <c r="E29" s="91"/>
      <c r="F29" s="91"/>
    </row>
    <row r="30" spans="1:14" ht="15" customHeight="1" x14ac:dyDescent="0.2">
      <c r="A30" s="91" t="s">
        <v>233</v>
      </c>
      <c r="B30" s="100"/>
      <c r="C30" s="129">
        <v>381741</v>
      </c>
      <c r="E30" s="91"/>
      <c r="F30" s="91"/>
    </row>
    <row r="31" spans="1:14" ht="15" customHeight="1" x14ac:dyDescent="0.2">
      <c r="C31" s="70"/>
    </row>
    <row r="32" spans="1:14" ht="15" customHeight="1" x14ac:dyDescent="0.2">
      <c r="C32" s="70"/>
    </row>
  </sheetData>
  <sheetProtection password="B056" sheet="1" objects="1" scenarios="1"/>
  <mergeCells count="3">
    <mergeCell ref="A9:B9"/>
    <mergeCell ref="A12:B12"/>
    <mergeCell ref="A21:C21"/>
  </mergeCells>
  <pageMargins left="0.511811024" right="0.511811024" top="0.78740157499999996" bottom="0.78740157499999996" header="0.31496062000000002" footer="0.31496062000000002"/>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
  <sheetViews>
    <sheetView zoomScaleNormal="100" workbookViewId="0">
      <selection activeCell="I23" sqref="I23"/>
    </sheetView>
  </sheetViews>
  <sheetFormatPr defaultRowHeight="15" customHeight="1" x14ac:dyDescent="0.2"/>
  <cols>
    <col min="1" max="1" width="13.42578125" style="1" bestFit="1" customWidth="1"/>
    <col min="2" max="2" width="13.42578125" style="1" customWidth="1"/>
    <col min="3" max="3" width="9.7109375" style="1" bestFit="1" customWidth="1"/>
    <col min="4" max="5" width="12.140625" style="1" customWidth="1"/>
    <col min="6" max="6" width="15" style="1" customWidth="1"/>
    <col min="7" max="7" width="10.140625" style="1" customWidth="1"/>
    <col min="8" max="8" width="12.28515625" style="1" customWidth="1"/>
    <col min="9" max="9" width="13.5703125" style="1" customWidth="1"/>
    <col min="10" max="10" width="15.140625" style="1" customWidth="1"/>
    <col min="11" max="12" width="10.7109375" style="1" customWidth="1"/>
    <col min="13" max="22" width="7.85546875" style="1" customWidth="1"/>
    <col min="23" max="25" width="7.5703125" style="1" customWidth="1"/>
    <col min="26" max="28" width="7.42578125" style="1" customWidth="1"/>
    <col min="29" max="35" width="8.28515625" style="1" customWidth="1"/>
    <col min="36" max="16384" width="9.140625" style="1"/>
  </cols>
  <sheetData>
    <row r="1" spans="1:35" ht="24" customHeight="1" x14ac:dyDescent="0.2">
      <c r="A1" s="199" t="s">
        <v>162</v>
      </c>
      <c r="B1" s="199" t="s">
        <v>121</v>
      </c>
      <c r="C1" s="189" t="s">
        <v>263</v>
      </c>
      <c r="D1" s="189" t="s">
        <v>264</v>
      </c>
      <c r="E1" s="199" t="s">
        <v>163</v>
      </c>
      <c r="F1" s="203" t="s">
        <v>164</v>
      </c>
      <c r="G1" s="201" t="s">
        <v>265</v>
      </c>
      <c r="H1" s="199" t="s">
        <v>165</v>
      </c>
      <c r="I1" s="199" t="s">
        <v>166</v>
      </c>
      <c r="J1" s="199" t="s">
        <v>119</v>
      </c>
      <c r="K1" s="199" t="s">
        <v>167</v>
      </c>
      <c r="L1" s="199"/>
      <c r="M1" s="200" t="s">
        <v>168</v>
      </c>
      <c r="N1" s="200"/>
      <c r="O1" s="200"/>
      <c r="P1" s="199" t="s">
        <v>169</v>
      </c>
      <c r="Q1" s="199"/>
      <c r="R1" s="199"/>
      <c r="S1" s="199"/>
      <c r="T1" s="199"/>
      <c r="U1" s="199"/>
      <c r="V1" s="199"/>
      <c r="W1" s="201" t="s">
        <v>254</v>
      </c>
      <c r="X1" s="200"/>
      <c r="Y1" s="202"/>
      <c r="Z1" s="201" t="s">
        <v>170</v>
      </c>
      <c r="AA1" s="200"/>
      <c r="AB1" s="202"/>
      <c r="AC1" s="198" t="s">
        <v>39</v>
      </c>
      <c r="AD1" s="198"/>
      <c r="AE1" s="198"/>
      <c r="AF1" s="198"/>
      <c r="AG1" s="198"/>
      <c r="AH1" s="198"/>
      <c r="AI1" s="198"/>
    </row>
    <row r="2" spans="1:35" ht="15" customHeight="1" x14ac:dyDescent="0.2">
      <c r="A2" s="199"/>
      <c r="B2" s="199"/>
      <c r="C2" s="189"/>
      <c r="D2" s="189"/>
      <c r="E2" s="199"/>
      <c r="F2" s="204"/>
      <c r="G2" s="201"/>
      <c r="H2" s="199"/>
      <c r="I2" s="199"/>
      <c r="J2" s="199"/>
      <c r="K2" s="87" t="s">
        <v>242</v>
      </c>
      <c r="L2" s="87" t="s">
        <v>171</v>
      </c>
      <c r="M2" s="47" t="s">
        <v>40</v>
      </c>
      <c r="N2" s="43" t="s">
        <v>41</v>
      </c>
      <c r="O2" s="48" t="s">
        <v>42</v>
      </c>
      <c r="P2" s="43" t="s">
        <v>40</v>
      </c>
      <c r="Q2" s="43" t="s">
        <v>41</v>
      </c>
      <c r="R2" s="43" t="s">
        <v>42</v>
      </c>
      <c r="S2" s="43" t="s">
        <v>43</v>
      </c>
      <c r="T2" s="43" t="s">
        <v>44</v>
      </c>
      <c r="U2" s="43" t="s">
        <v>45</v>
      </c>
      <c r="V2" s="126" t="s">
        <v>106</v>
      </c>
      <c r="W2" s="43" t="s">
        <v>40</v>
      </c>
      <c r="X2" s="43" t="s">
        <v>41</v>
      </c>
      <c r="Y2" s="43" t="s">
        <v>42</v>
      </c>
      <c r="Z2" s="43" t="s">
        <v>40</v>
      </c>
      <c r="AA2" s="43" t="s">
        <v>41</v>
      </c>
      <c r="AB2" s="43" t="s">
        <v>42</v>
      </c>
      <c r="AC2" s="43" t="s">
        <v>40</v>
      </c>
      <c r="AD2" s="43" t="s">
        <v>41</v>
      </c>
      <c r="AE2" s="43" t="s">
        <v>42</v>
      </c>
      <c r="AF2" s="43" t="s">
        <v>43</v>
      </c>
      <c r="AG2" s="43" t="s">
        <v>44</v>
      </c>
      <c r="AH2" s="43" t="s">
        <v>45</v>
      </c>
      <c r="AI2" s="43" t="s">
        <v>106</v>
      </c>
    </row>
    <row r="3" spans="1:35" ht="15" customHeight="1" x14ac:dyDescent="0.2">
      <c r="A3" s="122" t="s">
        <v>255</v>
      </c>
      <c r="B3" s="9" t="s">
        <v>240</v>
      </c>
      <c r="C3" s="8">
        <v>-20.260756000000001</v>
      </c>
      <c r="D3" s="8">
        <v>-40.235770000000002</v>
      </c>
      <c r="E3" s="9">
        <v>662</v>
      </c>
      <c r="F3" s="10">
        <f>2*Dados!$B$19/24</f>
        <v>6.666666666666667</v>
      </c>
      <c r="G3" s="49">
        <f>$E3*$F3/1000</f>
        <v>4.413333333333334</v>
      </c>
      <c r="H3" s="50">
        <v>12</v>
      </c>
      <c r="I3" s="50">
        <v>16</v>
      </c>
      <c r="J3" s="50" t="s">
        <v>243</v>
      </c>
      <c r="K3" s="50">
        <v>55</v>
      </c>
      <c r="L3" s="120">
        <v>15</v>
      </c>
      <c r="M3" s="49">
        <f>('FE-Vias'!$D$23*($H$3^0.91)*($I$3^1.02)/1000)*'FE-Vias'!$G$33</f>
        <v>0.49995782908353348</v>
      </c>
      <c r="N3" s="49">
        <f>('FE-Vias'!$C$23*($H$3^0.91)*($I$3^1.02)/1000)*'FE-Vias'!$G$33</f>
        <v>9.5967137471142647E-2</v>
      </c>
      <c r="O3" s="49">
        <f>('FE-Vias'!$B$23*($H$3^0.91)*($I$3^1.02)/1000)*'FE-Vias'!$G$33</f>
        <v>2.3217855839792575E-2</v>
      </c>
      <c r="P3" s="138">
        <f>'FE-Vias'!$B$40/1000</f>
        <v>1.7489827604766657E-4</v>
      </c>
      <c r="Q3" s="138">
        <f>'FE-Vias'!$C$40/1000</f>
        <v>1.7489827604766657E-4</v>
      </c>
      <c r="R3" s="138">
        <f>'FE-Vias'!$D$40/1000</f>
        <v>1.7489827604766657E-4</v>
      </c>
      <c r="S3" s="138">
        <f>'FE-Vias'!E$40/1000</f>
        <v>5.4345140567386742E-3</v>
      </c>
      <c r="T3" s="138">
        <f>'FE-Vias'!F$40/1000</f>
        <v>2.1032135261668511E-4</v>
      </c>
      <c r="U3" s="138">
        <f>'FE-Vias'!G$40/1000</f>
        <v>1.0383730075038094E-3</v>
      </c>
      <c r="V3" s="138">
        <f>'FE-Vias'!H$40/1000</f>
        <v>2.4766340643796463E-4</v>
      </c>
      <c r="W3" s="138">
        <f>'FE-Vias'!I$40/1000</f>
        <v>6.7633804693835879E-5</v>
      </c>
      <c r="X3" s="138">
        <f>'FE-Vias'!J$40/1000</f>
        <v>5.1332470377789449E-5</v>
      </c>
      <c r="Y3" s="138">
        <f>'FE-Vias'!K$40/1000</f>
        <v>2.7520218195668728E-5</v>
      </c>
      <c r="Z3" s="138">
        <f>'FE-Vias'!L$40/1000</f>
        <v>6.3494136177677979E-5</v>
      </c>
      <c r="AA3" s="138">
        <f>'FE-Vias'!M$40/1000</f>
        <v>3.1747068088838989E-5</v>
      </c>
      <c r="AB3" s="138">
        <f>'FE-Vias'!N$40/1000</f>
        <v>1.7137767759244576E-5</v>
      </c>
      <c r="AC3" s="137">
        <f>(M$3*$G$3*(1-K3/100)*(1-L3/100))+(P$3*$G$3)+(W$3*$G$3)+(Z$3*$G$3)</f>
        <v>0.8453294069799161</v>
      </c>
      <c r="AD3" s="137">
        <f>(N$3*$G$3*(1-$K$3/100)*(1-L3/100))+(Q$3*$G$3)+(X$3*$G$3)+(AA$3*$G$3)</f>
        <v>0.16314066685309231</v>
      </c>
      <c r="AE3" s="137">
        <f>(O$3*$G$3*(1-$K$3/100)*(1-L3/100))+(R$3*$G$3)+(Y$3*$G$3)+(AB$3*$G$3)</f>
        <v>4.0163037412791897E-2</v>
      </c>
      <c r="AF3" s="137">
        <f>S$3*$G$3</f>
        <v>2.3984322037073354E-2</v>
      </c>
      <c r="AG3" s="137">
        <f t="shared" ref="AG3:AH3" si="0">T$3*$G$3</f>
        <v>9.282182362149704E-4</v>
      </c>
      <c r="AH3" s="137">
        <f t="shared" si="0"/>
        <v>4.5826862064501459E-3</v>
      </c>
      <c r="AI3" s="137">
        <f>V$3*$G$3</f>
        <v>1.0930211670795507E-3</v>
      </c>
    </row>
    <row r="4" spans="1:35" ht="15" customHeight="1" x14ac:dyDescent="0.2">
      <c r="A4" s="121" t="s">
        <v>256</v>
      </c>
      <c r="B4" s="26" t="s">
        <v>241</v>
      </c>
      <c r="C4" s="9">
        <v>-20.261818000000002</v>
      </c>
      <c r="D4" s="8">
        <v>-40.233440000000002</v>
      </c>
      <c r="E4" s="26">
        <v>284</v>
      </c>
      <c r="F4" s="10">
        <f>2*Dados!$B$19/24</f>
        <v>6.666666666666667</v>
      </c>
      <c r="G4" s="49">
        <f>$E4*$F4/1000</f>
        <v>1.8933333333333335</v>
      </c>
      <c r="H4" s="50">
        <v>8.3000000000000007</v>
      </c>
      <c r="I4" s="50">
        <v>16</v>
      </c>
      <c r="J4" s="26" t="s">
        <v>244</v>
      </c>
      <c r="K4" s="26">
        <v>55</v>
      </c>
      <c r="L4" s="26" t="s">
        <v>67</v>
      </c>
      <c r="M4" s="55">
        <f>'FE-Vias'!$D$6*(($H$4/12)^'FE-Vias'!$D$7*(($I$4/3)^'FE-Vias'!$D$8*('FE-Vias'!$B$9/1000)*'FE-Vias'!$G$16))</f>
        <v>1.6952671965211552</v>
      </c>
      <c r="N4" s="55">
        <f>'FE-Vias'!$C$6*(($H$4/12)^'FE-Vias'!$C$7*(($I$4/3)^'FE-Vias'!$C$8*('FE-Vias'!$B$9/1000)*'FE-Vias'!$G$16))</f>
        <v>0.48207288747744004</v>
      </c>
      <c r="O4" s="55">
        <f>'FE-Vias'!$B$6*(($H$4/12)^'FE-Vias'!$B$7*(($I$4/3)^'FE-Vias'!$B$8*('FE-Vias'!$B$9/1000)*'FE-Vias'!$G$16))</f>
        <v>4.8207288747744007E-2</v>
      </c>
      <c r="P4" s="138">
        <f>'FE-Vias'!$B$40/1000</f>
        <v>1.7489827604766657E-4</v>
      </c>
      <c r="Q4" s="138">
        <f>'FE-Vias'!$C$40/1000</f>
        <v>1.7489827604766657E-4</v>
      </c>
      <c r="R4" s="138">
        <f>'FE-Vias'!$D$40/1000</f>
        <v>1.7489827604766657E-4</v>
      </c>
      <c r="S4" s="138">
        <f>'FE-Vias'!E$40/1000</f>
        <v>5.4345140567386742E-3</v>
      </c>
      <c r="T4" s="138">
        <f>'FE-Vias'!F$40/1000</f>
        <v>2.1032135261668511E-4</v>
      </c>
      <c r="U4" s="138">
        <f>'FE-Vias'!G$40/1000</f>
        <v>1.0383730075038094E-3</v>
      </c>
      <c r="V4" s="138">
        <f>'FE-Vias'!H$40/1000</f>
        <v>2.4766340643796463E-4</v>
      </c>
      <c r="W4" s="26" t="s">
        <v>67</v>
      </c>
      <c r="X4" s="26" t="s">
        <v>67</v>
      </c>
      <c r="Y4" s="26" t="s">
        <v>67</v>
      </c>
      <c r="Z4" s="26" t="s">
        <v>67</v>
      </c>
      <c r="AA4" s="26" t="s">
        <v>67</v>
      </c>
      <c r="AB4" s="26" t="s">
        <v>67</v>
      </c>
      <c r="AC4" s="137">
        <f>(M$4*$G$4*(1-K4/100))+(P$4*$G$4)</f>
        <v>1.4446987921720078</v>
      </c>
      <c r="AD4" s="137">
        <f>(N$4*$G$4*(1-K4/100))+(Q$4*$G$4)</f>
        <v>0.41105724086676249</v>
      </c>
      <c r="AE4" s="137">
        <f>(O$4*$G$4*(1-K4/100))+(R$4*$G$4)</f>
        <v>4.1403750749061476E-2</v>
      </c>
      <c r="AF4" s="137">
        <f>S$4*$G$4</f>
        <v>1.0289346614091891E-2</v>
      </c>
      <c r="AG4" s="137">
        <f t="shared" ref="AG4:AI4" si="1">T$4*$G$4</f>
        <v>3.9820842762092385E-4</v>
      </c>
      <c r="AH4" s="137">
        <f t="shared" si="1"/>
        <v>1.9659862275405462E-3</v>
      </c>
      <c r="AI4" s="137">
        <f t="shared" si="1"/>
        <v>4.6890938285587975E-4</v>
      </c>
    </row>
    <row r="5" spans="1:35" ht="15" customHeight="1" x14ac:dyDescent="0.2">
      <c r="A5" s="121" t="s">
        <v>257</v>
      </c>
      <c r="B5" s="26" t="s">
        <v>241</v>
      </c>
      <c r="C5" s="9">
        <v>-20.261416000000001</v>
      </c>
      <c r="D5" s="8">
        <v>-40.232750000000003</v>
      </c>
      <c r="E5" s="26">
        <v>108</v>
      </c>
      <c r="F5" s="10">
        <f>2*Dados!$B$19/24</f>
        <v>6.666666666666667</v>
      </c>
      <c r="G5" s="49">
        <f>$E5*$F5/1000</f>
        <v>0.72</v>
      </c>
      <c r="H5" s="50">
        <v>8.3000000000000007</v>
      </c>
      <c r="I5" s="26">
        <v>16</v>
      </c>
      <c r="J5" s="9" t="s">
        <v>244</v>
      </c>
      <c r="K5" s="9">
        <v>55</v>
      </c>
      <c r="L5" s="63" t="s">
        <v>67</v>
      </c>
      <c r="M5" s="55">
        <f>'FE-Vias'!$D$6*(($H$5/12)^'FE-Vias'!$D$7*(($I$5/3)^'FE-Vias'!$D$8*('FE-Vias'!$B$9/1000)*'FE-Vias'!$G$16))</f>
        <v>1.6952671965211552</v>
      </c>
      <c r="N5" s="55">
        <f>'FE-Vias'!$C$6*(($H$5/12)^'FE-Vias'!$C$7*(($I$5/3)^'FE-Vias'!$C$8*('FE-Vias'!$B$9/1000)*'FE-Vias'!$G$16))</f>
        <v>0.48207288747744004</v>
      </c>
      <c r="O5" s="55">
        <f>'FE-Vias'!$B$6*(($H$5/12)^'FE-Vias'!$B$7*(($I$5/3)^'FE-Vias'!$B$8*('FE-Vias'!$B$9/1000)*'FE-Vias'!$G$16))</f>
        <v>4.8207288747744007E-2</v>
      </c>
      <c r="P5" s="138">
        <f>'FE-Vias'!$B$40/1000</f>
        <v>1.7489827604766657E-4</v>
      </c>
      <c r="Q5" s="138">
        <f>'FE-Vias'!$C$40/1000</f>
        <v>1.7489827604766657E-4</v>
      </c>
      <c r="R5" s="138">
        <f>'FE-Vias'!$D$40/1000</f>
        <v>1.7489827604766657E-4</v>
      </c>
      <c r="S5" s="138">
        <f>'FE-Vias'!E$40/1000</f>
        <v>5.4345140567386742E-3</v>
      </c>
      <c r="T5" s="138">
        <f>'FE-Vias'!F$40/1000</f>
        <v>2.1032135261668511E-4</v>
      </c>
      <c r="U5" s="138">
        <f>'FE-Vias'!G$40/1000</f>
        <v>1.0383730075038094E-3</v>
      </c>
      <c r="V5" s="138">
        <f>'FE-Vias'!H$40/1000</f>
        <v>2.4766340643796463E-4</v>
      </c>
      <c r="W5" s="26" t="s">
        <v>67</v>
      </c>
      <c r="X5" s="26" t="s">
        <v>67</v>
      </c>
      <c r="Y5" s="26" t="s">
        <v>67</v>
      </c>
      <c r="Z5" s="26" t="s">
        <v>67</v>
      </c>
      <c r="AA5" s="26" t="s">
        <v>67</v>
      </c>
      <c r="AB5" s="26" t="s">
        <v>67</v>
      </c>
      <c r="AC5" s="137">
        <f>(M$5*$G$5*(1-K5/100))+(P$5*$G$5)</f>
        <v>0.54939249843160853</v>
      </c>
      <c r="AD5" s="137">
        <f>(N$5*$G$5*(1-K5/100))+(Q$5*$G$5)</f>
        <v>0.15631754230144487</v>
      </c>
      <c r="AE5" s="137">
        <f>(O$5*$G$5*(1-K5/100))+(R$5*$G$5)</f>
        <v>1.5745088313023375E-2</v>
      </c>
      <c r="AF5" s="137">
        <f>S$5*$G$5</f>
        <v>3.9128501208518449E-3</v>
      </c>
      <c r="AG5" s="137">
        <f>T$5*$G$5</f>
        <v>1.5143137388401329E-4</v>
      </c>
      <c r="AH5" s="137">
        <f>U$5*$G$5</f>
        <v>7.4762856540274271E-4</v>
      </c>
      <c r="AI5" s="137">
        <f>V$5*$G$5</f>
        <v>1.7831765263533452E-4</v>
      </c>
    </row>
    <row r="6" spans="1:35" ht="15" customHeight="1" x14ac:dyDescent="0.2">
      <c r="A6" s="186" t="s">
        <v>260</v>
      </c>
      <c r="B6" s="186"/>
      <c r="C6" s="186"/>
      <c r="D6" s="186"/>
      <c r="E6" s="186"/>
      <c r="F6" s="186"/>
      <c r="G6" s="186"/>
      <c r="H6" s="186"/>
      <c r="I6" s="186"/>
      <c r="J6" s="186"/>
      <c r="K6" s="186"/>
      <c r="L6" s="186"/>
      <c r="M6" s="186"/>
      <c r="N6" s="186"/>
      <c r="O6" s="186"/>
      <c r="P6" s="186"/>
      <c r="Q6" s="186"/>
      <c r="R6" s="186"/>
      <c r="S6" s="186"/>
      <c r="T6" s="186"/>
      <c r="U6" s="186"/>
      <c r="V6" s="186"/>
      <c r="W6" s="186"/>
      <c r="X6" s="186"/>
      <c r="Y6" s="186"/>
      <c r="Z6" s="186"/>
      <c r="AA6" s="186"/>
      <c r="AB6" s="186"/>
      <c r="AC6" s="89">
        <f>SUM(AC3:AC5)</f>
        <v>2.8394206975835323</v>
      </c>
      <c r="AD6" s="89">
        <f t="shared" ref="AD6:AI6" si="2">SUM(AD3:AD5)</f>
        <v>0.73051545002129969</v>
      </c>
      <c r="AE6" s="89">
        <f t="shared" si="2"/>
        <v>9.7311876474876741E-2</v>
      </c>
      <c r="AF6" s="89">
        <f t="shared" si="2"/>
        <v>3.8186518772017092E-2</v>
      </c>
      <c r="AG6" s="89">
        <f t="shared" si="2"/>
        <v>1.4778580377199074E-3</v>
      </c>
      <c r="AH6" s="89">
        <f t="shared" si="2"/>
        <v>7.2963009993934356E-3</v>
      </c>
      <c r="AI6" s="89">
        <f t="shared" si="2"/>
        <v>1.7402482025707651E-3</v>
      </c>
    </row>
  </sheetData>
  <sheetProtection password="B056" sheet="1" objects="1" scenarios="1"/>
  <mergeCells count="17">
    <mergeCell ref="K1:L1"/>
    <mergeCell ref="A6:AB6"/>
    <mergeCell ref="G1:G2"/>
    <mergeCell ref="H1:H2"/>
    <mergeCell ref="I1:I2"/>
    <mergeCell ref="J1:J2"/>
    <mergeCell ref="A1:A2"/>
    <mergeCell ref="B1:B2"/>
    <mergeCell ref="C1:C2"/>
    <mergeCell ref="D1:D2"/>
    <mergeCell ref="E1:E2"/>
    <mergeCell ref="F1:F2"/>
    <mergeCell ref="AC1:AI1"/>
    <mergeCell ref="M1:O1"/>
    <mergeCell ref="P1:V1"/>
    <mergeCell ref="W1:Y1"/>
    <mergeCell ref="Z1:AB1"/>
  </mergeCells>
  <pageMargins left="0.511811024" right="0.511811024" top="0.78740157499999996" bottom="0.78740157499999996" header="0.31496062000000002" footer="0.31496062000000002"/>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21" sqref="H21"/>
    </sheetView>
  </sheetViews>
  <sheetFormatPr defaultRowHeight="15" x14ac:dyDescent="0.25"/>
  <cols>
    <col min="1" max="1" width="19.140625" bestFit="1" customWidth="1"/>
  </cols>
  <sheetData>
    <row r="1" spans="1:8" x14ac:dyDescent="0.25">
      <c r="A1" s="205" t="s">
        <v>220</v>
      </c>
      <c r="B1" s="184" t="s">
        <v>39</v>
      </c>
      <c r="C1" s="185"/>
      <c r="D1" s="185"/>
      <c r="E1" s="185"/>
      <c r="F1" s="185"/>
      <c r="G1" s="185"/>
      <c r="H1" s="185"/>
    </row>
    <row r="2" spans="1:8" x14ac:dyDescent="0.25">
      <c r="A2" s="205"/>
      <c r="B2" s="5" t="s">
        <v>40</v>
      </c>
      <c r="C2" s="5" t="s">
        <v>41</v>
      </c>
      <c r="D2" s="5" t="s">
        <v>42</v>
      </c>
      <c r="E2" s="5" t="s">
        <v>43</v>
      </c>
      <c r="F2" s="5" t="s">
        <v>44</v>
      </c>
      <c r="G2" s="5" t="s">
        <v>45</v>
      </c>
      <c r="H2" s="5" t="s">
        <v>106</v>
      </c>
    </row>
    <row r="3" spans="1:8" x14ac:dyDescent="0.25">
      <c r="A3" s="2" t="s">
        <v>221</v>
      </c>
      <c r="B3" s="10">
        <f>'Emissão Transferências'!K$32</f>
        <v>0.4698585085161105</v>
      </c>
      <c r="C3" s="10">
        <f>'Emissão Transferências'!L$32</f>
        <v>0.22223037564951162</v>
      </c>
      <c r="D3" s="10">
        <f>'Emissão Transferências'!M$32</f>
        <v>3.3652028312640352E-2</v>
      </c>
      <c r="E3" s="9" t="s">
        <v>67</v>
      </c>
      <c r="F3" s="9" t="s">
        <v>67</v>
      </c>
      <c r="G3" s="9" t="s">
        <v>67</v>
      </c>
      <c r="H3" s="9" t="s">
        <v>67</v>
      </c>
    </row>
    <row r="4" spans="1:8" x14ac:dyDescent="0.25">
      <c r="A4" s="2" t="s">
        <v>15</v>
      </c>
      <c r="B4" s="10">
        <f>'Emissão Maq e Equip'!I$4</f>
        <v>2.3089913129735431E-2</v>
      </c>
      <c r="C4" s="10">
        <f>'Emissão Maq e Equip'!J$4</f>
        <v>2.3089913129735431E-2</v>
      </c>
      <c r="D4" s="10">
        <f>'Emissão Maq e Equip'!K$4</f>
        <v>2.3089913129735431E-2</v>
      </c>
      <c r="E4" s="10">
        <f>'Emissão Maq e Equip'!L$4</f>
        <v>0.41592498228291191</v>
      </c>
      <c r="F4" s="137">
        <f>'Emissão Maq e Equip'!M$4</f>
        <v>3.5925550110827684E-4</v>
      </c>
      <c r="G4" s="137">
        <f>'Emissão Maq e Equip'!N$4</f>
        <v>0.19296046259558383</v>
      </c>
      <c r="H4" s="137">
        <f>'Emissão Maq e Equip'!O$4</f>
        <v>5.2840244481371805E-2</v>
      </c>
    </row>
    <row r="5" spans="1:8" x14ac:dyDescent="0.25">
      <c r="A5" s="2" t="s">
        <v>262</v>
      </c>
      <c r="B5" s="139">
        <f>'Emissão Chaminés'!L$14</f>
        <v>11.664449999999999</v>
      </c>
      <c r="C5" s="139">
        <f>'Emissão Chaminés'!M$14</f>
        <v>10.2620325</v>
      </c>
      <c r="D5" s="139">
        <f>'Emissão Chaminés'!N$14</f>
        <v>5.1198350000000001</v>
      </c>
      <c r="E5" s="139">
        <f>'Emissão Chaminés'!O$14</f>
        <v>0.41500000000000004</v>
      </c>
      <c r="F5" s="137">
        <f>'Emissão Chaminés'!P$14</f>
        <v>0.11333333333333334</v>
      </c>
      <c r="G5" s="137">
        <f>'Emissão Chaminés'!Q$14</f>
        <v>0.45226596493150684</v>
      </c>
      <c r="H5" s="137">
        <f>'Emissão Chaminés'!R$14</f>
        <v>2.9612652465753425E-2</v>
      </c>
    </row>
    <row r="6" spans="1:8" x14ac:dyDescent="0.25">
      <c r="A6" s="2" t="s">
        <v>222</v>
      </c>
      <c r="B6" s="139">
        <f>'Emissão Vias'!AC$6</f>
        <v>2.8394206975835323</v>
      </c>
      <c r="C6" s="139">
        <f>'Emissão Vias'!AD$6</f>
        <v>0.73051545002129969</v>
      </c>
      <c r="D6" s="139">
        <f>'Emissão Vias'!AE$6</f>
        <v>9.7311876474876741E-2</v>
      </c>
      <c r="E6" s="139">
        <f>'Emissão Vias'!AF$6</f>
        <v>3.8186518772017092E-2</v>
      </c>
      <c r="F6" s="137">
        <f>'Emissão Vias'!AG$6</f>
        <v>1.4778580377199074E-3</v>
      </c>
      <c r="G6" s="137">
        <f>'Emissão Vias'!AH$6</f>
        <v>7.2963009993934356E-3</v>
      </c>
      <c r="H6" s="137">
        <f>'Emissão Vias'!AI$6</f>
        <v>1.7402482025707651E-3</v>
      </c>
    </row>
    <row r="7" spans="1:8" x14ac:dyDescent="0.25">
      <c r="A7" s="6" t="s">
        <v>223</v>
      </c>
      <c r="B7" s="139">
        <v>1.1307547045949002</v>
      </c>
      <c r="C7" s="139">
        <v>0.56537735229745012</v>
      </c>
      <c r="D7" s="139">
        <v>8.4806602844617524E-2</v>
      </c>
      <c r="E7" s="26" t="s">
        <v>67</v>
      </c>
      <c r="F7" s="26" t="s">
        <v>67</v>
      </c>
      <c r="G7" s="26" t="s">
        <v>67</v>
      </c>
      <c r="H7" s="26" t="s">
        <v>67</v>
      </c>
    </row>
    <row r="8" spans="1:8" x14ac:dyDescent="0.25">
      <c r="A8" s="125" t="s">
        <v>260</v>
      </c>
      <c r="B8" s="89">
        <f>SUM(B3:B7)</f>
        <v>16.127573823824278</v>
      </c>
      <c r="C8" s="89">
        <f>SUM(C3:C7)</f>
        <v>11.803245591097996</v>
      </c>
      <c r="D8" s="89">
        <f>SUM(D3:D7)</f>
        <v>5.3586954207618707</v>
      </c>
      <c r="E8" s="89">
        <f t="shared" ref="E8:H8" si="0">SUM(E3:E7)</f>
        <v>0.86911150105492896</v>
      </c>
      <c r="F8" s="89">
        <f t="shared" si="0"/>
        <v>0.11517044687216153</v>
      </c>
      <c r="G8" s="89">
        <f t="shared" si="0"/>
        <v>0.65252272852648419</v>
      </c>
      <c r="H8" s="89">
        <f t="shared" si="0"/>
        <v>8.4193145149696003E-2</v>
      </c>
    </row>
    <row r="10" spans="1:8" x14ac:dyDescent="0.25">
      <c r="A10" s="2" t="s">
        <v>270</v>
      </c>
    </row>
  </sheetData>
  <sheetProtection password="B056" sheet="1" objects="1" scenarios="1"/>
  <mergeCells count="2">
    <mergeCell ref="A1:A2"/>
    <mergeCell ref="B1:H1"/>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9" sqref="M9"/>
    </sheetView>
  </sheetViews>
  <sheetFormatPr defaultRowHeight="15" x14ac:dyDescent="0.25"/>
  <sheetData/>
  <sheetProtection password="B056" sheet="1" objects="1" scenarios="1"/>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C30" sqref="C30"/>
    </sheetView>
  </sheetViews>
  <sheetFormatPr defaultRowHeight="15" x14ac:dyDescent="0.25"/>
  <cols>
    <col min="1" max="1" width="19.42578125" bestFit="1" customWidth="1"/>
    <col min="2" max="2" width="23.42578125" customWidth="1"/>
  </cols>
  <sheetData>
    <row r="1" spans="1:12" x14ac:dyDescent="0.25">
      <c r="A1" s="2" t="s">
        <v>47</v>
      </c>
    </row>
    <row r="2" spans="1:12" x14ac:dyDescent="0.25">
      <c r="A2" s="12" t="s">
        <v>48</v>
      </c>
      <c r="B2" s="12" t="s">
        <v>49</v>
      </c>
      <c r="C2" s="12" t="s">
        <v>50</v>
      </c>
      <c r="D2" s="12" t="s">
        <v>51</v>
      </c>
      <c r="E2" s="12" t="s">
        <v>52</v>
      </c>
      <c r="F2" s="12" t="s">
        <v>53</v>
      </c>
      <c r="G2" s="12" t="s">
        <v>54</v>
      </c>
      <c r="H2" s="12" t="s">
        <v>55</v>
      </c>
      <c r="I2" s="12" t="s">
        <v>56</v>
      </c>
    </row>
    <row r="3" spans="1:12" x14ac:dyDescent="0.25">
      <c r="A3" s="144" t="s">
        <v>57</v>
      </c>
      <c r="B3" s="13" t="s">
        <v>58</v>
      </c>
      <c r="C3" s="14">
        <v>4.1647481574952775E-3</v>
      </c>
      <c r="D3" s="14">
        <v>6.5318933034944765E-2</v>
      </c>
      <c r="E3" s="14">
        <v>9.7431139391112798E-5</v>
      </c>
      <c r="F3" s="14">
        <v>3.2117661168667613E-2</v>
      </c>
      <c r="G3" s="14">
        <v>1.0013560541894806E-2</v>
      </c>
      <c r="H3" s="14">
        <v>7.6789363702976381</v>
      </c>
      <c r="I3" s="14">
        <v>9.0350737078986789E-4</v>
      </c>
      <c r="L3" s="15"/>
    </row>
    <row r="4" spans="1:12" x14ac:dyDescent="0.25">
      <c r="A4" s="145"/>
      <c r="B4" s="13" t="s">
        <v>59</v>
      </c>
      <c r="C4" s="14">
        <v>1.9389461005136124E-2</v>
      </c>
      <c r="D4" s="14">
        <v>0.15850781980120351</v>
      </c>
      <c r="E4" s="14">
        <v>1.8265581631205882E-4</v>
      </c>
      <c r="F4" s="14">
        <v>0.19953638186759515</v>
      </c>
      <c r="G4" s="14">
        <v>8.7889870552575564E-2</v>
      </c>
      <c r="H4" s="14">
        <v>14.129238189499569</v>
      </c>
      <c r="I4" s="14">
        <v>7.9301638618412291E-3</v>
      </c>
      <c r="L4" s="15"/>
    </row>
    <row r="5" spans="1:12" x14ac:dyDescent="0.25">
      <c r="A5" s="145"/>
      <c r="B5" s="13" t="s">
        <v>60</v>
      </c>
      <c r="C5" s="14">
        <v>3.5159649405128737E-2</v>
      </c>
      <c r="D5" s="14">
        <v>0.39013010201093185</v>
      </c>
      <c r="E5" s="14">
        <v>3.1347091665644508E-4</v>
      </c>
      <c r="F5" s="14">
        <v>0.2004419223709539</v>
      </c>
      <c r="G5" s="14">
        <v>6.7138814469940591E-2</v>
      </c>
      <c r="H5" s="14">
        <v>26.722695910514073</v>
      </c>
      <c r="I5" s="14">
        <v>6.0578280967871325E-3</v>
      </c>
      <c r="L5" s="15"/>
    </row>
    <row r="6" spans="1:12" x14ac:dyDescent="0.25">
      <c r="A6" s="145"/>
      <c r="B6" s="13" t="s">
        <v>46</v>
      </c>
      <c r="C6" s="14">
        <v>3.4873730864910753E-2</v>
      </c>
      <c r="D6" s="14">
        <v>0.62819014565488085</v>
      </c>
      <c r="E6" s="14">
        <v>5.4259968788077681E-4</v>
      </c>
      <c r="F6" s="14">
        <v>0.29143683660988179</v>
      </c>
      <c r="G6" s="14">
        <v>7.9806989940830519E-2</v>
      </c>
      <c r="H6" s="14">
        <v>48.223729179933819</v>
      </c>
      <c r="I6" s="14">
        <v>7.2008552575325378E-3</v>
      </c>
      <c r="L6" s="15"/>
    </row>
    <row r="7" spans="1:12" x14ac:dyDescent="0.25">
      <c r="A7" s="145"/>
      <c r="B7" s="13" t="s">
        <v>61</v>
      </c>
      <c r="C7" s="14">
        <v>3.101083119228833E-2</v>
      </c>
      <c r="D7" s="14">
        <v>0.83698143551687265</v>
      </c>
      <c r="E7" s="14">
        <v>7.6033040375300068E-4</v>
      </c>
      <c r="F7" s="14">
        <v>0.22495851814724077</v>
      </c>
      <c r="G7" s="14">
        <v>8.0781384871570633E-2</v>
      </c>
      <c r="H7" s="14">
        <v>67.57462749683539</v>
      </c>
      <c r="I7" s="14">
        <v>7.2887737155482657E-3</v>
      </c>
      <c r="L7" s="15"/>
    </row>
    <row r="8" spans="1:12" x14ac:dyDescent="0.25">
      <c r="A8" s="145"/>
      <c r="B8" s="13" t="s">
        <v>62</v>
      </c>
      <c r="C8" s="14">
        <v>4.4312637095619792E-2</v>
      </c>
      <c r="D8" s="14">
        <v>1.1811178567160983</v>
      </c>
      <c r="E8" s="14">
        <v>1.0551972934755545E-3</v>
      </c>
      <c r="F8" s="14">
        <v>0.44023160723795168</v>
      </c>
      <c r="G8" s="14">
        <v>0.11468313954524458</v>
      </c>
      <c r="H8" s="14">
        <v>107.50511325477065</v>
      </c>
      <c r="I8" s="14">
        <v>1.0347677695252593E-2</v>
      </c>
    </row>
    <row r="9" spans="1:12" x14ac:dyDescent="0.25">
      <c r="A9" s="145"/>
      <c r="B9" s="13" t="s">
        <v>63</v>
      </c>
      <c r="C9" s="14">
        <v>9.1699292295937748E-2</v>
      </c>
      <c r="D9" s="14">
        <v>2.4816495823931239</v>
      </c>
      <c r="E9" s="14">
        <v>2.2143711863278365E-3</v>
      </c>
      <c r="F9" s="14">
        <v>0.8977989810489746</v>
      </c>
      <c r="G9" s="14">
        <v>0.2376690359121682</v>
      </c>
      <c r="H9" s="14">
        <v>220.23193257962103</v>
      </c>
      <c r="I9" s="14">
        <v>2.1444490325478866E-2</v>
      </c>
    </row>
    <row r="10" spans="1:12" x14ac:dyDescent="0.25">
      <c r="A10" s="145"/>
      <c r="B10" s="13" t="s">
        <v>64</v>
      </c>
      <c r="C10" s="14">
        <v>0.11281698418835924</v>
      </c>
      <c r="D10" s="14">
        <v>3.6320533542247149</v>
      </c>
      <c r="E10" s="14">
        <v>2.708513011176045E-3</v>
      </c>
      <c r="F10" s="14">
        <v>1.2834306373108464</v>
      </c>
      <c r="G10" s="14">
        <v>0.33188731556128104</v>
      </c>
      <c r="H10" s="14">
        <v>269.37717766866973</v>
      </c>
      <c r="I10" s="14">
        <v>2.9945664738985911E-2</v>
      </c>
    </row>
    <row r="12" spans="1:12" x14ac:dyDescent="0.25">
      <c r="A12" s="146" t="s">
        <v>65</v>
      </c>
      <c r="B12" s="149"/>
      <c r="C12" s="150"/>
      <c r="D12" s="150"/>
      <c r="E12" s="151"/>
    </row>
    <row r="13" spans="1:12" x14ac:dyDescent="0.25">
      <c r="A13" s="147"/>
      <c r="B13" s="152"/>
      <c r="C13" s="153"/>
      <c r="D13" s="153"/>
      <c r="E13" s="154"/>
    </row>
    <row r="14" spans="1:12" x14ac:dyDescent="0.25">
      <c r="A14" s="147"/>
      <c r="B14" s="155"/>
      <c r="C14" s="156"/>
      <c r="D14" s="156"/>
      <c r="E14" s="157"/>
    </row>
    <row r="15" spans="1:12" x14ac:dyDescent="0.25">
      <c r="A15" s="147"/>
      <c r="B15" s="158" t="s">
        <v>66</v>
      </c>
      <c r="C15" s="159"/>
      <c r="D15" s="159"/>
      <c r="E15" s="160"/>
    </row>
    <row r="16" spans="1:12" x14ac:dyDescent="0.25">
      <c r="A16" s="147"/>
      <c r="B16" s="161"/>
      <c r="C16" s="162"/>
      <c r="D16" s="162"/>
      <c r="E16" s="163"/>
    </row>
    <row r="17" spans="1:5" x14ac:dyDescent="0.25">
      <c r="A17" s="147"/>
      <c r="B17" s="161"/>
      <c r="C17" s="162"/>
      <c r="D17" s="162"/>
      <c r="E17" s="163"/>
    </row>
    <row r="18" spans="1:5" x14ac:dyDescent="0.25">
      <c r="A18" s="148"/>
      <c r="B18" s="164"/>
      <c r="C18" s="165"/>
      <c r="D18" s="165"/>
      <c r="E18" s="166"/>
    </row>
    <row r="20" spans="1:5" x14ac:dyDescent="0.25">
      <c r="A20" s="2" t="s">
        <v>258</v>
      </c>
    </row>
    <row r="21" spans="1:5" x14ac:dyDescent="0.25">
      <c r="A21" s="2" t="s">
        <v>259</v>
      </c>
    </row>
  </sheetData>
  <sheetProtection password="B056" sheet="1" objects="1" scenarios="1"/>
  <mergeCells count="4">
    <mergeCell ref="A3:A10"/>
    <mergeCell ref="A12:A18"/>
    <mergeCell ref="B12:E14"/>
    <mergeCell ref="B15:E18"/>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B3" sqref="B3:D3"/>
    </sheetView>
  </sheetViews>
  <sheetFormatPr defaultRowHeight="15" x14ac:dyDescent="0.25"/>
  <cols>
    <col min="1" max="1" width="27.140625" customWidth="1"/>
    <col min="2" max="3" width="11.7109375" customWidth="1"/>
    <col min="4" max="4" width="13.5703125" customWidth="1"/>
  </cols>
  <sheetData>
    <row r="1" spans="1:4" x14ac:dyDescent="0.25">
      <c r="A1" s="34" t="s">
        <v>126</v>
      </c>
      <c r="B1" s="35"/>
      <c r="C1" s="35"/>
      <c r="D1" s="35"/>
    </row>
    <row r="2" spans="1:4" x14ac:dyDescent="0.25">
      <c r="A2" s="12"/>
      <c r="B2" s="12" t="s">
        <v>40</v>
      </c>
      <c r="C2" s="12" t="s">
        <v>127</v>
      </c>
      <c r="D2" s="12" t="s">
        <v>128</v>
      </c>
    </row>
    <row r="3" spans="1:4" x14ac:dyDescent="0.25">
      <c r="A3" s="36" t="s">
        <v>129</v>
      </c>
      <c r="B3" s="21">
        <v>0.74</v>
      </c>
      <c r="C3" s="21">
        <v>0.35</v>
      </c>
      <c r="D3" s="21">
        <v>5.2999999999999999E-2</v>
      </c>
    </row>
    <row r="5" spans="1:4" x14ac:dyDescent="0.25">
      <c r="A5" s="146" t="s">
        <v>65</v>
      </c>
      <c r="B5" s="37"/>
      <c r="C5" s="38"/>
      <c r="D5" s="38"/>
    </row>
    <row r="6" spans="1:4" x14ac:dyDescent="0.25">
      <c r="A6" s="147"/>
      <c r="B6" s="39"/>
      <c r="C6" s="40"/>
      <c r="D6" s="40"/>
    </row>
    <row r="7" spans="1:4" x14ac:dyDescent="0.25">
      <c r="A7" s="147"/>
      <c r="B7" s="41"/>
      <c r="C7" s="42"/>
      <c r="D7" s="42"/>
    </row>
    <row r="8" spans="1:4" x14ac:dyDescent="0.25">
      <c r="A8" s="147"/>
      <c r="B8" s="158" t="s">
        <v>130</v>
      </c>
      <c r="C8" s="159"/>
      <c r="D8" s="159"/>
    </row>
    <row r="9" spans="1:4" x14ac:dyDescent="0.25">
      <c r="A9" s="147"/>
      <c r="B9" s="161"/>
      <c r="C9" s="162"/>
      <c r="D9" s="162"/>
    </row>
    <row r="10" spans="1:4" ht="16.5" customHeight="1" x14ac:dyDescent="0.25">
      <c r="A10" s="147"/>
      <c r="B10" s="161"/>
      <c r="C10" s="162"/>
      <c r="D10" s="162"/>
    </row>
    <row r="11" spans="1:4" ht="23.25" customHeight="1" x14ac:dyDescent="0.25">
      <c r="A11" s="148"/>
      <c r="B11" s="164"/>
      <c r="C11" s="165"/>
      <c r="D11" s="165"/>
    </row>
  </sheetData>
  <sheetProtection password="B056" sheet="1" objects="1" scenarios="1"/>
  <mergeCells count="2">
    <mergeCell ref="A5:A11"/>
    <mergeCell ref="B8:D11"/>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C12" sqref="C12"/>
    </sheetView>
  </sheetViews>
  <sheetFormatPr defaultRowHeight="15" customHeight="1" x14ac:dyDescent="0.2"/>
  <cols>
    <col min="1" max="1" width="37.140625" style="1" customWidth="1"/>
    <col min="2" max="2" width="11.85546875" style="1" bestFit="1" customWidth="1"/>
    <col min="3" max="3" width="11.85546875" style="1" customWidth="1"/>
    <col min="4" max="4" width="13.140625" style="1" customWidth="1"/>
    <col min="5" max="5" width="9.140625" style="1"/>
    <col min="6" max="6" width="29.28515625" style="1" customWidth="1"/>
    <col min="7" max="9" width="13.140625" style="1" customWidth="1"/>
    <col min="10" max="16384" width="9.140625" style="1"/>
  </cols>
  <sheetData>
    <row r="1" spans="1:9" ht="11.25" x14ac:dyDescent="0.2">
      <c r="A1" s="2" t="s">
        <v>77</v>
      </c>
    </row>
    <row r="2" spans="1:9" ht="27.75" customHeight="1" x14ac:dyDescent="0.2">
      <c r="A2" s="169" t="s">
        <v>78</v>
      </c>
      <c r="B2" s="140"/>
      <c r="C2" s="140"/>
      <c r="D2" s="140"/>
      <c r="F2" s="169" t="s">
        <v>79</v>
      </c>
      <c r="G2" s="140"/>
      <c r="H2" s="140"/>
      <c r="I2" s="140"/>
    </row>
    <row r="3" spans="1:9" ht="22.5" x14ac:dyDescent="0.2">
      <c r="A3" s="172" t="s">
        <v>80</v>
      </c>
      <c r="B3" s="141" t="s">
        <v>45</v>
      </c>
      <c r="C3" s="142"/>
      <c r="D3" s="143"/>
      <c r="F3" s="19" t="s">
        <v>81</v>
      </c>
      <c r="G3" s="20" t="s">
        <v>82</v>
      </c>
      <c r="H3" s="20" t="s">
        <v>83</v>
      </c>
      <c r="I3" s="20" t="s">
        <v>84</v>
      </c>
    </row>
    <row r="4" spans="1:9" ht="22.5" x14ac:dyDescent="0.2">
      <c r="A4" s="173"/>
      <c r="B4" s="20" t="s">
        <v>82</v>
      </c>
      <c r="C4" s="20" t="s">
        <v>83</v>
      </c>
      <c r="D4" s="20" t="s">
        <v>84</v>
      </c>
      <c r="E4" s="3"/>
      <c r="F4" s="17" t="s">
        <v>72</v>
      </c>
      <c r="G4" s="21">
        <v>120</v>
      </c>
      <c r="H4" s="22">
        <f>G4*16</f>
        <v>1920</v>
      </c>
      <c r="I4" s="21" t="s">
        <v>85</v>
      </c>
    </row>
    <row r="5" spans="1:9" ht="15" customHeight="1" x14ac:dyDescent="0.2">
      <c r="A5" s="174" t="s">
        <v>86</v>
      </c>
      <c r="B5" s="174"/>
      <c r="C5" s="174"/>
      <c r="D5" s="174"/>
      <c r="F5" s="17" t="s">
        <v>87</v>
      </c>
      <c r="G5" s="21">
        <v>5.0000000000000001E-4</v>
      </c>
      <c r="H5" s="23">
        <f>G5*16</f>
        <v>8.0000000000000002E-3</v>
      </c>
      <c r="I5" s="21" t="s">
        <v>88</v>
      </c>
    </row>
    <row r="6" spans="1:9" ht="15" customHeight="1" x14ac:dyDescent="0.2">
      <c r="A6" s="17" t="s">
        <v>89</v>
      </c>
      <c r="B6" s="21">
        <v>84</v>
      </c>
      <c r="C6" s="22">
        <f>B6*16</f>
        <v>1344</v>
      </c>
      <c r="D6" s="21" t="s">
        <v>90</v>
      </c>
      <c r="F6" s="17" t="s">
        <v>91</v>
      </c>
      <c r="G6" s="21">
        <v>2.2000000000000002</v>
      </c>
      <c r="H6" s="22">
        <f t="shared" ref="H6:H14" si="0">G6*16</f>
        <v>35.200000000000003</v>
      </c>
      <c r="I6" s="21" t="s">
        <v>92</v>
      </c>
    </row>
    <row r="7" spans="1:9" ht="15" customHeight="1" x14ac:dyDescent="0.2">
      <c r="A7" s="17" t="s">
        <v>93</v>
      </c>
      <c r="B7" s="21">
        <v>84</v>
      </c>
      <c r="C7" s="22">
        <f t="shared" ref="C7:C9" si="1">B7*16</f>
        <v>1344</v>
      </c>
      <c r="D7" s="21" t="s">
        <v>90</v>
      </c>
      <c r="F7" s="17" t="s">
        <v>94</v>
      </c>
      <c r="G7" s="21">
        <v>0.64</v>
      </c>
      <c r="H7" s="22">
        <f t="shared" si="0"/>
        <v>10.24</v>
      </c>
      <c r="I7" s="21" t="s">
        <v>92</v>
      </c>
    </row>
    <row r="8" spans="1:9" ht="15" customHeight="1" x14ac:dyDescent="0.2">
      <c r="A8" s="17" t="s">
        <v>95</v>
      </c>
      <c r="B8" s="21">
        <v>84</v>
      </c>
      <c r="C8" s="22">
        <f t="shared" si="1"/>
        <v>1344</v>
      </c>
      <c r="D8" s="21" t="s">
        <v>90</v>
      </c>
      <c r="F8" s="17" t="s">
        <v>96</v>
      </c>
      <c r="G8" s="21">
        <v>7.6</v>
      </c>
      <c r="H8" s="22">
        <f t="shared" si="0"/>
        <v>121.6</v>
      </c>
      <c r="I8" s="21" t="s">
        <v>88</v>
      </c>
    </row>
    <row r="9" spans="1:9" ht="15" customHeight="1" x14ac:dyDescent="0.2">
      <c r="A9" s="17" t="s">
        <v>97</v>
      </c>
      <c r="B9" s="21">
        <v>84</v>
      </c>
      <c r="C9" s="22">
        <f t="shared" si="1"/>
        <v>1344</v>
      </c>
      <c r="D9" s="21" t="s">
        <v>90</v>
      </c>
      <c r="F9" s="17" t="s">
        <v>98</v>
      </c>
      <c r="G9" s="21">
        <v>5.7</v>
      </c>
      <c r="H9" s="22">
        <f t="shared" si="0"/>
        <v>91.2</v>
      </c>
      <c r="I9" s="21" t="s">
        <v>88</v>
      </c>
    </row>
    <row r="10" spans="1:9" ht="15" customHeight="1" x14ac:dyDescent="0.2">
      <c r="A10" s="174" t="s">
        <v>99</v>
      </c>
      <c r="B10" s="174"/>
      <c r="C10" s="174"/>
      <c r="D10" s="174"/>
      <c r="F10" s="17" t="s">
        <v>100</v>
      </c>
      <c r="G10" s="21">
        <v>1.9</v>
      </c>
      <c r="H10" s="22">
        <f t="shared" si="0"/>
        <v>30.4</v>
      </c>
      <c r="I10" s="21" t="s">
        <v>90</v>
      </c>
    </row>
    <row r="11" spans="1:9" ht="15" customHeight="1" x14ac:dyDescent="0.2">
      <c r="A11" s="17" t="s">
        <v>101</v>
      </c>
      <c r="B11" s="21">
        <v>84</v>
      </c>
      <c r="C11" s="22">
        <f t="shared" ref="C11:C13" si="2">B11*16</f>
        <v>1344</v>
      </c>
      <c r="D11" s="21" t="s">
        <v>90</v>
      </c>
      <c r="F11" s="17" t="s">
        <v>205</v>
      </c>
      <c r="G11" s="26">
        <v>0.6</v>
      </c>
      <c r="H11" s="22">
        <f t="shared" si="0"/>
        <v>9.6</v>
      </c>
      <c r="I11" s="21" t="s">
        <v>85</v>
      </c>
    </row>
    <row r="12" spans="1:9" ht="15" customHeight="1" x14ac:dyDescent="0.2">
      <c r="A12" s="18" t="s">
        <v>95</v>
      </c>
      <c r="B12" s="24">
        <v>84</v>
      </c>
      <c r="C12" s="25">
        <f t="shared" si="2"/>
        <v>1344</v>
      </c>
      <c r="D12" s="24" t="s">
        <v>90</v>
      </c>
      <c r="F12" s="17" t="s">
        <v>73</v>
      </c>
      <c r="G12" s="26">
        <v>11</v>
      </c>
      <c r="H12" s="22">
        <f t="shared" si="0"/>
        <v>176</v>
      </c>
      <c r="I12" s="21" t="s">
        <v>90</v>
      </c>
    </row>
    <row r="13" spans="1:9" ht="15" customHeight="1" x14ac:dyDescent="0.2">
      <c r="A13" s="17" t="s">
        <v>102</v>
      </c>
      <c r="B13" s="21">
        <v>84</v>
      </c>
      <c r="C13" s="22">
        <f t="shared" si="2"/>
        <v>1344</v>
      </c>
      <c r="D13" s="21" t="s">
        <v>90</v>
      </c>
      <c r="F13" s="2" t="s">
        <v>104</v>
      </c>
      <c r="G13" s="26">
        <v>2.2999999999999998</v>
      </c>
      <c r="H13" s="22">
        <f t="shared" si="0"/>
        <v>36.799999999999997</v>
      </c>
      <c r="I13" s="26" t="s">
        <v>90</v>
      </c>
    </row>
    <row r="14" spans="1:9" ht="15" customHeight="1" x14ac:dyDescent="0.2">
      <c r="A14" s="170" t="s">
        <v>105</v>
      </c>
      <c r="B14" s="170"/>
      <c r="C14" s="170"/>
      <c r="D14" s="170"/>
      <c r="F14" s="116" t="s">
        <v>106</v>
      </c>
      <c r="G14" s="27">
        <v>5.5</v>
      </c>
      <c r="H14" s="25">
        <f t="shared" si="0"/>
        <v>88</v>
      </c>
      <c r="I14" s="27" t="s">
        <v>103</v>
      </c>
    </row>
    <row r="15" spans="1:9" ht="15" customHeight="1" x14ac:dyDescent="0.2">
      <c r="A15" s="17" t="s">
        <v>101</v>
      </c>
      <c r="B15" s="26">
        <v>24</v>
      </c>
      <c r="C15" s="22">
        <f t="shared" ref="C15:C16" si="3">B15*16</f>
        <v>384</v>
      </c>
      <c r="D15" s="21" t="s">
        <v>103</v>
      </c>
      <c r="F15" s="171" t="s">
        <v>107</v>
      </c>
      <c r="G15" s="171"/>
      <c r="H15" s="171"/>
      <c r="I15" s="171"/>
    </row>
    <row r="16" spans="1:9" ht="15" customHeight="1" x14ac:dyDescent="0.2">
      <c r="A16" s="17" t="s">
        <v>97</v>
      </c>
      <c r="B16" s="26">
        <v>98</v>
      </c>
      <c r="C16" s="22">
        <f t="shared" si="3"/>
        <v>1568</v>
      </c>
      <c r="D16" s="21" t="s">
        <v>88</v>
      </c>
      <c r="F16" s="171"/>
      <c r="G16" s="171"/>
      <c r="H16" s="171"/>
      <c r="I16" s="171"/>
    </row>
    <row r="17" spans="1:9" ht="15" customHeight="1" x14ac:dyDescent="0.2">
      <c r="A17" s="170" t="s">
        <v>108</v>
      </c>
      <c r="B17" s="170"/>
      <c r="C17" s="170"/>
      <c r="D17" s="170"/>
      <c r="F17" s="171"/>
      <c r="G17" s="171"/>
      <c r="H17" s="171"/>
      <c r="I17" s="171"/>
    </row>
    <row r="18" spans="1:9" ht="15" customHeight="1" x14ac:dyDescent="0.2">
      <c r="A18" s="17" t="s">
        <v>101</v>
      </c>
      <c r="B18" s="26">
        <v>40</v>
      </c>
      <c r="C18" s="22">
        <f>B18*16</f>
        <v>640</v>
      </c>
      <c r="D18" s="21" t="s">
        <v>90</v>
      </c>
      <c r="F18" s="28"/>
      <c r="G18" s="28"/>
      <c r="H18" s="28"/>
      <c r="I18" s="28"/>
    </row>
    <row r="19" spans="1:9" ht="15" customHeight="1" x14ac:dyDescent="0.2">
      <c r="A19" s="171" t="s">
        <v>109</v>
      </c>
      <c r="B19" s="171"/>
      <c r="C19" s="171"/>
      <c r="D19" s="171"/>
      <c r="F19" s="28"/>
      <c r="G19" s="28"/>
      <c r="H19" s="28"/>
      <c r="I19" s="28"/>
    </row>
    <row r="20" spans="1:9" ht="15" customHeight="1" x14ac:dyDescent="0.2">
      <c r="A20" s="171"/>
      <c r="B20" s="171"/>
      <c r="C20" s="171"/>
      <c r="D20" s="171"/>
    </row>
    <row r="21" spans="1:9" ht="15" customHeight="1" x14ac:dyDescent="0.2">
      <c r="A21" s="168" t="s">
        <v>65</v>
      </c>
      <c r="B21" s="175"/>
      <c r="C21" s="175"/>
      <c r="D21" s="175"/>
    </row>
    <row r="22" spans="1:9" ht="15" customHeight="1" x14ac:dyDescent="0.2">
      <c r="A22" s="168"/>
      <c r="B22" s="175"/>
      <c r="C22" s="175"/>
      <c r="D22" s="175"/>
    </row>
    <row r="23" spans="1:9" ht="15" customHeight="1" x14ac:dyDescent="0.2">
      <c r="A23" s="168"/>
      <c r="B23" s="175"/>
      <c r="C23" s="175"/>
      <c r="D23" s="175"/>
    </row>
    <row r="24" spans="1:9" ht="19.5" customHeight="1" x14ac:dyDescent="0.2">
      <c r="A24" s="168"/>
      <c r="B24" s="167" t="s">
        <v>74</v>
      </c>
      <c r="C24" s="167"/>
      <c r="D24" s="167"/>
    </row>
    <row r="25" spans="1:9" ht="19.5" customHeight="1" x14ac:dyDescent="0.2">
      <c r="A25" s="168"/>
      <c r="B25" s="167"/>
      <c r="C25" s="167"/>
      <c r="D25" s="167"/>
    </row>
    <row r="26" spans="1:9" ht="19.5" customHeight="1" x14ac:dyDescent="0.2">
      <c r="A26" s="168"/>
      <c r="B26" s="167"/>
      <c r="C26" s="167"/>
      <c r="D26" s="167"/>
    </row>
  </sheetData>
  <sheetProtection password="B056" sheet="1" objects="1" scenarios="1"/>
  <mergeCells count="13">
    <mergeCell ref="B24:D26"/>
    <mergeCell ref="A21:A26"/>
    <mergeCell ref="A2:D2"/>
    <mergeCell ref="A14:D14"/>
    <mergeCell ref="F15:I17"/>
    <mergeCell ref="A17:D17"/>
    <mergeCell ref="A19:D20"/>
    <mergeCell ref="F2:I2"/>
    <mergeCell ref="A3:A4"/>
    <mergeCell ref="B3:D3"/>
    <mergeCell ref="A5:D5"/>
    <mergeCell ref="A10:D10"/>
    <mergeCell ref="B21:D23"/>
  </mergeCells>
  <pageMargins left="0.511811024" right="0.511811024" top="0.78740157499999996" bottom="0.78740157499999996" header="0.31496062000000002" footer="0.31496062000000002"/>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0"/>
  <sheetViews>
    <sheetView topLeftCell="A25" workbookViewId="0">
      <selection activeCell="G54" sqref="G54"/>
    </sheetView>
  </sheetViews>
  <sheetFormatPr defaultRowHeight="15" x14ac:dyDescent="0.25"/>
  <cols>
    <col min="1" max="4" width="14.85546875" customWidth="1"/>
    <col min="6" max="7" width="12.140625" customWidth="1"/>
    <col min="8" max="8" width="17.5703125" customWidth="1"/>
    <col min="9" max="10" width="12.140625" customWidth="1"/>
  </cols>
  <sheetData>
    <row r="1" spans="1:10" x14ac:dyDescent="0.25">
      <c r="A1" s="2" t="s">
        <v>208</v>
      </c>
      <c r="B1" s="2"/>
      <c r="C1" s="2"/>
      <c r="D1" s="2"/>
      <c r="E1" s="2"/>
      <c r="F1" s="140" t="s">
        <v>183</v>
      </c>
      <c r="G1" s="140"/>
      <c r="H1" s="140"/>
      <c r="I1" s="140"/>
      <c r="J1" s="140"/>
    </row>
    <row r="2" spans="1:10" ht="33.75" x14ac:dyDescent="0.25">
      <c r="A2" s="176" t="s">
        <v>209</v>
      </c>
      <c r="B2" s="176"/>
      <c r="C2" s="176"/>
      <c r="D2" s="176"/>
      <c r="F2" s="45" t="s">
        <v>185</v>
      </c>
      <c r="G2" s="44" t="s">
        <v>186</v>
      </c>
      <c r="H2" s="44" t="s">
        <v>210</v>
      </c>
      <c r="I2" s="45" t="s">
        <v>188</v>
      </c>
      <c r="J2" s="45" t="s">
        <v>189</v>
      </c>
    </row>
    <row r="3" spans="1:10" x14ac:dyDescent="0.25">
      <c r="A3" s="140" t="s">
        <v>211</v>
      </c>
      <c r="B3" s="140"/>
      <c r="C3" s="140"/>
      <c r="D3" s="140"/>
      <c r="F3" s="21" t="s">
        <v>0</v>
      </c>
      <c r="G3" s="21">
        <v>0</v>
      </c>
      <c r="H3" s="21">
        <v>0</v>
      </c>
      <c r="I3" s="21">
        <v>31</v>
      </c>
      <c r="J3" s="52">
        <f t="shared" ref="J3:J14" si="0">(I3-H3)/I3</f>
        <v>1</v>
      </c>
    </row>
    <row r="4" spans="1:10" x14ac:dyDescent="0.25">
      <c r="A4" s="140" t="s">
        <v>212</v>
      </c>
      <c r="B4" s="140" t="s">
        <v>213</v>
      </c>
      <c r="C4" s="140"/>
      <c r="D4" s="140"/>
      <c r="F4" s="21" t="s">
        <v>1</v>
      </c>
      <c r="G4" s="21">
        <v>52</v>
      </c>
      <c r="H4" s="21">
        <v>7</v>
      </c>
      <c r="I4" s="21">
        <v>28</v>
      </c>
      <c r="J4" s="52">
        <f t="shared" si="0"/>
        <v>0.75</v>
      </c>
    </row>
    <row r="5" spans="1:10" x14ac:dyDescent="0.25">
      <c r="A5" s="140"/>
      <c r="B5" s="45" t="s">
        <v>192</v>
      </c>
      <c r="C5" s="45" t="s">
        <v>193</v>
      </c>
      <c r="D5" s="45" t="s">
        <v>194</v>
      </c>
      <c r="F5" s="21" t="s">
        <v>2</v>
      </c>
      <c r="G5" s="21">
        <v>69</v>
      </c>
      <c r="H5" s="21">
        <v>7</v>
      </c>
      <c r="I5" s="21">
        <v>31</v>
      </c>
      <c r="J5" s="52">
        <f t="shared" si="0"/>
        <v>0.77419354838709675</v>
      </c>
    </row>
    <row r="6" spans="1:10" x14ac:dyDescent="0.25">
      <c r="A6" s="17" t="s">
        <v>214</v>
      </c>
      <c r="B6" s="17">
        <v>0.15</v>
      </c>
      <c r="C6" s="17">
        <v>1.5</v>
      </c>
      <c r="D6" s="17">
        <v>4.9000000000000004</v>
      </c>
      <c r="F6" s="21" t="s">
        <v>3</v>
      </c>
      <c r="G6" s="21">
        <v>44</v>
      </c>
      <c r="H6" s="21">
        <v>8</v>
      </c>
      <c r="I6" s="21">
        <v>30</v>
      </c>
      <c r="J6" s="52">
        <f t="shared" si="0"/>
        <v>0.73333333333333328</v>
      </c>
    </row>
    <row r="7" spans="1:10" x14ac:dyDescent="0.25">
      <c r="A7" s="17" t="s">
        <v>215</v>
      </c>
      <c r="B7" s="17">
        <v>0.9</v>
      </c>
      <c r="C7" s="17">
        <v>0.9</v>
      </c>
      <c r="D7" s="17">
        <v>0.7</v>
      </c>
      <c r="F7" s="21" t="s">
        <v>4</v>
      </c>
      <c r="G7" s="21">
        <v>185.8</v>
      </c>
      <c r="H7" s="21">
        <v>16</v>
      </c>
      <c r="I7" s="21">
        <v>31</v>
      </c>
      <c r="J7" s="52">
        <f t="shared" si="0"/>
        <v>0.4838709677419355</v>
      </c>
    </row>
    <row r="8" spans="1:10" x14ac:dyDescent="0.25">
      <c r="A8" s="17" t="s">
        <v>216</v>
      </c>
      <c r="B8" s="17">
        <v>0.45</v>
      </c>
      <c r="C8" s="17">
        <v>0.45</v>
      </c>
      <c r="D8" s="17">
        <v>0.45</v>
      </c>
      <c r="F8" s="21" t="s">
        <v>5</v>
      </c>
      <c r="G8" s="21">
        <v>119.2</v>
      </c>
      <c r="H8" s="21">
        <v>9</v>
      </c>
      <c r="I8" s="21">
        <v>30</v>
      </c>
      <c r="J8" s="52">
        <f t="shared" si="0"/>
        <v>0.7</v>
      </c>
    </row>
    <row r="9" spans="1:10" x14ac:dyDescent="0.25">
      <c r="A9" s="17" t="s">
        <v>217</v>
      </c>
      <c r="B9" s="62">
        <v>281.89999999999998</v>
      </c>
      <c r="C9" s="17" t="s">
        <v>195</v>
      </c>
      <c r="D9" s="17"/>
      <c r="F9" s="21" t="s">
        <v>6</v>
      </c>
      <c r="G9" s="21">
        <v>17.8</v>
      </c>
      <c r="H9" s="21">
        <v>6</v>
      </c>
      <c r="I9" s="21">
        <v>31</v>
      </c>
      <c r="J9" s="52">
        <f t="shared" si="0"/>
        <v>0.80645161290322576</v>
      </c>
    </row>
    <row r="10" spans="1:10" x14ac:dyDescent="0.25">
      <c r="A10" s="177" t="s">
        <v>218</v>
      </c>
      <c r="B10" s="177"/>
      <c r="C10" s="177"/>
      <c r="D10" s="177"/>
      <c r="F10" s="21" t="s">
        <v>7</v>
      </c>
      <c r="G10" s="21">
        <v>70.2</v>
      </c>
      <c r="H10" s="21">
        <v>11</v>
      </c>
      <c r="I10" s="21">
        <v>31</v>
      </c>
      <c r="J10" s="52">
        <f t="shared" si="0"/>
        <v>0.64516129032258063</v>
      </c>
    </row>
    <row r="11" spans="1:10" x14ac:dyDescent="0.25">
      <c r="A11" s="177"/>
      <c r="B11" s="177"/>
      <c r="C11" s="177"/>
      <c r="D11" s="177"/>
      <c r="F11" s="21" t="s">
        <v>8</v>
      </c>
      <c r="G11" s="21">
        <v>25.2</v>
      </c>
      <c r="H11" s="21">
        <v>7</v>
      </c>
      <c r="I11" s="21">
        <v>30</v>
      </c>
      <c r="J11" s="52">
        <f t="shared" si="0"/>
        <v>0.76666666666666672</v>
      </c>
    </row>
    <row r="12" spans="1:10" x14ac:dyDescent="0.25">
      <c r="A12" s="177"/>
      <c r="B12" s="178" t="s">
        <v>219</v>
      </c>
      <c r="C12" s="178"/>
      <c r="D12" s="178"/>
      <c r="F12" s="21" t="s">
        <v>9</v>
      </c>
      <c r="G12" s="21">
        <v>54.4</v>
      </c>
      <c r="H12" s="21">
        <v>6</v>
      </c>
      <c r="I12" s="21">
        <v>31</v>
      </c>
      <c r="J12" s="52">
        <f t="shared" si="0"/>
        <v>0.80645161290322576</v>
      </c>
    </row>
    <row r="13" spans="1:10" x14ac:dyDescent="0.25">
      <c r="A13" s="177"/>
      <c r="B13" s="178"/>
      <c r="C13" s="178"/>
      <c r="D13" s="178"/>
      <c r="F13" s="21" t="s">
        <v>10</v>
      </c>
      <c r="G13" s="58">
        <v>48.6</v>
      </c>
      <c r="H13" s="21">
        <v>9</v>
      </c>
      <c r="I13" s="21">
        <v>30</v>
      </c>
      <c r="J13" s="52">
        <f t="shared" si="0"/>
        <v>0.7</v>
      </c>
    </row>
    <row r="14" spans="1:10" x14ac:dyDescent="0.25">
      <c r="A14" s="177"/>
      <c r="B14" s="178"/>
      <c r="C14" s="178"/>
      <c r="D14" s="178"/>
      <c r="F14" s="21" t="s">
        <v>11</v>
      </c>
      <c r="G14" s="21">
        <v>91.4</v>
      </c>
      <c r="H14" s="21">
        <v>6</v>
      </c>
      <c r="I14" s="21">
        <v>31</v>
      </c>
      <c r="J14" s="52">
        <f t="shared" si="0"/>
        <v>0.80645161290322576</v>
      </c>
    </row>
    <row r="15" spans="1:10" x14ac:dyDescent="0.25">
      <c r="F15" s="46"/>
      <c r="G15" s="2"/>
      <c r="H15" s="2"/>
      <c r="I15" s="26"/>
      <c r="J15" s="2"/>
    </row>
    <row r="16" spans="1:10" x14ac:dyDescent="0.25">
      <c r="F16" s="59" t="s">
        <v>197</v>
      </c>
      <c r="G16" s="49">
        <f>(365-SUM(H3:H14))/365</f>
        <v>0.74794520547945209</v>
      </c>
      <c r="H16" s="1"/>
      <c r="I16" s="1"/>
      <c r="J16" s="1"/>
    </row>
    <row r="19" spans="1:10" x14ac:dyDescent="0.25">
      <c r="A19" s="2" t="s">
        <v>182</v>
      </c>
      <c r="C19" s="51"/>
      <c r="D19" s="51"/>
      <c r="F19" s="140" t="s">
        <v>183</v>
      </c>
      <c r="G19" s="140"/>
      <c r="H19" s="140"/>
      <c r="I19" s="140"/>
      <c r="J19" s="140"/>
    </row>
    <row r="20" spans="1:10" ht="33.75" x14ac:dyDescent="0.25">
      <c r="A20" s="169" t="s">
        <v>184</v>
      </c>
      <c r="B20" s="169"/>
      <c r="C20" s="169"/>
      <c r="D20" s="169"/>
      <c r="F20" s="45" t="s">
        <v>185</v>
      </c>
      <c r="G20" s="44" t="s">
        <v>186</v>
      </c>
      <c r="H20" s="44" t="s">
        <v>187</v>
      </c>
      <c r="I20" s="45" t="s">
        <v>188</v>
      </c>
      <c r="J20" s="45" t="s">
        <v>189</v>
      </c>
    </row>
    <row r="21" spans="1:10" x14ac:dyDescent="0.25">
      <c r="A21" s="140" t="s">
        <v>190</v>
      </c>
      <c r="B21" s="140" t="s">
        <v>191</v>
      </c>
      <c r="C21" s="140"/>
      <c r="D21" s="140"/>
      <c r="F21" s="21" t="s">
        <v>0</v>
      </c>
      <c r="G21" s="21">
        <v>0</v>
      </c>
      <c r="H21" s="21">
        <v>0</v>
      </c>
      <c r="I21" s="21">
        <v>31</v>
      </c>
      <c r="J21" s="52">
        <f>1-((1.2*H21)/(I21*24))</f>
        <v>1</v>
      </c>
    </row>
    <row r="22" spans="1:10" x14ac:dyDescent="0.25">
      <c r="A22" s="140"/>
      <c r="B22" s="45" t="s">
        <v>192</v>
      </c>
      <c r="C22" s="45" t="s">
        <v>193</v>
      </c>
      <c r="D22" s="45" t="s">
        <v>194</v>
      </c>
      <c r="F22" s="21" t="s">
        <v>1</v>
      </c>
      <c r="G22" s="21">
        <v>52</v>
      </c>
      <c r="H22" s="21">
        <v>17</v>
      </c>
      <c r="I22" s="21">
        <v>28</v>
      </c>
      <c r="J22" s="52">
        <f t="shared" ref="J22:J31" si="1">1-((1.2*H22)/(I22*24))</f>
        <v>0.96964285714285714</v>
      </c>
    </row>
    <row r="23" spans="1:10" x14ac:dyDescent="0.25">
      <c r="A23" s="53" t="s">
        <v>195</v>
      </c>
      <c r="B23" s="54">
        <v>0.15</v>
      </c>
      <c r="C23" s="55">
        <v>0.62</v>
      </c>
      <c r="D23" s="55">
        <v>3.23</v>
      </c>
      <c r="F23" s="21" t="s">
        <v>2</v>
      </c>
      <c r="G23" s="21">
        <v>69</v>
      </c>
      <c r="H23" s="21">
        <v>21</v>
      </c>
      <c r="I23" s="21">
        <v>31</v>
      </c>
      <c r="J23" s="52">
        <f t="shared" si="1"/>
        <v>0.96612903225806457</v>
      </c>
    </row>
    <row r="24" spans="1:10" x14ac:dyDescent="0.25">
      <c r="C24" s="51"/>
      <c r="D24" s="51"/>
      <c r="F24" s="21" t="s">
        <v>3</v>
      </c>
      <c r="G24" s="21">
        <v>44</v>
      </c>
      <c r="H24" s="21">
        <v>17</v>
      </c>
      <c r="I24" s="21">
        <v>30</v>
      </c>
      <c r="J24" s="52">
        <f t="shared" si="1"/>
        <v>0.97166666666666668</v>
      </c>
    </row>
    <row r="25" spans="1:10" x14ac:dyDescent="0.25">
      <c r="A25" s="146" t="s">
        <v>65</v>
      </c>
      <c r="B25" s="37"/>
      <c r="C25" s="38"/>
      <c r="D25" s="38"/>
      <c r="E25" s="56"/>
      <c r="F25" s="21" t="s">
        <v>4</v>
      </c>
      <c r="G25" s="21">
        <v>185.8</v>
      </c>
      <c r="H25" s="21">
        <v>87</v>
      </c>
      <c r="I25" s="21">
        <v>31</v>
      </c>
      <c r="J25" s="52">
        <f t="shared" si="1"/>
        <v>0.85967741935483866</v>
      </c>
    </row>
    <row r="26" spans="1:10" x14ac:dyDescent="0.25">
      <c r="A26" s="147"/>
      <c r="B26" s="39"/>
      <c r="C26" s="40"/>
      <c r="D26" s="40"/>
      <c r="E26" s="56"/>
      <c r="F26" s="21" t="s">
        <v>5</v>
      </c>
      <c r="G26" s="21">
        <v>119.2</v>
      </c>
      <c r="H26" s="21">
        <v>37</v>
      </c>
      <c r="I26" s="21">
        <v>30</v>
      </c>
      <c r="J26" s="52">
        <f t="shared" si="1"/>
        <v>0.93833333333333335</v>
      </c>
    </row>
    <row r="27" spans="1:10" x14ac:dyDescent="0.25">
      <c r="A27" s="147"/>
      <c r="B27" s="41"/>
      <c r="C27" s="42"/>
      <c r="D27" s="42"/>
      <c r="E27" s="56"/>
      <c r="F27" s="21" t="s">
        <v>6</v>
      </c>
      <c r="G27" s="21">
        <v>17.8</v>
      </c>
      <c r="H27" s="21">
        <v>16</v>
      </c>
      <c r="I27" s="21">
        <v>31</v>
      </c>
      <c r="J27" s="52">
        <f t="shared" si="1"/>
        <v>0.97419354838709682</v>
      </c>
    </row>
    <row r="28" spans="1:10" x14ac:dyDescent="0.25">
      <c r="A28" s="147"/>
      <c r="B28" s="158" t="s">
        <v>196</v>
      </c>
      <c r="C28" s="159"/>
      <c r="D28" s="159"/>
      <c r="E28" s="57"/>
      <c r="F28" s="21" t="s">
        <v>7</v>
      </c>
      <c r="G28" s="21">
        <v>70.2</v>
      </c>
      <c r="H28" s="21">
        <v>41</v>
      </c>
      <c r="I28" s="21">
        <v>31</v>
      </c>
      <c r="J28" s="52">
        <f t="shared" si="1"/>
        <v>0.93387096774193545</v>
      </c>
    </row>
    <row r="29" spans="1:10" x14ac:dyDescent="0.25">
      <c r="A29" s="147"/>
      <c r="B29" s="161"/>
      <c r="C29" s="162"/>
      <c r="D29" s="162"/>
      <c r="E29" s="57"/>
      <c r="F29" s="21" t="s">
        <v>8</v>
      </c>
      <c r="G29" s="21">
        <v>25.2</v>
      </c>
      <c r="H29" s="21">
        <v>20</v>
      </c>
      <c r="I29" s="21">
        <v>30</v>
      </c>
      <c r="J29" s="52">
        <f t="shared" si="1"/>
        <v>0.96666666666666667</v>
      </c>
    </row>
    <row r="30" spans="1:10" x14ac:dyDescent="0.25">
      <c r="A30" s="147"/>
      <c r="B30" s="161"/>
      <c r="C30" s="162"/>
      <c r="D30" s="162"/>
      <c r="E30" s="57"/>
      <c r="F30" s="21" t="s">
        <v>9</v>
      </c>
      <c r="G30" s="21">
        <v>54.4</v>
      </c>
      <c r="H30" s="21">
        <v>29</v>
      </c>
      <c r="I30" s="21">
        <v>31</v>
      </c>
      <c r="J30" s="52">
        <f t="shared" si="1"/>
        <v>0.95322580645161292</v>
      </c>
    </row>
    <row r="31" spans="1:10" x14ac:dyDescent="0.25">
      <c r="A31" s="147"/>
      <c r="B31" s="161"/>
      <c r="C31" s="162"/>
      <c r="D31" s="162"/>
      <c r="E31" s="57"/>
      <c r="F31" s="21" t="s">
        <v>10</v>
      </c>
      <c r="G31" s="58">
        <v>48.6</v>
      </c>
      <c r="H31" s="21">
        <v>30</v>
      </c>
      <c r="I31" s="21">
        <v>30</v>
      </c>
      <c r="J31" s="52">
        <f t="shared" si="1"/>
        <v>0.95</v>
      </c>
    </row>
    <row r="32" spans="1:10" x14ac:dyDescent="0.25">
      <c r="A32" s="147"/>
      <c r="B32" s="161"/>
      <c r="C32" s="162"/>
      <c r="D32" s="162"/>
      <c r="E32" s="57"/>
      <c r="F32" s="21" t="s">
        <v>11</v>
      </c>
      <c r="G32" s="21">
        <v>91.4</v>
      </c>
      <c r="H32" s="21">
        <v>22</v>
      </c>
      <c r="I32" s="21">
        <v>31</v>
      </c>
      <c r="J32" s="52">
        <f>1-((1.2*H32)/(I32*24))</f>
        <v>0.96451612903225803</v>
      </c>
    </row>
    <row r="33" spans="1:14" x14ac:dyDescent="0.25">
      <c r="A33" s="147"/>
      <c r="B33" s="161"/>
      <c r="C33" s="162"/>
      <c r="D33" s="162"/>
      <c r="E33" s="57"/>
      <c r="F33" s="59" t="s">
        <v>197</v>
      </c>
      <c r="G33" s="49">
        <f>(1-(1.2*SUM(H21:H32))/8760)</f>
        <v>0.95383561643835613</v>
      </c>
      <c r="H33" s="2"/>
      <c r="I33" s="26"/>
      <c r="J33" s="2"/>
    </row>
    <row r="34" spans="1:14" x14ac:dyDescent="0.25">
      <c r="A34" s="148"/>
      <c r="B34" s="164"/>
      <c r="C34" s="165"/>
      <c r="D34" s="165"/>
      <c r="E34" s="57"/>
    </row>
    <row r="35" spans="1:14" x14ac:dyDescent="0.25">
      <c r="A35" s="60"/>
      <c r="B35" s="51"/>
      <c r="C35" s="51"/>
      <c r="D35" s="51"/>
    </row>
    <row r="37" spans="1:14" x14ac:dyDescent="0.25">
      <c r="A37" s="140" t="s">
        <v>198</v>
      </c>
      <c r="B37" s="179" t="s">
        <v>199</v>
      </c>
      <c r="C37" s="180"/>
      <c r="D37" s="180"/>
      <c r="E37" s="180"/>
      <c r="F37" s="180"/>
      <c r="G37" s="180"/>
      <c r="H37" s="180"/>
      <c r="I37" s="180"/>
      <c r="J37" s="180"/>
      <c r="K37" s="180"/>
      <c r="L37" s="180"/>
      <c r="M37" s="180"/>
      <c r="N37" s="180"/>
    </row>
    <row r="38" spans="1:14" x14ac:dyDescent="0.25">
      <c r="A38" s="140"/>
      <c r="B38" s="140" t="s">
        <v>200</v>
      </c>
      <c r="C38" s="140"/>
      <c r="D38" s="140"/>
      <c r="E38" s="140"/>
      <c r="F38" s="140"/>
      <c r="G38" s="140"/>
      <c r="H38" s="140"/>
      <c r="I38" s="140" t="s">
        <v>201</v>
      </c>
      <c r="J38" s="140"/>
      <c r="K38" s="140"/>
      <c r="L38" s="140" t="s">
        <v>202</v>
      </c>
      <c r="M38" s="140"/>
      <c r="N38" s="140"/>
    </row>
    <row r="39" spans="1:14" x14ac:dyDescent="0.25">
      <c r="A39" s="140"/>
      <c r="B39" s="45" t="s">
        <v>40</v>
      </c>
      <c r="C39" s="45" t="s">
        <v>127</v>
      </c>
      <c r="D39" s="45" t="s">
        <v>203</v>
      </c>
      <c r="E39" s="45" t="s">
        <v>204</v>
      </c>
      <c r="F39" s="45" t="s">
        <v>205</v>
      </c>
      <c r="G39" s="45" t="s">
        <v>45</v>
      </c>
      <c r="H39" s="45" t="s">
        <v>206</v>
      </c>
      <c r="I39" s="45" t="s">
        <v>40</v>
      </c>
      <c r="J39" s="45" t="s">
        <v>127</v>
      </c>
      <c r="K39" s="45" t="s">
        <v>203</v>
      </c>
      <c r="L39" s="45" t="s">
        <v>40</v>
      </c>
      <c r="M39" s="45" t="s">
        <v>127</v>
      </c>
      <c r="N39" s="45" t="s">
        <v>203</v>
      </c>
    </row>
    <row r="40" spans="1:14" x14ac:dyDescent="0.25">
      <c r="A40" s="61" t="s">
        <v>207</v>
      </c>
      <c r="B40" s="132">
        <v>0.17489827604766656</v>
      </c>
      <c r="C40" s="132">
        <v>0.17489827604766656</v>
      </c>
      <c r="D40" s="132">
        <v>0.17489827604766656</v>
      </c>
      <c r="E40" s="132">
        <v>5.4345140567386743</v>
      </c>
      <c r="F40" s="132">
        <v>0.21032135261668511</v>
      </c>
      <c r="G40" s="132">
        <v>1.0383730075038093</v>
      </c>
      <c r="H40" s="132">
        <v>0.24766340643796464</v>
      </c>
      <c r="I40" s="133">
        <v>6.7633804693835883E-2</v>
      </c>
      <c r="J40" s="133">
        <v>5.1332470377789451E-2</v>
      </c>
      <c r="K40" s="133">
        <v>2.7520218195668727E-2</v>
      </c>
      <c r="L40" s="133">
        <v>6.3494136177677976E-2</v>
      </c>
      <c r="M40" s="133">
        <v>3.1747068088838988E-2</v>
      </c>
      <c r="N40" s="133">
        <v>1.7137767759244575E-2</v>
      </c>
    </row>
  </sheetData>
  <sheetProtection password="B056" sheet="1" objects="1" scenarios="1"/>
  <mergeCells count="19">
    <mergeCell ref="A10:A14"/>
    <mergeCell ref="B10:D11"/>
    <mergeCell ref="B12:D14"/>
    <mergeCell ref="A37:A39"/>
    <mergeCell ref="B37:N37"/>
    <mergeCell ref="B38:H38"/>
    <mergeCell ref="I38:K38"/>
    <mergeCell ref="L38:N38"/>
    <mergeCell ref="F19:J19"/>
    <mergeCell ref="A20:D20"/>
    <mergeCell ref="A21:A22"/>
    <mergeCell ref="B21:D21"/>
    <mergeCell ref="A25:A34"/>
    <mergeCell ref="B28:D34"/>
    <mergeCell ref="F1:J1"/>
    <mergeCell ref="A2:D2"/>
    <mergeCell ref="A3:D3"/>
    <mergeCell ref="A4:A5"/>
    <mergeCell ref="B4:D4"/>
  </mergeCells>
  <pageMargins left="0.511811024" right="0.511811024" top="0.78740157499999996" bottom="0.78740157499999996" header="0.31496062000000002" footer="0.31496062000000002"/>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
  <sheetViews>
    <sheetView workbookViewId="0">
      <selection activeCell="D19" sqref="D19"/>
    </sheetView>
  </sheetViews>
  <sheetFormatPr defaultRowHeight="15" x14ac:dyDescent="0.25"/>
  <cols>
    <col min="1" max="1" width="21.28515625" customWidth="1"/>
    <col min="2" max="2" width="10.7109375" customWidth="1"/>
    <col min="3" max="3" width="21.28515625" customWidth="1"/>
    <col min="4" max="4" width="11.85546875" customWidth="1"/>
    <col min="5" max="5" width="14.42578125" customWidth="1"/>
    <col min="6" max="6" width="11.140625" customWidth="1"/>
    <col min="7" max="7" width="14.28515625" customWidth="1"/>
  </cols>
  <sheetData>
    <row r="1" spans="1:8" x14ac:dyDescent="0.25">
      <c r="A1" s="140" t="s">
        <v>34</v>
      </c>
      <c r="B1" s="140"/>
      <c r="C1" s="140"/>
      <c r="D1" s="140"/>
      <c r="E1" s="140"/>
      <c r="H1" s="80"/>
    </row>
    <row r="2" spans="1:8" x14ac:dyDescent="0.25">
      <c r="A2" s="181" t="s">
        <v>235</v>
      </c>
      <c r="B2" s="181"/>
      <c r="C2" s="181" t="s">
        <v>234</v>
      </c>
      <c r="D2" s="181"/>
      <c r="E2" s="84" t="s">
        <v>71</v>
      </c>
    </row>
    <row r="3" spans="1:8" x14ac:dyDescent="0.25">
      <c r="A3" s="140" t="s">
        <v>23</v>
      </c>
      <c r="B3" s="140"/>
      <c r="C3" s="140" t="s">
        <v>23</v>
      </c>
      <c r="D3" s="140"/>
      <c r="E3" s="84" t="s">
        <v>23</v>
      </c>
    </row>
    <row r="4" spans="1:8" x14ac:dyDescent="0.25">
      <c r="A4" s="104" t="s">
        <v>24</v>
      </c>
      <c r="B4" s="102">
        <f>AVERAGE(2.93,1.07,1.18)</f>
        <v>1.7266666666666666</v>
      </c>
      <c r="C4" s="105" t="s">
        <v>24</v>
      </c>
      <c r="D4" s="55">
        <f>AVERAGE(2.94,2.97,2.8)</f>
        <v>2.9033333333333338</v>
      </c>
      <c r="E4" s="55">
        <f>AVERAGE($D$4,$B$4)</f>
        <v>2.3150000000000004</v>
      </c>
    </row>
    <row r="5" spans="1:8" x14ac:dyDescent="0.25">
      <c r="A5" s="106" t="s">
        <v>25</v>
      </c>
      <c r="B5" s="103">
        <f>AVERAGE(0.1,0.06,0.04)</f>
        <v>6.6666666666666666E-2</v>
      </c>
      <c r="C5" s="104" t="s">
        <v>25</v>
      </c>
      <c r="D5" s="107">
        <f>AVERAGE(0.18,0.16,0.14)</f>
        <v>0.16</v>
      </c>
      <c r="E5" s="55">
        <f>AVERAGE($D$5,$B$5)</f>
        <v>0.11333333333333334</v>
      </c>
    </row>
    <row r="6" spans="1:8" x14ac:dyDescent="0.25">
      <c r="A6" s="106" t="s">
        <v>26</v>
      </c>
      <c r="B6" s="103">
        <f>AVERAGE(0.43,0.64,0.51)</f>
        <v>0.52666666666666673</v>
      </c>
      <c r="C6" s="104" t="s">
        <v>26</v>
      </c>
      <c r="D6" s="107">
        <f>AVERAGE(0.22,0.3,0.39)</f>
        <v>0.30333333333333334</v>
      </c>
      <c r="E6" s="55">
        <f>AVERAGE($D$6,$B$6)</f>
        <v>0.41500000000000004</v>
      </c>
      <c r="G6" s="83"/>
    </row>
    <row r="7" spans="1:8" x14ac:dyDescent="0.25">
      <c r="A7" s="106" t="s">
        <v>21</v>
      </c>
      <c r="B7" s="108">
        <f>AVERAGE(73.25,73.83,73.75)</f>
        <v>73.61</v>
      </c>
      <c r="C7" s="104" t="s">
        <v>21</v>
      </c>
      <c r="D7" s="109">
        <f>AVERAGE(74.92,75.5,75.42)</f>
        <v>75.280000000000015</v>
      </c>
      <c r="E7" s="114">
        <f>AVERAGE(B7,D7)</f>
        <v>74.445000000000007</v>
      </c>
      <c r="G7" s="81"/>
    </row>
    <row r="8" spans="1:8" x14ac:dyDescent="0.25">
      <c r="A8" s="106" t="s">
        <v>22</v>
      </c>
      <c r="B8" s="103">
        <f>AVERAGE(2.24,2.23,2.23)</f>
        <v>2.2333333333333338</v>
      </c>
      <c r="C8" s="104" t="s">
        <v>22</v>
      </c>
      <c r="D8" s="107">
        <f>AVERAGE(1.33,1.44,1.55)</f>
        <v>1.4400000000000002</v>
      </c>
      <c r="E8" s="114">
        <f t="shared" ref="E8:E9" si="0">AVERAGE(B8,D8)</f>
        <v>1.8366666666666669</v>
      </c>
      <c r="G8" s="81"/>
    </row>
    <row r="9" spans="1:8" x14ac:dyDescent="0.25">
      <c r="A9" s="110" t="s">
        <v>27</v>
      </c>
      <c r="B9" s="111">
        <f>AVERAGE(269859,271320,271248)</f>
        <v>270809</v>
      </c>
      <c r="C9" s="104" t="s">
        <v>27</v>
      </c>
      <c r="D9" s="112">
        <f>AVERAGE(267259,268815,268837)</f>
        <v>268303.66666666669</v>
      </c>
      <c r="E9" s="112">
        <f t="shared" si="0"/>
        <v>269556.33333333337</v>
      </c>
      <c r="G9" s="82"/>
    </row>
    <row r="10" spans="1:8" x14ac:dyDescent="0.25">
      <c r="F10" s="1"/>
      <c r="G10" s="1"/>
    </row>
  </sheetData>
  <sheetProtection password="B056" sheet="1" objects="1" scenarios="1"/>
  <mergeCells count="5">
    <mergeCell ref="C3:D3"/>
    <mergeCell ref="A1:E1"/>
    <mergeCell ref="A2:B2"/>
    <mergeCell ref="C2:D2"/>
    <mergeCell ref="A3:B3"/>
  </mergeCells>
  <pageMargins left="0.511811024" right="0.511811024" top="0.78740157499999996" bottom="0.78740157499999996" header="0.31496062000000002" footer="0.31496062000000002"/>
  <ignoredErrors>
    <ignoredError sqref="E6" formula="1"/>
  </ignoredErrors>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
  <sheetViews>
    <sheetView workbookViewId="0">
      <selection activeCell="I24" sqref="I24"/>
    </sheetView>
  </sheetViews>
  <sheetFormatPr defaultRowHeight="15" x14ac:dyDescent="0.25"/>
  <cols>
    <col min="1" max="1" width="13.42578125" bestFit="1" customWidth="1"/>
    <col min="2" max="2" width="13.42578125" customWidth="1"/>
    <col min="3" max="3" width="11.28515625" bestFit="1" customWidth="1"/>
    <col min="4" max="4" width="20.28515625" bestFit="1" customWidth="1"/>
    <col min="5" max="5" width="10.5703125" customWidth="1"/>
    <col min="6" max="6" width="11.28515625" customWidth="1"/>
    <col min="13" max="13" width="9.140625" customWidth="1"/>
  </cols>
  <sheetData>
    <row r="1" spans="1:15" x14ac:dyDescent="0.25">
      <c r="A1" s="182" t="s">
        <v>35</v>
      </c>
      <c r="B1" s="182" t="s">
        <v>29</v>
      </c>
      <c r="C1" s="182" t="s">
        <v>36</v>
      </c>
      <c r="D1" s="187" t="s">
        <v>37</v>
      </c>
      <c r="E1" s="189" t="s">
        <v>263</v>
      </c>
      <c r="F1" s="189" t="s">
        <v>264</v>
      </c>
      <c r="G1" s="182" t="s">
        <v>31</v>
      </c>
      <c r="H1" s="182" t="s">
        <v>38</v>
      </c>
      <c r="I1" s="184" t="s">
        <v>39</v>
      </c>
      <c r="J1" s="185"/>
      <c r="K1" s="185"/>
      <c r="L1" s="185"/>
      <c r="M1" s="185"/>
      <c r="N1" s="185"/>
      <c r="O1" s="185"/>
    </row>
    <row r="2" spans="1:15" x14ac:dyDescent="0.25">
      <c r="A2" s="183"/>
      <c r="B2" s="183"/>
      <c r="C2" s="183"/>
      <c r="D2" s="188"/>
      <c r="E2" s="189"/>
      <c r="F2" s="189"/>
      <c r="G2" s="183"/>
      <c r="H2" s="183"/>
      <c r="I2" s="5" t="s">
        <v>40</v>
      </c>
      <c r="J2" s="5" t="s">
        <v>41</v>
      </c>
      <c r="K2" s="5" t="s">
        <v>42</v>
      </c>
      <c r="L2" s="5" t="s">
        <v>43</v>
      </c>
      <c r="M2" s="5" t="s">
        <v>44</v>
      </c>
      <c r="N2" s="5" t="s">
        <v>45</v>
      </c>
      <c r="O2" s="5" t="s">
        <v>106</v>
      </c>
    </row>
    <row r="3" spans="1:15" x14ac:dyDescent="0.25">
      <c r="A3" s="6" t="s">
        <v>28</v>
      </c>
      <c r="B3" s="9" t="str">
        <f>Dados!$B$17</f>
        <v>VOLVO L90E</v>
      </c>
      <c r="C3" s="7">
        <f>Dados!$D$17</f>
        <v>162</v>
      </c>
      <c r="D3" s="6" t="s">
        <v>46</v>
      </c>
      <c r="E3" s="8">
        <v>-20.261939999999999</v>
      </c>
      <c r="F3" s="8">
        <v>-40.232548999999999</v>
      </c>
      <c r="G3" s="9">
        <f>Dados!$C$17</f>
        <v>1</v>
      </c>
      <c r="H3" s="10">
        <f>Dados!$E$17/365</f>
        <v>15.890410958904109</v>
      </c>
      <c r="I3" s="11">
        <f>(INDEX(FE_Equip,MATCH($D$3,Pot_Equip,0),2))*$G$3*$H$3/(24)</f>
        <v>2.3089913129735431E-2</v>
      </c>
      <c r="J3" s="11">
        <f>$I$3</f>
        <v>2.3089913129735431E-2</v>
      </c>
      <c r="K3" s="11">
        <f>$I$3</f>
        <v>2.3089913129735431E-2</v>
      </c>
      <c r="L3" s="11">
        <f>(INDEX(FE_Equip,MATCH($D$3,Pot_Equip,0),3))*$G$3*$H$3/(24)</f>
        <v>0.41592498228291191</v>
      </c>
      <c r="M3" s="11">
        <f>(INDEX(FE_Equip,MATCH($D$3,Pot_Equip,0),4))*$G$3*$H$3/(24)</f>
        <v>3.5925550110827684E-4</v>
      </c>
      <c r="N3" s="11">
        <f>(INDEX(FE_Equip,MATCH($D$3,Pot_Equip,0),5))*$G$3*$H$3/(24)</f>
        <v>0.19296046259558383</v>
      </c>
      <c r="O3" s="11">
        <f>(INDEX(FE_Equip,MATCH($D$3,Pot_Equip,0),6))*G3*H3/(24)</f>
        <v>5.2840244481371805E-2</v>
      </c>
    </row>
    <row r="4" spans="1:15" x14ac:dyDescent="0.25">
      <c r="A4" s="186" t="s">
        <v>260</v>
      </c>
      <c r="B4" s="186"/>
      <c r="C4" s="186"/>
      <c r="D4" s="186"/>
      <c r="E4" s="186"/>
      <c r="F4" s="186"/>
      <c r="G4" s="186"/>
      <c r="H4" s="186"/>
      <c r="I4" s="89">
        <f>I$3</f>
        <v>2.3089913129735431E-2</v>
      </c>
      <c r="J4" s="89">
        <f t="shared" ref="J4:O4" si="0">J$3</f>
        <v>2.3089913129735431E-2</v>
      </c>
      <c r="K4" s="89">
        <f t="shared" si="0"/>
        <v>2.3089913129735431E-2</v>
      </c>
      <c r="L4" s="89">
        <f t="shared" si="0"/>
        <v>0.41592498228291191</v>
      </c>
      <c r="M4" s="89">
        <f>M$3</f>
        <v>3.5925550110827684E-4</v>
      </c>
      <c r="N4" s="89">
        <f t="shared" si="0"/>
        <v>0.19296046259558383</v>
      </c>
      <c r="O4" s="89">
        <f t="shared" si="0"/>
        <v>5.2840244481371805E-2</v>
      </c>
    </row>
  </sheetData>
  <sheetProtection password="B056" sheet="1" objects="1" scenarios="1"/>
  <mergeCells count="10">
    <mergeCell ref="H1:H2"/>
    <mergeCell ref="I1:O1"/>
    <mergeCell ref="A4:H4"/>
    <mergeCell ref="B1:B2"/>
    <mergeCell ref="A1:A2"/>
    <mergeCell ref="C1:C2"/>
    <mergeCell ref="D1:D2"/>
    <mergeCell ref="E1:E2"/>
    <mergeCell ref="F1:F2"/>
    <mergeCell ref="G1:G2"/>
  </mergeCells>
  <dataValidations disablePrompts="1" count="1">
    <dataValidation type="list" allowBlank="1" showInputMessage="1" showErrorMessage="1" sqref="D3">
      <formula1>Pot_Equip</formula1>
    </dataValidation>
  </dataValidations>
  <pageMargins left="0.511811024" right="0.511811024" top="0.78740157499999996" bottom="0.78740157499999996" header="0.31496062000000002" footer="0.31496062000000002"/>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
  <sheetViews>
    <sheetView workbookViewId="0">
      <selection activeCell="J18" sqref="J18"/>
    </sheetView>
  </sheetViews>
  <sheetFormatPr defaultRowHeight="15" customHeight="1" x14ac:dyDescent="0.2"/>
  <cols>
    <col min="1" max="1" width="42.140625" style="1" bestFit="1" customWidth="1"/>
    <col min="2" max="2" width="12" style="1" customWidth="1"/>
    <col min="3" max="3" width="11.140625" style="1" customWidth="1"/>
    <col min="4" max="5" width="11.42578125" style="1" customWidth="1"/>
    <col min="6" max="6" width="11.140625" style="1" customWidth="1"/>
    <col min="7" max="7" width="11.5703125" style="1" customWidth="1"/>
    <col min="8" max="8" width="16.42578125" style="1" customWidth="1"/>
    <col min="9" max="9" width="9.28515625" style="1" customWidth="1"/>
    <col min="10" max="11" width="13.42578125" style="1" customWidth="1"/>
    <col min="12" max="18" width="8.28515625" style="1" customWidth="1"/>
    <col min="19" max="16384" width="9.140625" style="1"/>
  </cols>
  <sheetData>
    <row r="1" spans="1:19" ht="19.5" customHeight="1" x14ac:dyDescent="0.2">
      <c r="A1" s="189" t="s">
        <v>35</v>
      </c>
      <c r="B1" s="192" t="s">
        <v>68</v>
      </c>
      <c r="C1" s="189" t="s">
        <v>69</v>
      </c>
      <c r="D1" s="189" t="s">
        <v>263</v>
      </c>
      <c r="E1" s="189" t="s">
        <v>264</v>
      </c>
      <c r="F1" s="189" t="s">
        <v>266</v>
      </c>
      <c r="G1" s="189" t="s">
        <v>267</v>
      </c>
      <c r="H1" s="189" t="s">
        <v>268</v>
      </c>
      <c r="I1" s="189" t="s">
        <v>269</v>
      </c>
      <c r="J1" s="194" t="s">
        <v>261</v>
      </c>
      <c r="K1" s="195"/>
      <c r="L1" s="190" t="s">
        <v>39</v>
      </c>
      <c r="M1" s="191"/>
      <c r="N1" s="191"/>
      <c r="O1" s="191"/>
      <c r="P1" s="191"/>
      <c r="Q1" s="191"/>
      <c r="R1" s="191"/>
    </row>
    <row r="2" spans="1:19" ht="19.5" customHeight="1" x14ac:dyDescent="0.2">
      <c r="A2" s="192"/>
      <c r="B2" s="193"/>
      <c r="C2" s="189"/>
      <c r="D2" s="189"/>
      <c r="E2" s="189"/>
      <c r="F2" s="189"/>
      <c r="G2" s="189"/>
      <c r="H2" s="189"/>
      <c r="I2" s="189"/>
      <c r="J2" s="5" t="s">
        <v>45</v>
      </c>
      <c r="K2" s="5" t="s">
        <v>106</v>
      </c>
      <c r="L2" s="16" t="s">
        <v>40</v>
      </c>
      <c r="M2" s="16" t="s">
        <v>41</v>
      </c>
      <c r="N2" s="16" t="s">
        <v>70</v>
      </c>
      <c r="O2" s="5" t="s">
        <v>43</v>
      </c>
      <c r="P2" s="5" t="s">
        <v>44</v>
      </c>
      <c r="Q2" s="5" t="s">
        <v>45</v>
      </c>
      <c r="R2" s="5" t="s">
        <v>106</v>
      </c>
    </row>
    <row r="3" spans="1:19" ht="15" customHeight="1" x14ac:dyDescent="0.2">
      <c r="A3" s="6" t="s">
        <v>161</v>
      </c>
      <c r="B3" s="26" t="s">
        <v>76</v>
      </c>
      <c r="C3" s="49">
        <f>Dados!$B$14/8760</f>
        <v>336.50741438356164</v>
      </c>
      <c r="D3" s="113">
        <v>-20.261527999999998</v>
      </c>
      <c r="E3" s="26">
        <v>-40.234181</v>
      </c>
      <c r="F3" s="7">
        <v>3</v>
      </c>
      <c r="G3" s="134">
        <f>Monitoramento!E9</f>
        <v>269556.33333333337</v>
      </c>
      <c r="H3" s="117">
        <f>Monitoramento!E7</f>
        <v>74.445000000000007</v>
      </c>
      <c r="I3" s="9">
        <v>50</v>
      </c>
      <c r="J3" s="88">
        <f>'FE-Combustão'!$C$12</f>
        <v>1344</v>
      </c>
      <c r="K3" s="88">
        <f>'FE-Combustão'!$H$14</f>
        <v>88</v>
      </c>
      <c r="L3" s="49">
        <f>Monitoramento!$E$4</f>
        <v>2.3150000000000004</v>
      </c>
      <c r="M3" s="49">
        <f>$L$3</f>
        <v>2.3150000000000004</v>
      </c>
      <c r="N3" s="10">
        <f>$L$3</f>
        <v>2.3150000000000004</v>
      </c>
      <c r="O3" s="49">
        <f>Monitoramento!$E$6</f>
        <v>0.41500000000000004</v>
      </c>
      <c r="P3" s="49">
        <f>Monitoramento!$E$5</f>
        <v>0.11333333333333334</v>
      </c>
      <c r="Q3" s="49">
        <f>$C$3*($J$3)/10^6</f>
        <v>0.45226596493150684</v>
      </c>
      <c r="R3" s="49">
        <f>$C$3*($K$3)/10^6</f>
        <v>2.9612652465753425E-2</v>
      </c>
    </row>
    <row r="4" spans="1:19" ht="15" customHeight="1" x14ac:dyDescent="0.2">
      <c r="A4" s="2" t="s">
        <v>75</v>
      </c>
      <c r="B4" s="26" t="s">
        <v>236</v>
      </c>
      <c r="C4" s="26" t="s">
        <v>67</v>
      </c>
      <c r="D4" s="113">
        <v>-20.261527999999998</v>
      </c>
      <c r="E4" s="26">
        <v>-40.234181</v>
      </c>
      <c r="F4" s="26">
        <v>1.5</v>
      </c>
      <c r="G4" s="135">
        <v>46989</v>
      </c>
      <c r="H4" s="26">
        <v>105</v>
      </c>
      <c r="I4" s="26">
        <v>30</v>
      </c>
      <c r="J4" s="49" t="s">
        <v>67</v>
      </c>
      <c r="K4" s="49" t="s">
        <v>67</v>
      </c>
      <c r="L4" s="49">
        <f t="shared" ref="L4:L13" si="0">$G4*$B$16/10^6</f>
        <v>2.34945</v>
      </c>
      <c r="M4" s="10">
        <f>$L4*0.85</f>
        <v>1.9970325</v>
      </c>
      <c r="N4" s="10">
        <f>$L4*0.3</f>
        <v>0.70483499999999999</v>
      </c>
      <c r="O4" s="26" t="s">
        <v>67</v>
      </c>
      <c r="P4" s="26" t="s">
        <v>67</v>
      </c>
      <c r="Q4" s="26" t="s">
        <v>67</v>
      </c>
      <c r="R4" s="26" t="s">
        <v>67</v>
      </c>
    </row>
    <row r="5" spans="1:19" ht="15" customHeight="1" x14ac:dyDescent="0.2">
      <c r="A5" s="2" t="s">
        <v>111</v>
      </c>
      <c r="B5" s="26" t="s">
        <v>236</v>
      </c>
      <c r="C5" s="26" t="s">
        <v>67</v>
      </c>
      <c r="D5" s="113">
        <v>-20.261527999999998</v>
      </c>
      <c r="E5" s="26">
        <v>-40.234181</v>
      </c>
      <c r="F5" s="26" t="s">
        <v>67</v>
      </c>
      <c r="G5" s="135">
        <v>20000</v>
      </c>
      <c r="H5" s="26" t="s">
        <v>67</v>
      </c>
      <c r="I5" s="26" t="s">
        <v>67</v>
      </c>
      <c r="J5" s="49" t="s">
        <v>67</v>
      </c>
      <c r="K5" s="49" t="s">
        <v>67</v>
      </c>
      <c r="L5" s="49">
        <f t="shared" si="0"/>
        <v>1</v>
      </c>
      <c r="M5" s="10">
        <f t="shared" ref="M5:M13" si="1">$L5*0.85</f>
        <v>0.85</v>
      </c>
      <c r="N5" s="10">
        <f t="shared" ref="N5:N13" si="2">$L5*0.3</f>
        <v>0.3</v>
      </c>
      <c r="O5" s="26" t="s">
        <v>67</v>
      </c>
      <c r="P5" s="26" t="s">
        <v>67</v>
      </c>
      <c r="Q5" s="26" t="s">
        <v>67</v>
      </c>
      <c r="R5" s="26" t="s">
        <v>67</v>
      </c>
    </row>
    <row r="6" spans="1:19" ht="15" customHeight="1" x14ac:dyDescent="0.2">
      <c r="A6" s="6" t="s">
        <v>250</v>
      </c>
      <c r="B6" s="9" t="s">
        <v>236</v>
      </c>
      <c r="C6" s="9" t="s">
        <v>67</v>
      </c>
      <c r="D6" s="115">
        <v>-20.261527999999998</v>
      </c>
      <c r="E6" s="9">
        <v>-40.234181</v>
      </c>
      <c r="F6" s="9" t="s">
        <v>67</v>
      </c>
      <c r="G6" s="135">
        <v>6000</v>
      </c>
      <c r="H6" s="9" t="s">
        <v>67</v>
      </c>
      <c r="I6" s="9" t="s">
        <v>67</v>
      </c>
      <c r="J6" s="10" t="s">
        <v>67</v>
      </c>
      <c r="K6" s="10" t="s">
        <v>67</v>
      </c>
      <c r="L6" s="10">
        <f t="shared" si="0"/>
        <v>0.3</v>
      </c>
      <c r="M6" s="10">
        <f t="shared" si="1"/>
        <v>0.255</v>
      </c>
      <c r="N6" s="10">
        <f t="shared" si="2"/>
        <v>0.09</v>
      </c>
      <c r="O6" s="9" t="s">
        <v>67</v>
      </c>
      <c r="P6" s="9" t="s">
        <v>67</v>
      </c>
      <c r="Q6" s="9" t="s">
        <v>67</v>
      </c>
      <c r="R6" s="9" t="s">
        <v>67</v>
      </c>
    </row>
    <row r="7" spans="1:19" ht="15" customHeight="1" x14ac:dyDescent="0.2">
      <c r="A7" s="6" t="s">
        <v>112</v>
      </c>
      <c r="B7" s="9" t="s">
        <v>236</v>
      </c>
      <c r="C7" s="9" t="s">
        <v>67</v>
      </c>
      <c r="D7" s="115">
        <v>-20.261527999999998</v>
      </c>
      <c r="E7" s="9">
        <v>-40.234181</v>
      </c>
      <c r="F7" s="9" t="s">
        <v>67</v>
      </c>
      <c r="G7" s="135">
        <v>20000</v>
      </c>
      <c r="H7" s="26" t="s">
        <v>67</v>
      </c>
      <c r="I7" s="26" t="s">
        <v>67</v>
      </c>
      <c r="J7" s="49" t="s">
        <v>67</v>
      </c>
      <c r="K7" s="49" t="s">
        <v>67</v>
      </c>
      <c r="L7" s="49">
        <f t="shared" si="0"/>
        <v>1</v>
      </c>
      <c r="M7" s="10">
        <f t="shared" si="1"/>
        <v>0.85</v>
      </c>
      <c r="N7" s="10">
        <f t="shared" si="2"/>
        <v>0.3</v>
      </c>
      <c r="O7" s="26" t="s">
        <v>67</v>
      </c>
      <c r="P7" s="26" t="s">
        <v>67</v>
      </c>
      <c r="Q7" s="26" t="s">
        <v>67</v>
      </c>
      <c r="R7" s="26" t="s">
        <v>67</v>
      </c>
    </row>
    <row r="8" spans="1:19" ht="15" customHeight="1" x14ac:dyDescent="0.2">
      <c r="A8" s="6" t="s">
        <v>239</v>
      </c>
      <c r="B8" s="26" t="s">
        <v>236</v>
      </c>
      <c r="C8" s="26" t="s">
        <v>67</v>
      </c>
      <c r="D8" s="113">
        <v>-20.261527999999998</v>
      </c>
      <c r="E8" s="26">
        <v>-40.234181</v>
      </c>
      <c r="F8" s="26" t="s">
        <v>67</v>
      </c>
      <c r="G8" s="135">
        <v>18000</v>
      </c>
      <c r="H8" s="26" t="s">
        <v>67</v>
      </c>
      <c r="I8" s="26" t="s">
        <v>67</v>
      </c>
      <c r="J8" s="49" t="s">
        <v>67</v>
      </c>
      <c r="K8" s="49" t="s">
        <v>67</v>
      </c>
      <c r="L8" s="49">
        <f t="shared" si="0"/>
        <v>0.9</v>
      </c>
      <c r="M8" s="10">
        <f t="shared" si="1"/>
        <v>0.76500000000000001</v>
      </c>
      <c r="N8" s="10">
        <f t="shared" si="2"/>
        <v>0.27</v>
      </c>
      <c r="O8" s="26" t="s">
        <v>67</v>
      </c>
      <c r="P8" s="26" t="s">
        <v>67</v>
      </c>
      <c r="Q8" s="26" t="s">
        <v>67</v>
      </c>
      <c r="R8" s="26" t="s">
        <v>67</v>
      </c>
    </row>
    <row r="9" spans="1:19" ht="15" customHeight="1" x14ac:dyDescent="0.2">
      <c r="A9" s="6" t="s">
        <v>113</v>
      </c>
      <c r="B9" s="9" t="s">
        <v>236</v>
      </c>
      <c r="C9" s="9" t="s">
        <v>67</v>
      </c>
      <c r="D9" s="115">
        <v>-20.261527999999998</v>
      </c>
      <c r="E9" s="9">
        <v>-40.234181</v>
      </c>
      <c r="F9" s="9" t="s">
        <v>67</v>
      </c>
      <c r="G9" s="135">
        <v>3000</v>
      </c>
      <c r="H9" s="26" t="s">
        <v>67</v>
      </c>
      <c r="I9" s="26" t="s">
        <v>67</v>
      </c>
      <c r="J9" s="49" t="s">
        <v>67</v>
      </c>
      <c r="K9" s="49" t="s">
        <v>67</v>
      </c>
      <c r="L9" s="49">
        <f t="shared" si="0"/>
        <v>0.15</v>
      </c>
      <c r="M9" s="10">
        <f t="shared" si="1"/>
        <v>0.1275</v>
      </c>
      <c r="N9" s="10">
        <f t="shared" si="2"/>
        <v>4.4999999999999998E-2</v>
      </c>
      <c r="O9" s="26" t="s">
        <v>67</v>
      </c>
      <c r="P9" s="26" t="s">
        <v>67</v>
      </c>
      <c r="Q9" s="26" t="s">
        <v>67</v>
      </c>
      <c r="R9" s="26" t="s">
        <v>67</v>
      </c>
    </row>
    <row r="10" spans="1:19" ht="15" customHeight="1" x14ac:dyDescent="0.2">
      <c r="A10" s="6" t="s">
        <v>238</v>
      </c>
      <c r="B10" s="9" t="s">
        <v>236</v>
      </c>
      <c r="C10" s="9" t="s">
        <v>67</v>
      </c>
      <c r="D10" s="115">
        <v>-20.261527999999998</v>
      </c>
      <c r="E10" s="9">
        <v>-40.234181</v>
      </c>
      <c r="F10" s="9" t="s">
        <v>67</v>
      </c>
      <c r="G10" s="135">
        <v>3000</v>
      </c>
      <c r="H10" s="26" t="s">
        <v>67</v>
      </c>
      <c r="I10" s="26" t="s">
        <v>67</v>
      </c>
      <c r="J10" s="49" t="s">
        <v>67</v>
      </c>
      <c r="K10" s="49" t="s">
        <v>67</v>
      </c>
      <c r="L10" s="49">
        <f t="shared" si="0"/>
        <v>0.15</v>
      </c>
      <c r="M10" s="10">
        <f t="shared" si="1"/>
        <v>0.1275</v>
      </c>
      <c r="N10" s="10">
        <f t="shared" si="2"/>
        <v>4.4999999999999998E-2</v>
      </c>
      <c r="O10" s="26" t="s">
        <v>67</v>
      </c>
      <c r="P10" s="26" t="s">
        <v>67</v>
      </c>
      <c r="Q10" s="26" t="s">
        <v>67</v>
      </c>
      <c r="R10" s="26" t="s">
        <v>67</v>
      </c>
    </row>
    <row r="11" spans="1:19" ht="15" customHeight="1" x14ac:dyDescent="0.2">
      <c r="A11" s="6" t="s">
        <v>114</v>
      </c>
      <c r="B11" s="26" t="s">
        <v>236</v>
      </c>
      <c r="C11" s="26" t="s">
        <v>67</v>
      </c>
      <c r="D11" s="113">
        <v>-20.261527999999998</v>
      </c>
      <c r="E11" s="26">
        <v>-40.234181</v>
      </c>
      <c r="F11" s="26" t="s">
        <v>67</v>
      </c>
      <c r="G11" s="135">
        <v>34200</v>
      </c>
      <c r="H11" s="26" t="s">
        <v>67</v>
      </c>
      <c r="I11" s="26" t="s">
        <v>67</v>
      </c>
      <c r="J11" s="49" t="s">
        <v>67</v>
      </c>
      <c r="K11" s="49" t="s">
        <v>67</v>
      </c>
      <c r="L11" s="49">
        <f t="shared" si="0"/>
        <v>1.71</v>
      </c>
      <c r="M11" s="10">
        <f t="shared" si="1"/>
        <v>1.4535</v>
      </c>
      <c r="N11" s="10">
        <f t="shared" si="2"/>
        <v>0.51300000000000001</v>
      </c>
      <c r="O11" s="26" t="s">
        <v>67</v>
      </c>
      <c r="P11" s="26" t="s">
        <v>67</v>
      </c>
      <c r="Q11" s="26" t="s">
        <v>67</v>
      </c>
      <c r="R11" s="26" t="s">
        <v>67</v>
      </c>
    </row>
    <row r="12" spans="1:19" ht="15" customHeight="1" x14ac:dyDescent="0.2">
      <c r="A12" s="6" t="s">
        <v>115</v>
      </c>
      <c r="B12" s="26" t="s">
        <v>236</v>
      </c>
      <c r="C12" s="26" t="s">
        <v>67</v>
      </c>
      <c r="D12" s="113">
        <v>-20.261527999999998</v>
      </c>
      <c r="E12" s="26">
        <v>-40.234181</v>
      </c>
      <c r="F12" s="26" t="s">
        <v>67</v>
      </c>
      <c r="G12" s="135">
        <v>25000</v>
      </c>
      <c r="H12" s="26" t="s">
        <v>67</v>
      </c>
      <c r="I12" s="26" t="s">
        <v>67</v>
      </c>
      <c r="J12" s="49" t="s">
        <v>67</v>
      </c>
      <c r="K12" s="49" t="s">
        <v>67</v>
      </c>
      <c r="L12" s="49">
        <f t="shared" si="0"/>
        <v>1.25</v>
      </c>
      <c r="M12" s="10">
        <f t="shared" si="1"/>
        <v>1.0625</v>
      </c>
      <c r="N12" s="10">
        <f t="shared" si="2"/>
        <v>0.375</v>
      </c>
      <c r="O12" s="26" t="s">
        <v>67</v>
      </c>
      <c r="P12" s="26" t="s">
        <v>67</v>
      </c>
      <c r="Q12" s="26" t="s">
        <v>67</v>
      </c>
      <c r="R12" s="26" t="s">
        <v>67</v>
      </c>
    </row>
    <row r="13" spans="1:19" ht="15" customHeight="1" x14ac:dyDescent="0.2">
      <c r="A13" s="6" t="s">
        <v>116</v>
      </c>
      <c r="B13" s="26" t="s">
        <v>236</v>
      </c>
      <c r="C13" s="26" t="s">
        <v>67</v>
      </c>
      <c r="D13" s="113">
        <v>-20.261527999999998</v>
      </c>
      <c r="E13" s="26">
        <v>-40.234181</v>
      </c>
      <c r="F13" s="26" t="s">
        <v>67</v>
      </c>
      <c r="G13" s="135">
        <v>10800</v>
      </c>
      <c r="H13" s="26" t="s">
        <v>67</v>
      </c>
      <c r="I13" s="26" t="s">
        <v>67</v>
      </c>
      <c r="J13" s="49" t="s">
        <v>67</v>
      </c>
      <c r="K13" s="49" t="s">
        <v>67</v>
      </c>
      <c r="L13" s="49">
        <f t="shared" si="0"/>
        <v>0.54</v>
      </c>
      <c r="M13" s="10">
        <f t="shared" si="1"/>
        <v>0.45900000000000002</v>
      </c>
      <c r="N13" s="10">
        <f t="shared" si="2"/>
        <v>0.16200000000000001</v>
      </c>
      <c r="O13" s="26" t="s">
        <v>67</v>
      </c>
      <c r="P13" s="26" t="s">
        <v>67</v>
      </c>
      <c r="Q13" s="26" t="s">
        <v>67</v>
      </c>
      <c r="R13" s="26" t="s">
        <v>67</v>
      </c>
    </row>
    <row r="14" spans="1:19" ht="15" customHeight="1" x14ac:dyDescent="0.2">
      <c r="A14" s="186" t="s">
        <v>260</v>
      </c>
      <c r="B14" s="186"/>
      <c r="C14" s="186"/>
      <c r="D14" s="186"/>
      <c r="E14" s="186"/>
      <c r="F14" s="186"/>
      <c r="G14" s="186"/>
      <c r="H14" s="186"/>
      <c r="I14" s="186"/>
      <c r="J14" s="186"/>
      <c r="K14" s="186"/>
      <c r="L14" s="90">
        <f>SUM(L3:L13)</f>
        <v>11.664449999999999</v>
      </c>
      <c r="M14" s="90">
        <f>SUM(M3:M13)</f>
        <v>10.2620325</v>
      </c>
      <c r="N14" s="90">
        <f>SUM(N3:N13)</f>
        <v>5.1198350000000001</v>
      </c>
      <c r="O14" s="90">
        <f>SUM(O3:O13)</f>
        <v>0.41500000000000004</v>
      </c>
      <c r="P14" s="90">
        <f t="shared" ref="P14:R14" si="3">SUM(P3:P13)</f>
        <v>0.11333333333333334</v>
      </c>
      <c r="Q14" s="90">
        <f t="shared" si="3"/>
        <v>0.45226596493150684</v>
      </c>
      <c r="R14" s="90">
        <f t="shared" si="3"/>
        <v>2.9612652465753425E-2</v>
      </c>
      <c r="S14" s="64"/>
    </row>
    <row r="16" spans="1:19" ht="15" customHeight="1" x14ac:dyDescent="0.2">
      <c r="A16" s="29" t="s">
        <v>110</v>
      </c>
      <c r="B16" s="26">
        <v>50</v>
      </c>
    </row>
    <row r="18" spans="1:2" ht="15" customHeight="1" x14ac:dyDescent="0.2">
      <c r="A18" s="30"/>
      <c r="B18" s="31"/>
    </row>
    <row r="19" spans="1:2" ht="15" customHeight="1" x14ac:dyDescent="0.2">
      <c r="A19" s="30"/>
      <c r="B19" s="31"/>
    </row>
    <row r="20" spans="1:2" ht="15" customHeight="1" x14ac:dyDescent="0.2">
      <c r="A20" s="30"/>
      <c r="B20" s="30"/>
    </row>
    <row r="21" spans="1:2" ht="15" customHeight="1" x14ac:dyDescent="0.2">
      <c r="A21" s="30"/>
      <c r="B21" s="30"/>
    </row>
  </sheetData>
  <sheetProtection password="B056" sheet="1" objects="1" scenarios="1"/>
  <mergeCells count="12">
    <mergeCell ref="A14:K14"/>
    <mergeCell ref="F1:F2"/>
    <mergeCell ref="G1:G2"/>
    <mergeCell ref="H1:H2"/>
    <mergeCell ref="I1:I2"/>
    <mergeCell ref="J1:K1"/>
    <mergeCell ref="L1:R1"/>
    <mergeCell ref="A1:A2"/>
    <mergeCell ref="B1:B2"/>
    <mergeCell ref="C1:C2"/>
    <mergeCell ref="D1:D2"/>
    <mergeCell ref="E1:E2"/>
  </mergeCells>
  <pageMargins left="0.511811024" right="0.511811024" top="0.78740157499999996" bottom="0.78740157499999996" header="0.31496062000000002" footer="0.31496062000000002"/>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1"/>
  <sheetViews>
    <sheetView zoomScaleNormal="100" workbookViewId="0">
      <selection activeCell="O12" sqref="O12"/>
    </sheetView>
  </sheetViews>
  <sheetFormatPr defaultRowHeight="15" customHeight="1" x14ac:dyDescent="0.2"/>
  <cols>
    <col min="1" max="1" width="34" style="1" customWidth="1"/>
    <col min="2" max="2" width="10.7109375" style="1" bestFit="1" customWidth="1"/>
    <col min="3" max="3" width="13.140625" style="1" customWidth="1"/>
    <col min="4" max="4" width="13" style="1" customWidth="1"/>
    <col min="5" max="5" width="12" style="1" customWidth="1"/>
    <col min="6" max="6" width="14.85546875" style="1" customWidth="1"/>
    <col min="7" max="10" width="9.140625" style="1"/>
    <col min="11" max="11" width="10.5703125" style="1" bestFit="1" customWidth="1"/>
    <col min="12" max="16384" width="9.140625" style="1"/>
  </cols>
  <sheetData>
    <row r="1" spans="1:14" ht="15" customHeight="1" x14ac:dyDescent="0.2">
      <c r="A1" s="198" t="s">
        <v>35</v>
      </c>
      <c r="B1" s="189" t="s">
        <v>263</v>
      </c>
      <c r="C1" s="189" t="s">
        <v>264</v>
      </c>
      <c r="D1" s="199" t="s">
        <v>117</v>
      </c>
      <c r="E1" s="199" t="s">
        <v>118</v>
      </c>
      <c r="F1" s="199" t="s">
        <v>119</v>
      </c>
      <c r="G1" s="199"/>
      <c r="H1" s="198" t="s">
        <v>120</v>
      </c>
      <c r="I1" s="198"/>
      <c r="J1" s="198"/>
      <c r="K1" s="198" t="s">
        <v>39</v>
      </c>
      <c r="L1" s="198"/>
      <c r="M1" s="198"/>
    </row>
    <row r="2" spans="1:14" ht="23.25" customHeight="1" x14ac:dyDescent="0.2">
      <c r="A2" s="198"/>
      <c r="B2" s="189"/>
      <c r="C2" s="189"/>
      <c r="D2" s="199"/>
      <c r="E2" s="199"/>
      <c r="F2" s="32" t="s">
        <v>121</v>
      </c>
      <c r="G2" s="32" t="s">
        <v>122</v>
      </c>
      <c r="H2" s="33" t="s">
        <v>123</v>
      </c>
      <c r="I2" s="33" t="s">
        <v>124</v>
      </c>
      <c r="J2" s="33" t="s">
        <v>125</v>
      </c>
      <c r="K2" s="33" t="s">
        <v>123</v>
      </c>
      <c r="L2" s="33" t="s">
        <v>124</v>
      </c>
      <c r="M2" s="33" t="s">
        <v>125</v>
      </c>
    </row>
    <row r="3" spans="1:14" ht="15" customHeight="1" x14ac:dyDescent="0.2">
      <c r="A3" s="2" t="s">
        <v>136</v>
      </c>
      <c r="B3" s="26">
        <v>-20.261721000000001</v>
      </c>
      <c r="C3" s="26">
        <v>-40.233967999999997</v>
      </c>
      <c r="D3" s="49">
        <f>Dados!$B$26/8760</f>
        <v>61.864269406392694</v>
      </c>
      <c r="E3" s="26">
        <f>$B$37</f>
        <v>11</v>
      </c>
      <c r="F3" s="26" t="s">
        <v>67</v>
      </c>
      <c r="G3" s="26" t="s">
        <v>67</v>
      </c>
      <c r="H3" s="136">
        <f>'FE-Transferências'!B$3*0.0016*(($B$34/2.2)^1.3)/(($E3/2)^1.4)</f>
        <v>2.5181562060978948E-4</v>
      </c>
      <c r="I3" s="136">
        <f>'FE-Transferências'!C$3*0.0016*(($B$34/2.2)^1.3)/(($E3/2)^1.4)</f>
        <v>1.1910198272084636E-4</v>
      </c>
      <c r="J3" s="136">
        <f>'FE-Transferências'!D$3*0.0016*(($B$34/2.2)^1.3)/(($E3/2)^1.4)</f>
        <v>1.8035443097728166E-5</v>
      </c>
      <c r="K3" s="136">
        <f>$D$3*H$3</f>
        <v>1.557838939414199E-2</v>
      </c>
      <c r="L3" s="136">
        <f t="shared" ref="L3:M3" si="0">$D$3*I$3</f>
        <v>7.368157145877967E-3</v>
      </c>
      <c r="M3" s="136">
        <f t="shared" si="0"/>
        <v>1.1157495106615207E-3</v>
      </c>
    </row>
    <row r="4" spans="1:14" ht="15" customHeight="1" x14ac:dyDescent="0.2">
      <c r="A4" s="2" t="s">
        <v>137</v>
      </c>
      <c r="B4" s="26">
        <v>-20.261721000000001</v>
      </c>
      <c r="C4" s="26">
        <v>-40.233967999999997</v>
      </c>
      <c r="D4" s="10">
        <f>Dados!$B$23/8760</f>
        <v>18.262214611872146</v>
      </c>
      <c r="E4" s="26">
        <f>$B$40</f>
        <v>1</v>
      </c>
      <c r="F4" s="9" t="s">
        <v>245</v>
      </c>
      <c r="G4" s="7">
        <v>75</v>
      </c>
      <c r="H4" s="136">
        <f>'FE-Transferências'!B$3*0.0016*(($B$34/2.2)^1.3)/(($E4/2)^1.4)</f>
        <v>7.2282377015546288E-3</v>
      </c>
      <c r="I4" s="136">
        <f>'FE-Transferências'!C$3*0.0016*(($B$34/2.2)^1.3)/(($E4/2)^1.4)</f>
        <v>3.418761075059621E-3</v>
      </c>
      <c r="J4" s="136">
        <f>'FE-Transferências'!D$3*0.0016*(($B$34/2.2)^1.3)/(($E4/2)^1.4)</f>
        <v>5.176981056518856E-4</v>
      </c>
      <c r="K4" s="136">
        <f>$D$4*H$4*(1-$G$4/100)</f>
        <v>3.3000907042854022E-2</v>
      </c>
      <c r="L4" s="136">
        <f t="shared" ref="L4:M4" si="1">$D$4*I$4*(1-$G$4/100)</f>
        <v>1.5608537114863385E-2</v>
      </c>
      <c r="M4" s="136">
        <f t="shared" si="1"/>
        <v>2.3635784773935989E-3</v>
      </c>
      <c r="N4" s="118"/>
    </row>
    <row r="5" spans="1:14" ht="15" customHeight="1" x14ac:dyDescent="0.2">
      <c r="A5" s="2" t="s">
        <v>138</v>
      </c>
      <c r="B5" s="26">
        <v>-20.261721000000001</v>
      </c>
      <c r="C5" s="26">
        <v>-40.233967999999997</v>
      </c>
      <c r="D5" s="10">
        <f>Dados!$B$24/8760</f>
        <v>1.381392694063927</v>
      </c>
      <c r="E5" s="26">
        <f>$B$38</f>
        <v>15</v>
      </c>
      <c r="F5" s="9" t="s">
        <v>245</v>
      </c>
      <c r="G5" s="7">
        <v>75</v>
      </c>
      <c r="H5" s="136">
        <f>'FE-Transferências'!B$3*0.0016*(($B$34/2.2)^1.3)/(($E5/2)^1.4)</f>
        <v>1.6311904241925814E-4</v>
      </c>
      <c r="I5" s="136">
        <f>'FE-Transferências'!C$3*0.0016*(($B$34/2.2)^1.3)/(($E5/2)^1.4)</f>
        <v>7.7150898441541004E-5</v>
      </c>
      <c r="J5" s="136">
        <f>'FE-Transferências'!D$3*0.0016*(($B$34/2.2)^1.3)/(($E5/2)^1.4)</f>
        <v>1.1682850335433354E-5</v>
      </c>
      <c r="K5" s="136">
        <f>$D$5*H$5*(1-$G$5/100)</f>
        <v>5.6332863365166742E-5</v>
      </c>
      <c r="L5" s="136">
        <f t="shared" ref="L5:M5" si="2">$D$5*I$5*(1-$G$5/100)</f>
        <v>2.6643921861903188E-5</v>
      </c>
      <c r="M5" s="136">
        <f t="shared" si="2"/>
        <v>4.0346510248024831E-6</v>
      </c>
      <c r="N5" s="118"/>
    </row>
    <row r="6" spans="1:14" ht="15" customHeight="1" x14ac:dyDescent="0.2">
      <c r="A6" s="2" t="s">
        <v>155</v>
      </c>
      <c r="B6" s="26">
        <v>-20.261721000000001</v>
      </c>
      <c r="C6" s="26">
        <v>-40.233967999999997</v>
      </c>
      <c r="D6" s="10">
        <f>Dados!$B$25/8760</f>
        <v>2.8084474885844748</v>
      </c>
      <c r="E6" s="26">
        <f>$B$39</f>
        <v>3</v>
      </c>
      <c r="F6" s="26" t="s">
        <v>67</v>
      </c>
      <c r="G6" s="115" t="s">
        <v>67</v>
      </c>
      <c r="H6" s="136">
        <f>'FE-Transferências'!B$3*0.0016*(($B$34/2.2)^1.3)/(($E6/2)^1.4)</f>
        <v>1.5526110379049159E-3</v>
      </c>
      <c r="I6" s="136">
        <f>'FE-Transferências'!C$3*0.0016*(($B$34/2.2)^1.3)/(($E6/2)^1.4)</f>
        <v>7.3434305846854125E-4</v>
      </c>
      <c r="J6" s="136">
        <f>'FE-Transferências'!D$3*0.0016*(($B$34/2.2)^1.3)/(($E6/2)^1.4)</f>
        <v>1.1120052028237912E-4</v>
      </c>
      <c r="K6" s="136">
        <f>$D$6*H$6</f>
        <v>4.3604265701525959E-3</v>
      </c>
      <c r="L6" s="136">
        <f t="shared" ref="L6:M6" si="3">$D$6*I$6</f>
        <v>2.062363918315417E-3</v>
      </c>
      <c r="M6" s="136">
        <f t="shared" si="3"/>
        <v>3.1230082191633458E-4</v>
      </c>
    </row>
    <row r="7" spans="1:14" ht="15" customHeight="1" x14ac:dyDescent="0.2">
      <c r="A7" s="2" t="s">
        <v>139</v>
      </c>
      <c r="B7" s="26">
        <v>-20.261721000000001</v>
      </c>
      <c r="C7" s="26">
        <v>-40.233967999999997</v>
      </c>
      <c r="D7" s="10">
        <f>Dados!$C$26/8760</f>
        <v>46.464954337899542</v>
      </c>
      <c r="E7" s="26">
        <f>$B$37</f>
        <v>11</v>
      </c>
      <c r="F7" s="9" t="s">
        <v>135</v>
      </c>
      <c r="G7" s="7">
        <v>95</v>
      </c>
      <c r="H7" s="136">
        <f>'FE-Transferências'!B$3*0.0016*(($B$34/2.2)^1.3)/(($E7/2)^1.4)</f>
        <v>2.5181562060978948E-4</v>
      </c>
      <c r="I7" s="136">
        <f>'FE-Transferências'!C$3*0.0016*(($B$34/2.2)^1.3)/(($E7/2)^1.4)</f>
        <v>1.1910198272084636E-4</v>
      </c>
      <c r="J7" s="136">
        <f>'FE-Transferências'!D$3*0.0016*(($B$34/2.2)^1.3)/(($E7/2)^1.4)</f>
        <v>1.8035443097728166E-5</v>
      </c>
      <c r="K7" s="136">
        <f>$D7*H7*(1-$G7/100)</f>
        <v>5.8503006566018568E-4</v>
      </c>
      <c r="L7" s="136">
        <f>$D7*I7*(1-$G7/100)</f>
        <v>2.7670340943387157E-4</v>
      </c>
      <c r="M7" s="136">
        <f>$D7*J7*(1-$G7/100)</f>
        <v>4.1900801999986274E-5</v>
      </c>
    </row>
    <row r="8" spans="1:14" ht="15" customHeight="1" x14ac:dyDescent="0.2">
      <c r="A8" s="2" t="s">
        <v>140</v>
      </c>
      <c r="B8" s="26">
        <v>-20.261721000000001</v>
      </c>
      <c r="C8" s="26">
        <v>-40.233967999999997</v>
      </c>
      <c r="D8" s="10">
        <f>Dados!$C$23/8760</f>
        <v>18.572602739726026</v>
      </c>
      <c r="E8" s="26">
        <f>$B$40</f>
        <v>1</v>
      </c>
      <c r="F8" s="9" t="s">
        <v>135</v>
      </c>
      <c r="G8" s="7">
        <v>95</v>
      </c>
      <c r="H8" s="136">
        <f>'FE-Transferências'!B$3*0.0016*(($B$34/2.2)^1.3)/(($E8/2)^1.4)</f>
        <v>7.2282377015546288E-3</v>
      </c>
      <c r="I8" s="136">
        <f>'FE-Transferências'!C$3*0.0016*(($B$34/2.2)^1.3)/(($E8/2)^1.4)</f>
        <v>3.418761075059621E-3</v>
      </c>
      <c r="J8" s="136">
        <f>'FE-Transferências'!D$3*0.0016*(($B$34/2.2)^1.3)/(($E8/2)^1.4)</f>
        <v>5.176981056518856E-4</v>
      </c>
      <c r="K8" s="136">
        <f t="shared" ref="K8:K10" si="4">$D8*H8*(1-$G8/100)</f>
        <v>6.7123593669642283E-3</v>
      </c>
      <c r="L8" s="136">
        <f t="shared" ref="L8:L14" si="5">$D8*I8*(1-$G8/100)</f>
        <v>3.1747645654560536E-3</v>
      </c>
      <c r="M8" s="136">
        <f t="shared" ref="M8:M10" si="6">$D8*J8*(1-$G8/100)</f>
        <v>4.8075006276905965E-4</v>
      </c>
    </row>
    <row r="9" spans="1:14" ht="15" customHeight="1" x14ac:dyDescent="0.2">
      <c r="A9" s="6" t="s">
        <v>141</v>
      </c>
      <c r="B9" s="26">
        <v>-20.261721000000001</v>
      </c>
      <c r="C9" s="26">
        <v>-40.233967999999997</v>
      </c>
      <c r="D9" s="10">
        <f>Dados!$C$24/8760</f>
        <v>1.2155251141552512</v>
      </c>
      <c r="E9" s="26">
        <f>$B$38</f>
        <v>15</v>
      </c>
      <c r="F9" s="9" t="s">
        <v>135</v>
      </c>
      <c r="G9" s="7">
        <v>95</v>
      </c>
      <c r="H9" s="136">
        <f>'FE-Transferências'!B$3*0.0016*(($B$34/2.2)^1.3)/(($E9/2)^1.4)</f>
        <v>1.6311904241925814E-4</v>
      </c>
      <c r="I9" s="136">
        <f>'FE-Transferências'!C$3*0.0016*(($B$34/2.2)^1.3)/(($E9/2)^1.4)</f>
        <v>7.7150898441541004E-5</v>
      </c>
      <c r="J9" s="136">
        <f>'FE-Transferências'!D$3*0.0016*(($B$34/2.2)^1.3)/(($E9/2)^1.4)</f>
        <v>1.1682850335433354E-5</v>
      </c>
      <c r="K9" s="136">
        <f t="shared" si="4"/>
        <v>9.91376463287821E-6</v>
      </c>
      <c r="L9" s="136">
        <f t="shared" si="5"/>
        <v>4.6889427317667209E-6</v>
      </c>
      <c r="M9" s="136">
        <f t="shared" si="6"/>
        <v>7.1003989938181786E-7</v>
      </c>
    </row>
    <row r="10" spans="1:14" ht="15" customHeight="1" x14ac:dyDescent="0.2">
      <c r="A10" s="6" t="s">
        <v>156</v>
      </c>
      <c r="B10" s="26">
        <v>-20.261721000000001</v>
      </c>
      <c r="C10" s="26">
        <v>-40.233967999999997</v>
      </c>
      <c r="D10" s="10">
        <f>Dados!$C$25/8760</f>
        <v>2.6884703196347033</v>
      </c>
      <c r="E10" s="26">
        <f>$B$39</f>
        <v>3</v>
      </c>
      <c r="F10" s="9" t="s">
        <v>135</v>
      </c>
      <c r="G10" s="7">
        <v>95</v>
      </c>
      <c r="H10" s="136">
        <f>'FE-Transferências'!B$3*0.0016*(($B$34/2.2)^1.3)/(($E10/2)^1.4)</f>
        <v>1.5526110379049159E-3</v>
      </c>
      <c r="I10" s="136">
        <f>'FE-Transferências'!C$3*0.0016*(($B$34/2.2)^1.3)/(($E10/2)^1.4)</f>
        <v>7.3434305846854125E-4</v>
      </c>
      <c r="J10" s="136">
        <f>'FE-Transferências'!D$3*0.0016*(($B$34/2.2)^1.3)/(($E10/2)^1.4)</f>
        <v>1.1120052028237912E-4</v>
      </c>
      <c r="K10" s="136">
        <f t="shared" si="4"/>
        <v>2.0870743466723009E-4</v>
      </c>
      <c r="L10" s="136">
        <f t="shared" si="5"/>
        <v>9.8712975856122322E-5</v>
      </c>
      <c r="M10" s="136">
        <f t="shared" si="6"/>
        <v>1.4947964915355666E-5</v>
      </c>
    </row>
    <row r="11" spans="1:14" ht="15" customHeight="1" x14ac:dyDescent="0.2">
      <c r="A11" s="6" t="s">
        <v>247</v>
      </c>
      <c r="B11" s="26">
        <v>-20.261721000000001</v>
      </c>
      <c r="C11" s="26">
        <v>-40.233967999999997</v>
      </c>
      <c r="D11" s="10">
        <f>Dados!$C$26/8760</f>
        <v>46.464954337899542</v>
      </c>
      <c r="E11" s="26">
        <f>$B$37</f>
        <v>11</v>
      </c>
      <c r="F11" s="9" t="s">
        <v>67</v>
      </c>
      <c r="G11" s="7"/>
      <c r="H11" s="136">
        <f>'FE-Transferências'!B$3*0.0016*(($B$34/2.2)^1.3)/(($E11/2)^1.4)</f>
        <v>2.5181562060978948E-4</v>
      </c>
      <c r="I11" s="136">
        <f>'FE-Transferências'!C$3*0.0016*(($B$34/2.2)^1.3)/(($E11/2)^1.4)</f>
        <v>1.1910198272084636E-4</v>
      </c>
      <c r="J11" s="136">
        <f>'FE-Transferências'!D$3*0.0016*(($B$34/2.2)^1.3)/(($E11/2)^1.4)</f>
        <v>1.8035443097728166E-5</v>
      </c>
      <c r="K11" s="136">
        <f t="shared" ref="K11:K13" si="7">$D11*H11*(1-$G11/100)</f>
        <v>1.1700601313203704E-2</v>
      </c>
      <c r="L11" s="136">
        <f t="shared" ref="L11:L13" si="8">$D11*I11*(1-$G11/100)</f>
        <v>5.5340681886774266E-3</v>
      </c>
      <c r="M11" s="136">
        <f t="shared" ref="M11:M13" si="9">$D11*J11*(1-$G11/100)</f>
        <v>8.3801603999972469E-4</v>
      </c>
    </row>
    <row r="12" spans="1:14" ht="15" customHeight="1" x14ac:dyDescent="0.2">
      <c r="A12" s="6" t="s">
        <v>249</v>
      </c>
      <c r="B12" s="26">
        <v>-20.261721000000001</v>
      </c>
      <c r="C12" s="26">
        <v>-40.233967999999997</v>
      </c>
      <c r="D12" s="10">
        <f>Dados!$C$23/8760</f>
        <v>18.572602739726026</v>
      </c>
      <c r="E12" s="26">
        <f>$B$40</f>
        <v>1</v>
      </c>
      <c r="F12" s="9" t="s">
        <v>67</v>
      </c>
      <c r="G12" s="7"/>
      <c r="H12" s="136">
        <f>'FE-Transferências'!B$3*0.0016*(($B$34/2.2)^1.3)/(($E12/2)^1.4)</f>
        <v>7.2282377015546288E-3</v>
      </c>
      <c r="I12" s="136">
        <f>'FE-Transferências'!C$3*0.0016*(($B$34/2.2)^1.3)/(($E12/2)^1.4)</f>
        <v>3.418761075059621E-3</v>
      </c>
      <c r="J12" s="136">
        <f>'FE-Transferências'!D$3*0.0016*(($B$34/2.2)^1.3)/(($E12/2)^1.4)</f>
        <v>5.176981056518856E-4</v>
      </c>
      <c r="K12" s="136">
        <f t="shared" si="7"/>
        <v>0.13424718733928445</v>
      </c>
      <c r="L12" s="136">
        <f t="shared" si="8"/>
        <v>6.3495291309121016E-2</v>
      </c>
      <c r="M12" s="136">
        <f t="shared" si="9"/>
        <v>9.6150012553811847E-3</v>
      </c>
    </row>
    <row r="13" spans="1:14" ht="15" customHeight="1" x14ac:dyDescent="0.2">
      <c r="A13" s="6" t="s">
        <v>248</v>
      </c>
      <c r="B13" s="26">
        <v>-20.261721000000001</v>
      </c>
      <c r="C13" s="26">
        <v>-40.233967999999997</v>
      </c>
      <c r="D13" s="10">
        <f>Dados!$C$24/8760</f>
        <v>1.2155251141552512</v>
      </c>
      <c r="E13" s="26">
        <f>$B$38</f>
        <v>15</v>
      </c>
      <c r="F13" s="9" t="s">
        <v>67</v>
      </c>
      <c r="G13" s="7"/>
      <c r="H13" s="136">
        <f>'FE-Transferências'!B$3*0.0016*(($B$34/2.2)^1.3)/(($E13/2)^1.4)</f>
        <v>1.6311904241925814E-4</v>
      </c>
      <c r="I13" s="136">
        <f>'FE-Transferências'!C$3*0.0016*(($B$34/2.2)^1.3)/(($E13/2)^1.4)</f>
        <v>7.7150898441541004E-5</v>
      </c>
      <c r="J13" s="136">
        <f>'FE-Transferências'!D$3*0.0016*(($B$34/2.2)^1.3)/(($E13/2)^1.4)</f>
        <v>1.1682850335433354E-5</v>
      </c>
      <c r="K13" s="136">
        <f t="shared" si="7"/>
        <v>1.9827529265756402E-4</v>
      </c>
      <c r="L13" s="136">
        <f t="shared" si="8"/>
        <v>9.3778854635334326E-5</v>
      </c>
      <c r="M13" s="136">
        <f t="shared" si="9"/>
        <v>1.4200797987636344E-5</v>
      </c>
    </row>
    <row r="14" spans="1:14" ht="15" customHeight="1" x14ac:dyDescent="0.2">
      <c r="A14" s="6" t="s">
        <v>142</v>
      </c>
      <c r="B14" s="9">
        <v>-20.261721000000001</v>
      </c>
      <c r="C14" s="9">
        <v>-40.233967999999997</v>
      </c>
      <c r="D14" s="10">
        <f>Dados!$C$26/8760</f>
        <v>46.464954337899542</v>
      </c>
      <c r="E14" s="9">
        <f>$B$37</f>
        <v>11</v>
      </c>
      <c r="F14" s="9" t="s">
        <v>67</v>
      </c>
      <c r="G14" s="7"/>
      <c r="H14" s="136">
        <f>'FE-Transferências'!B$3*0.0016*(($B$34/2.2)^1.3)/(($E14/2)^1.4)</f>
        <v>2.5181562060978948E-4</v>
      </c>
      <c r="I14" s="136">
        <f>'FE-Transferências'!C$3*0.0016*(($B$34/2.2)^1.3)/(($E14/2)^1.4)</f>
        <v>1.1910198272084636E-4</v>
      </c>
      <c r="J14" s="136">
        <f>'FE-Transferências'!D$3*0.0016*(($B$34/2.2)^1.3)/(($E14/2)^1.4)</f>
        <v>1.8035443097728166E-5</v>
      </c>
      <c r="K14" s="136">
        <f>$D14*H14*(1-$G14/100)</f>
        <v>1.1700601313203704E-2</v>
      </c>
      <c r="L14" s="136">
        <f t="shared" si="5"/>
        <v>5.5340681886774266E-3</v>
      </c>
      <c r="M14" s="136">
        <f t="shared" ref="M14:M31" si="10">$D14*J14*(1-$G14/100)</f>
        <v>8.3801603999972469E-4</v>
      </c>
    </row>
    <row r="15" spans="1:14" ht="15" customHeight="1" x14ac:dyDescent="0.2">
      <c r="A15" s="6" t="s">
        <v>143</v>
      </c>
      <c r="B15" s="9">
        <v>-20.261721000000001</v>
      </c>
      <c r="C15" s="9">
        <v>-40.233967999999997</v>
      </c>
      <c r="D15" s="10">
        <f>Dados!$C$23/8760</f>
        <v>18.572602739726026</v>
      </c>
      <c r="E15" s="9">
        <f>$B$40</f>
        <v>1</v>
      </c>
      <c r="F15" s="9" t="s">
        <v>135</v>
      </c>
      <c r="G15" s="7">
        <v>95</v>
      </c>
      <c r="H15" s="136">
        <f>'FE-Transferências'!B$3*0.0016*(($B$34/2.2)^1.3)/(($E15/2)^1.4)</f>
        <v>7.2282377015546288E-3</v>
      </c>
      <c r="I15" s="136">
        <f>'FE-Transferências'!C$3*0.0016*(($B$34/2.2)^1.3)/(($E15/2)^1.4)</f>
        <v>3.418761075059621E-3</v>
      </c>
      <c r="J15" s="136">
        <f>'FE-Transferências'!D$3*0.0016*(($B$34/2.2)^1.3)/(($E15/2)^1.4)</f>
        <v>5.176981056518856E-4</v>
      </c>
      <c r="K15" s="136">
        <f t="shared" ref="K15:K31" si="11">$D15*H15*(1-$G15/100)</f>
        <v>6.7123593669642283E-3</v>
      </c>
      <c r="L15" s="136">
        <f t="shared" ref="L15:L31" si="12">$D15*I15*(1-$G15/100)</f>
        <v>3.1747645654560536E-3</v>
      </c>
      <c r="M15" s="136">
        <f t="shared" si="10"/>
        <v>4.8075006276905965E-4</v>
      </c>
    </row>
    <row r="16" spans="1:14" ht="15" customHeight="1" x14ac:dyDescent="0.2">
      <c r="A16" s="6" t="s">
        <v>246</v>
      </c>
      <c r="B16" s="9">
        <v>-20.261721000000001</v>
      </c>
      <c r="C16" s="9">
        <v>-40.233967999999997</v>
      </c>
      <c r="D16" s="10">
        <f>Dados!$C$24/8760</f>
        <v>1.2155251141552512</v>
      </c>
      <c r="E16" s="9">
        <f>$B$38</f>
        <v>15</v>
      </c>
      <c r="F16" s="9" t="s">
        <v>67</v>
      </c>
      <c r="G16" s="7"/>
      <c r="H16" s="136">
        <f>'FE-Transferências'!B$3*0.0016*(($B$34/2.2)^1.3)/(($E16/2)^1.4)</f>
        <v>1.6311904241925814E-4</v>
      </c>
      <c r="I16" s="136">
        <f>'FE-Transferências'!C$3*0.0016*(($B$34/2.2)^1.3)/(($E16/2)^1.4)</f>
        <v>7.7150898441541004E-5</v>
      </c>
      <c r="J16" s="136">
        <f>'FE-Transferências'!D$3*0.0016*(($B$34/2.2)^1.3)/(($E16/2)^1.4)</f>
        <v>1.1682850335433354E-5</v>
      </c>
      <c r="K16" s="136">
        <f t="shared" ref="K16" si="13">$D16*H16*(1-$G16/100)</f>
        <v>1.9827529265756402E-4</v>
      </c>
      <c r="L16" s="136">
        <f t="shared" ref="L16" si="14">$D16*I16*(1-$G16/100)</f>
        <v>9.3778854635334326E-5</v>
      </c>
      <c r="M16" s="136">
        <f t="shared" ref="M16" si="15">$D16*J16*(1-$G16/100)</f>
        <v>1.4200797987636344E-5</v>
      </c>
    </row>
    <row r="17" spans="1:13" ht="15" customHeight="1" x14ac:dyDescent="0.2">
      <c r="A17" s="2" t="s">
        <v>144</v>
      </c>
      <c r="B17" s="26">
        <v>-20.261721000000001</v>
      </c>
      <c r="C17" s="26">
        <v>-40.233967999999997</v>
      </c>
      <c r="D17" s="10">
        <f>Dados!$C$26/8760</f>
        <v>46.464954337899542</v>
      </c>
      <c r="E17" s="26">
        <f>$B$37</f>
        <v>11</v>
      </c>
      <c r="F17" s="9" t="s">
        <v>135</v>
      </c>
      <c r="G17" s="7">
        <v>95</v>
      </c>
      <c r="H17" s="136">
        <f>'FE-Transferências'!B$3*0.0016*(($B$34/2.2)^1.3)/(($E17/2)^1.4)</f>
        <v>2.5181562060978948E-4</v>
      </c>
      <c r="I17" s="136">
        <f>'FE-Transferências'!C$3*0.0016*(($B$34/2.2)^1.3)/(($E17/2)^1.4)</f>
        <v>1.1910198272084636E-4</v>
      </c>
      <c r="J17" s="136">
        <f>'FE-Transferências'!D$3*0.0016*(($B$34/2.2)^1.3)/(($E17/2)^1.4)</f>
        <v>1.8035443097728166E-5</v>
      </c>
      <c r="K17" s="136">
        <f t="shared" si="11"/>
        <v>5.8503006566018568E-4</v>
      </c>
      <c r="L17" s="136">
        <f t="shared" si="12"/>
        <v>2.7670340943387157E-4</v>
      </c>
      <c r="M17" s="136">
        <f t="shared" si="10"/>
        <v>4.1900801999986274E-5</v>
      </c>
    </row>
    <row r="18" spans="1:13" ht="15" customHeight="1" x14ac:dyDescent="0.2">
      <c r="A18" s="2" t="s">
        <v>145</v>
      </c>
      <c r="B18" s="26">
        <v>-20.261721000000001</v>
      </c>
      <c r="C18" s="26">
        <v>-40.233967999999997</v>
      </c>
      <c r="D18" s="10">
        <f>Dados!$C$23/8760</f>
        <v>18.572602739726026</v>
      </c>
      <c r="E18" s="26">
        <f>$B$40</f>
        <v>1</v>
      </c>
      <c r="F18" s="9" t="s">
        <v>135</v>
      </c>
      <c r="G18" s="7">
        <v>95</v>
      </c>
      <c r="H18" s="136">
        <f>'FE-Transferências'!B$3*0.0016*(($B$34/2.2)^1.3)/(($E18/2)^1.4)</f>
        <v>7.2282377015546288E-3</v>
      </c>
      <c r="I18" s="136">
        <f>'FE-Transferências'!C$3*0.0016*(($B$34/2.2)^1.3)/(($E18/2)^1.4)</f>
        <v>3.418761075059621E-3</v>
      </c>
      <c r="J18" s="136">
        <f>'FE-Transferências'!D$3*0.0016*(($B$34/2.2)^1.3)/(($E18/2)^1.4)</f>
        <v>5.176981056518856E-4</v>
      </c>
      <c r="K18" s="136">
        <f t="shared" si="11"/>
        <v>6.7123593669642283E-3</v>
      </c>
      <c r="L18" s="136">
        <f t="shared" si="12"/>
        <v>3.1747645654560536E-3</v>
      </c>
      <c r="M18" s="136">
        <f t="shared" si="10"/>
        <v>4.8075006276905965E-4</v>
      </c>
    </row>
    <row r="19" spans="1:13" ht="15" customHeight="1" x14ac:dyDescent="0.2">
      <c r="A19" s="6" t="s">
        <v>146</v>
      </c>
      <c r="B19" s="26">
        <v>-20.261721000000001</v>
      </c>
      <c r="C19" s="26">
        <v>-40.233967999999997</v>
      </c>
      <c r="D19" s="10">
        <f>Dados!$C$24/8760</f>
        <v>1.2155251141552512</v>
      </c>
      <c r="E19" s="26">
        <f>$B$38</f>
        <v>15</v>
      </c>
      <c r="F19" s="9" t="s">
        <v>135</v>
      </c>
      <c r="G19" s="7">
        <v>95</v>
      </c>
      <c r="H19" s="136">
        <f>'FE-Transferências'!B$3*0.0016*(($B$34/2.2)^1.3)/(($E19/2)^1.4)</f>
        <v>1.6311904241925814E-4</v>
      </c>
      <c r="I19" s="136">
        <f>'FE-Transferências'!C$3*0.0016*(($B$34/2.2)^1.3)/(($E19/2)^1.4)</f>
        <v>7.7150898441541004E-5</v>
      </c>
      <c r="J19" s="136">
        <f>'FE-Transferências'!D$3*0.0016*(($B$34/2.2)^1.3)/(($E19/2)^1.4)</f>
        <v>1.1682850335433354E-5</v>
      </c>
      <c r="K19" s="136">
        <f t="shared" si="11"/>
        <v>9.91376463287821E-6</v>
      </c>
      <c r="L19" s="136">
        <f t="shared" si="12"/>
        <v>4.6889427317667209E-6</v>
      </c>
      <c r="M19" s="136">
        <f t="shared" si="10"/>
        <v>7.1003989938181786E-7</v>
      </c>
    </row>
    <row r="20" spans="1:13" ht="15" customHeight="1" x14ac:dyDescent="0.2">
      <c r="A20" s="6" t="s">
        <v>157</v>
      </c>
      <c r="B20" s="9">
        <v>-20.261721000000001</v>
      </c>
      <c r="C20" s="9">
        <v>-40.233967999999997</v>
      </c>
      <c r="D20" s="10">
        <f>Dados!$C$25/8760</f>
        <v>2.6884703196347033</v>
      </c>
      <c r="E20" s="9">
        <f>$B$39</f>
        <v>3</v>
      </c>
      <c r="F20" s="9" t="s">
        <v>135</v>
      </c>
      <c r="G20" s="7">
        <v>95</v>
      </c>
      <c r="H20" s="136">
        <f>'FE-Transferências'!B$3*0.0016*(($B$34/2.2)^1.3)/(($E20/2)^1.4)</f>
        <v>1.5526110379049159E-3</v>
      </c>
      <c r="I20" s="136">
        <f>'FE-Transferências'!C$3*0.0016*(($B$34/2.2)^1.3)/(($E20/2)^1.4)</f>
        <v>7.3434305846854125E-4</v>
      </c>
      <c r="J20" s="136">
        <f>'FE-Transferências'!D$3*0.0016*(($B$34/2.2)^1.3)/(($E20/2)^1.4)</f>
        <v>1.1120052028237912E-4</v>
      </c>
      <c r="K20" s="136">
        <f t="shared" si="11"/>
        <v>2.0870743466723009E-4</v>
      </c>
      <c r="L20" s="136">
        <f t="shared" si="12"/>
        <v>9.8712975856122322E-5</v>
      </c>
      <c r="M20" s="136">
        <f t="shared" si="10"/>
        <v>1.4947964915355666E-5</v>
      </c>
    </row>
    <row r="21" spans="1:13" ht="15" customHeight="1" x14ac:dyDescent="0.2">
      <c r="A21" s="2" t="s">
        <v>147</v>
      </c>
      <c r="B21" s="26">
        <v>-20.261721000000001</v>
      </c>
      <c r="C21" s="26">
        <v>-40.233967999999997</v>
      </c>
      <c r="D21" s="10">
        <f>Dados!$C$28/8760</f>
        <v>43.642694063926939</v>
      </c>
      <c r="E21" s="26">
        <f>$B$37</f>
        <v>11</v>
      </c>
      <c r="F21" s="26" t="s">
        <v>135</v>
      </c>
      <c r="G21" s="7">
        <v>95</v>
      </c>
      <c r="H21" s="136">
        <f>'FE-Transferências'!B$3*0.0016*(($B$34/2.2)^1.3)/(($E21/2)^1.4)</f>
        <v>2.5181562060978948E-4</v>
      </c>
      <c r="I21" s="136">
        <f>'FE-Transferências'!C$3*0.0016*(($B$34/2.2)^1.3)/(($E21/2)^1.4)</f>
        <v>1.1910198272084636E-4</v>
      </c>
      <c r="J21" s="136">
        <f>'FE-Transferências'!D$3*0.0016*(($B$34/2.2)^1.3)/(($E21/2)^1.4)</f>
        <v>1.8035443097728166E-5</v>
      </c>
      <c r="K21" s="136">
        <f t="shared" si="11"/>
        <v>5.4949560453954743E-4</v>
      </c>
      <c r="L21" s="136">
        <f t="shared" si="12"/>
        <v>2.5989656971465075E-4</v>
      </c>
      <c r="M21" s="136">
        <f t="shared" si="10"/>
        <v>3.935576627107569E-5</v>
      </c>
    </row>
    <row r="22" spans="1:13" ht="15" customHeight="1" x14ac:dyDescent="0.2">
      <c r="A22" s="2" t="s">
        <v>148</v>
      </c>
      <c r="B22" s="26">
        <v>-20.261721000000001</v>
      </c>
      <c r="C22" s="26">
        <v>-40.233967999999997</v>
      </c>
      <c r="D22" s="10">
        <f>Dados!$C$27/8760</f>
        <v>22.991666666666667</v>
      </c>
      <c r="E22" s="26">
        <f>$B$40</f>
        <v>1</v>
      </c>
      <c r="F22" s="26" t="s">
        <v>135</v>
      </c>
      <c r="G22" s="7">
        <v>95</v>
      </c>
      <c r="H22" s="136">
        <f>'FE-Transferências'!B$3*0.0016*(($B$34/2.2)^1.3)/(($E22/2)^1.4)</f>
        <v>7.2282377015546288E-3</v>
      </c>
      <c r="I22" s="136">
        <f>'FE-Transferências'!C$3*0.0016*(($B$34/2.2)^1.3)/(($E22/2)^1.4)</f>
        <v>3.418761075059621E-3</v>
      </c>
      <c r="J22" s="136">
        <f>'FE-Transferências'!D$3*0.0016*(($B$34/2.2)^1.3)/(($E22/2)^1.4)</f>
        <v>5.176981056518856E-4</v>
      </c>
      <c r="K22" s="136">
        <f t="shared" si="11"/>
        <v>8.3094615910788497E-3</v>
      </c>
      <c r="L22" s="136">
        <f t="shared" si="12"/>
        <v>3.9301507525372932E-3</v>
      </c>
      <c r="M22" s="136">
        <f t="shared" si="10"/>
        <v>5.9513711395564736E-4</v>
      </c>
    </row>
    <row r="23" spans="1:13" ht="15" customHeight="1" x14ac:dyDescent="0.2">
      <c r="A23" s="2" t="s">
        <v>158</v>
      </c>
      <c r="B23" s="26">
        <v>-20.261721000000001</v>
      </c>
      <c r="C23" s="26">
        <v>-40.233967999999997</v>
      </c>
      <c r="D23" s="10">
        <f>Dados!$C$24/8760</f>
        <v>1.2155251141552512</v>
      </c>
      <c r="E23" s="26">
        <f>$B$38</f>
        <v>15</v>
      </c>
      <c r="F23" s="26" t="s">
        <v>135</v>
      </c>
      <c r="G23" s="7">
        <v>95</v>
      </c>
      <c r="H23" s="136">
        <f>'FE-Transferências'!B$3*0.0016*(($B$34/2.2)^1.3)/(($E23/2)^1.4)</f>
        <v>1.6311904241925814E-4</v>
      </c>
      <c r="I23" s="136">
        <f>'FE-Transferências'!C$3*0.0016*(($B$34/2.2)^1.3)/(($E23/2)^1.4)</f>
        <v>7.7150898441541004E-5</v>
      </c>
      <c r="J23" s="136">
        <f>'FE-Transferências'!D$3*0.0016*(($B$34/2.2)^1.3)/(($E23/2)^1.4)</f>
        <v>1.1682850335433354E-5</v>
      </c>
      <c r="K23" s="136">
        <f t="shared" si="11"/>
        <v>9.91376463287821E-6</v>
      </c>
      <c r="L23" s="136">
        <f t="shared" si="12"/>
        <v>4.6889427317667209E-6</v>
      </c>
      <c r="M23" s="136">
        <f t="shared" si="10"/>
        <v>7.1003989938181786E-7</v>
      </c>
    </row>
    <row r="24" spans="1:13" ht="15" customHeight="1" x14ac:dyDescent="0.2">
      <c r="A24" s="2" t="s">
        <v>159</v>
      </c>
      <c r="B24" s="26">
        <v>-20.261721000000001</v>
      </c>
      <c r="C24" s="26">
        <v>-40.233967999999997</v>
      </c>
      <c r="D24" s="10">
        <f>Dados!$C$25/8760</f>
        <v>2.6884703196347033</v>
      </c>
      <c r="E24" s="26">
        <f>$B$39</f>
        <v>3</v>
      </c>
      <c r="F24" s="26" t="s">
        <v>135</v>
      </c>
      <c r="G24" s="7">
        <v>95</v>
      </c>
      <c r="H24" s="136">
        <f>'FE-Transferências'!B$3*0.0016*(($B$34/2.2)^1.3)/(($E24/2)^1.4)</f>
        <v>1.5526110379049159E-3</v>
      </c>
      <c r="I24" s="136">
        <f>'FE-Transferências'!C$3*0.0016*(($B$34/2.2)^1.3)/(($E24/2)^1.4)</f>
        <v>7.3434305846854125E-4</v>
      </c>
      <c r="J24" s="136">
        <f>'FE-Transferências'!D$3*0.0016*(($B$34/2.2)^1.3)/(($E24/2)^1.4)</f>
        <v>1.1120052028237912E-4</v>
      </c>
      <c r="K24" s="136">
        <f t="shared" si="11"/>
        <v>2.0870743466723009E-4</v>
      </c>
      <c r="L24" s="136">
        <f t="shared" si="12"/>
        <v>9.8712975856122322E-5</v>
      </c>
      <c r="M24" s="136">
        <f t="shared" si="10"/>
        <v>1.4947964915355666E-5</v>
      </c>
    </row>
    <row r="25" spans="1:13" ht="15" customHeight="1" x14ac:dyDescent="0.2">
      <c r="A25" s="2" t="s">
        <v>149</v>
      </c>
      <c r="B25" s="26">
        <v>-20.261721000000001</v>
      </c>
      <c r="C25" s="26">
        <v>-40.233967999999997</v>
      </c>
      <c r="D25" s="10">
        <f>Dados!$C$28/8760</f>
        <v>43.642694063926939</v>
      </c>
      <c r="E25" s="26">
        <f>$B$37</f>
        <v>11</v>
      </c>
      <c r="F25" s="9" t="s">
        <v>67</v>
      </c>
      <c r="G25" s="7"/>
      <c r="H25" s="136">
        <f>'FE-Transferências'!B$3*0.0016*(($B$34/2.2)^1.3)/(($E25/2)^1.4)</f>
        <v>2.5181562060978948E-4</v>
      </c>
      <c r="I25" s="136">
        <f>'FE-Transferências'!C$3*0.0016*(($B$34/2.2)^1.3)/(($E25/2)^1.4)</f>
        <v>1.1910198272084636E-4</v>
      </c>
      <c r="J25" s="136">
        <f>'FE-Transferências'!D$3*0.0016*(($B$34/2.2)^1.3)/(($E25/2)^1.4)</f>
        <v>1.8035443097728166E-5</v>
      </c>
      <c r="K25" s="136">
        <f t="shared" si="11"/>
        <v>1.0989912090790938E-2</v>
      </c>
      <c r="L25" s="136">
        <f t="shared" si="12"/>
        <v>5.19793139429301E-3</v>
      </c>
      <c r="M25" s="136">
        <f t="shared" si="10"/>
        <v>7.871153254215131E-4</v>
      </c>
    </row>
    <row r="26" spans="1:13" ht="15" customHeight="1" x14ac:dyDescent="0.2">
      <c r="A26" s="2" t="s">
        <v>150</v>
      </c>
      <c r="B26" s="26">
        <v>-20.261721000000001</v>
      </c>
      <c r="C26" s="26">
        <v>-40.233967999999997</v>
      </c>
      <c r="D26" s="10">
        <f>Dados!$C$27/8760</f>
        <v>22.991666666666667</v>
      </c>
      <c r="E26" s="26">
        <f>$B$40</f>
        <v>1</v>
      </c>
      <c r="F26" s="9" t="s">
        <v>67</v>
      </c>
      <c r="G26" s="7"/>
      <c r="H26" s="136">
        <f>'FE-Transferências'!B$3*0.0016*(($B$34/2.2)^1.3)/(($E26/2)^1.4)</f>
        <v>7.2282377015546288E-3</v>
      </c>
      <c r="I26" s="136">
        <f>'FE-Transferências'!C$3*0.0016*(($B$34/2.2)^1.3)/(($E26/2)^1.4)</f>
        <v>3.418761075059621E-3</v>
      </c>
      <c r="J26" s="136">
        <f>'FE-Transferências'!D$3*0.0016*(($B$34/2.2)^1.3)/(($E26/2)^1.4)</f>
        <v>5.176981056518856E-4</v>
      </c>
      <c r="K26" s="136">
        <f t="shared" si="11"/>
        <v>0.16618923182157685</v>
      </c>
      <c r="L26" s="136">
        <f t="shared" si="12"/>
        <v>7.8603015050745795E-2</v>
      </c>
      <c r="M26" s="136">
        <f t="shared" si="10"/>
        <v>1.1902742279112937E-2</v>
      </c>
    </row>
    <row r="27" spans="1:13" ht="15" customHeight="1" x14ac:dyDescent="0.2">
      <c r="A27" s="2" t="s">
        <v>151</v>
      </c>
      <c r="B27" s="26">
        <v>-20.261721000000001</v>
      </c>
      <c r="C27" s="26">
        <v>-40.233967999999997</v>
      </c>
      <c r="D27" s="10">
        <f>Dados!$C$24/8760</f>
        <v>1.2155251141552512</v>
      </c>
      <c r="E27" s="26">
        <f>$B$38</f>
        <v>15</v>
      </c>
      <c r="F27" s="9" t="s">
        <v>67</v>
      </c>
      <c r="G27" s="7"/>
      <c r="H27" s="136">
        <f>'FE-Transferências'!B$3*0.0016*(($B$34/2.2)^1.3)/(($E27/2)^1.4)</f>
        <v>1.6311904241925814E-4</v>
      </c>
      <c r="I27" s="136">
        <f>'FE-Transferências'!C$3*0.0016*(($B$34/2.2)^1.3)/(($E27/2)^1.4)</f>
        <v>7.7150898441541004E-5</v>
      </c>
      <c r="J27" s="136">
        <f>'FE-Transferências'!D$3*0.0016*(($B$34/2.2)^1.3)/(($E27/2)^1.4)</f>
        <v>1.1682850335433354E-5</v>
      </c>
      <c r="K27" s="136">
        <f t="shared" si="11"/>
        <v>1.9827529265756402E-4</v>
      </c>
      <c r="L27" s="136">
        <f t="shared" si="12"/>
        <v>9.3778854635334326E-5</v>
      </c>
      <c r="M27" s="136">
        <f t="shared" si="10"/>
        <v>1.4200797987636344E-5</v>
      </c>
    </row>
    <row r="28" spans="1:13" ht="15" customHeight="1" x14ac:dyDescent="0.2">
      <c r="A28" s="2" t="s">
        <v>160</v>
      </c>
      <c r="B28" s="26">
        <v>-20.261721000000001</v>
      </c>
      <c r="C28" s="26">
        <v>-40.233967999999997</v>
      </c>
      <c r="D28" s="10">
        <f>Dados!$C$25/8760</f>
        <v>2.6884703196347033</v>
      </c>
      <c r="E28" s="26">
        <f>$B$39</f>
        <v>3</v>
      </c>
      <c r="F28" s="9" t="s">
        <v>67</v>
      </c>
      <c r="G28" s="7"/>
      <c r="H28" s="136">
        <f>'FE-Transferências'!B$3*0.0016*(($B$34/2.2)^1.3)/(($E28/2)^1.4)</f>
        <v>1.5526110379049159E-3</v>
      </c>
      <c r="I28" s="136">
        <f>'FE-Transferências'!C$3*0.0016*(($B$34/2.2)^1.3)/(($E28/2)^1.4)</f>
        <v>7.3434305846854125E-4</v>
      </c>
      <c r="J28" s="136">
        <f>'FE-Transferências'!D$3*0.0016*(($B$34/2.2)^1.3)/(($E28/2)^1.4)</f>
        <v>1.1120052028237912E-4</v>
      </c>
      <c r="K28" s="136">
        <f t="shared" si="11"/>
        <v>4.1741486933445978E-3</v>
      </c>
      <c r="L28" s="136">
        <f t="shared" si="12"/>
        <v>1.9742595171224446E-3</v>
      </c>
      <c r="M28" s="136">
        <f t="shared" si="10"/>
        <v>2.9895929830711307E-4</v>
      </c>
    </row>
    <row r="29" spans="1:13" ht="15" customHeight="1" x14ac:dyDescent="0.2">
      <c r="A29" s="2" t="s">
        <v>152</v>
      </c>
      <c r="B29" s="26">
        <v>-20.261721000000001</v>
      </c>
      <c r="C29" s="26">
        <v>-40.233967999999997</v>
      </c>
      <c r="D29" s="10">
        <f>SUM(Dados!C29:C30)/8760</f>
        <v>64.253538812785393</v>
      </c>
      <c r="E29" s="26">
        <f>$B$41</f>
        <v>1</v>
      </c>
      <c r="F29" s="26" t="s">
        <v>135</v>
      </c>
      <c r="G29" s="7">
        <v>95</v>
      </c>
      <c r="H29" s="136">
        <f>'FE-Transferências'!B$3*0.0016*(($B$34/2.2)^1.3)/(($E29/2)^1.4)</f>
        <v>7.2282377015546288E-3</v>
      </c>
      <c r="I29" s="136">
        <f>'FE-Transferências'!C$3*0.0016*(($B$34/2.2)^1.3)/(($E29/2)^1.4)</f>
        <v>3.418761075059621E-3</v>
      </c>
      <c r="J29" s="136">
        <f>'FE-Transferências'!D$3*0.0016*(($B$34/2.2)^1.3)/(($E29/2)^1.4)</f>
        <v>5.176981056518856E-4</v>
      </c>
      <c r="K29" s="136">
        <f t="shared" si="11"/>
        <v>2.3221992585243972E-2</v>
      </c>
      <c r="L29" s="136">
        <f t="shared" si="12"/>
        <v>1.0983374871399174E-2</v>
      </c>
      <c r="M29" s="136">
        <f t="shared" si="10"/>
        <v>1.6631967662404466E-3</v>
      </c>
    </row>
    <row r="30" spans="1:13" ht="15" customHeight="1" x14ac:dyDescent="0.2">
      <c r="A30" s="2" t="s">
        <v>153</v>
      </c>
      <c r="B30" s="26">
        <v>-20.261721000000001</v>
      </c>
      <c r="C30" s="26">
        <v>-40.233967999999997</v>
      </c>
      <c r="D30" s="10">
        <f>Dados!C30/8760</f>
        <v>43.577739726027396</v>
      </c>
      <c r="E30" s="26">
        <f t="shared" ref="E30:E31" si="16">$B$41</f>
        <v>1</v>
      </c>
      <c r="F30" s="26" t="s">
        <v>135</v>
      </c>
      <c r="G30" s="7">
        <v>95</v>
      </c>
      <c r="H30" s="136">
        <f>'FE-Transferências'!B$3*0.0016*(($B$34/2.2)^1.3)/(($E30/2)^1.4)</f>
        <v>7.2282377015546288E-3</v>
      </c>
      <c r="I30" s="136">
        <f>'FE-Transferências'!C$3*0.0016*(($B$34/2.2)^1.3)/(($E30/2)^1.4)</f>
        <v>3.418761075059621E-3</v>
      </c>
      <c r="J30" s="136">
        <f>'FE-Transferências'!D$3*0.0016*(($B$34/2.2)^1.3)/(($E30/2)^1.4)</f>
        <v>5.176981056518856E-4</v>
      </c>
      <c r="K30" s="136">
        <f t="shared" si="11"/>
        <v>1.574951306181032E-2</v>
      </c>
      <c r="L30" s="136">
        <f t="shared" si="12"/>
        <v>7.4490940157210953E-3</v>
      </c>
      <c r="M30" s="136">
        <f t="shared" si="10"/>
        <v>1.1280056652377662E-3</v>
      </c>
    </row>
    <row r="31" spans="1:13" ht="15" customHeight="1" x14ac:dyDescent="0.2">
      <c r="A31" s="2" t="s">
        <v>154</v>
      </c>
      <c r="B31" s="26">
        <v>-20.261721000000001</v>
      </c>
      <c r="C31" s="26">
        <v>-40.233967999999997</v>
      </c>
      <c r="D31" s="10">
        <f>Dados!C29/8760</f>
        <v>20.675799086757991</v>
      </c>
      <c r="E31" s="26">
        <f t="shared" si="16"/>
        <v>1</v>
      </c>
      <c r="F31" s="26" t="s">
        <v>135</v>
      </c>
      <c r="G31" s="7">
        <v>95</v>
      </c>
      <c r="H31" s="136">
        <f>'FE-Transferências'!B$3*0.0016*(($B$34/2.2)^1.3)/(($E31/2)^1.4)</f>
        <v>7.2282377015546288E-3</v>
      </c>
      <c r="I31" s="136">
        <f>'FE-Transferências'!C$3*0.0016*(($B$34/2.2)^1.3)/(($E31/2)^1.4)</f>
        <v>3.418761075059621E-3</v>
      </c>
      <c r="J31" s="136">
        <f>'FE-Transferências'!D$3*0.0016*(($B$34/2.2)^1.3)/(($E31/2)^1.4)</f>
        <v>5.176981056518856E-4</v>
      </c>
      <c r="K31" s="136">
        <f t="shared" si="11"/>
        <v>7.4724795234336503E-3</v>
      </c>
      <c r="L31" s="136">
        <f t="shared" si="12"/>
        <v>3.5342808556780773E-3</v>
      </c>
      <c r="M31" s="136">
        <f t="shared" si="10"/>
        <v>5.3519110100268036E-4</v>
      </c>
    </row>
    <row r="32" spans="1:13" ht="15" customHeight="1" x14ac:dyDescent="0.2">
      <c r="A32" s="196" t="s">
        <v>260</v>
      </c>
      <c r="B32" s="197"/>
      <c r="C32" s="197"/>
      <c r="D32" s="197"/>
      <c r="E32" s="197"/>
      <c r="F32" s="197"/>
      <c r="G32" s="197"/>
      <c r="H32" s="197"/>
      <c r="I32" s="197"/>
      <c r="J32" s="197"/>
      <c r="K32" s="90">
        <f>SUM(K3:K31)</f>
        <v>0.4698585085161105</v>
      </c>
      <c r="L32" s="90">
        <f t="shared" ref="L32:M32" si="17">SUM(L3:L31)</f>
        <v>0.22223037564951162</v>
      </c>
      <c r="M32" s="90">
        <f t="shared" si="17"/>
        <v>3.3652028312640352E-2</v>
      </c>
    </row>
    <row r="33" spans="1:5" ht="15" customHeight="1" x14ac:dyDescent="0.2">
      <c r="D33" s="4"/>
    </row>
    <row r="34" spans="1:5" ht="15" customHeight="1" x14ac:dyDescent="0.2">
      <c r="A34" s="123" t="s">
        <v>133</v>
      </c>
      <c r="B34" s="117">
        <v>4.1937865160171146</v>
      </c>
    </row>
    <row r="36" spans="1:5" ht="15" customHeight="1" x14ac:dyDescent="0.2">
      <c r="A36" s="123" t="s">
        <v>226</v>
      </c>
      <c r="B36" s="123" t="s">
        <v>131</v>
      </c>
    </row>
    <row r="37" spans="1:5" ht="15" customHeight="1" x14ac:dyDescent="0.2">
      <c r="A37" s="2" t="s">
        <v>132</v>
      </c>
      <c r="B37" s="26">
        <v>11</v>
      </c>
    </row>
    <row r="38" spans="1:5" ht="15" customHeight="1" x14ac:dyDescent="0.2">
      <c r="A38" s="2" t="s">
        <v>16</v>
      </c>
      <c r="B38" s="26">
        <v>15</v>
      </c>
    </row>
    <row r="39" spans="1:5" ht="15" customHeight="1" x14ac:dyDescent="0.2">
      <c r="A39" s="2" t="s">
        <v>17</v>
      </c>
      <c r="B39" s="26">
        <v>3</v>
      </c>
    </row>
    <row r="40" spans="1:5" ht="15" customHeight="1" x14ac:dyDescent="0.2">
      <c r="A40" s="2" t="s">
        <v>18</v>
      </c>
      <c r="B40" s="26">
        <v>1</v>
      </c>
      <c r="E40" s="4"/>
    </row>
    <row r="41" spans="1:5" ht="15" customHeight="1" x14ac:dyDescent="0.2">
      <c r="A41" s="2" t="s">
        <v>134</v>
      </c>
      <c r="B41" s="9">
        <v>1</v>
      </c>
    </row>
  </sheetData>
  <sheetProtection password="B056" sheet="1" objects="1" scenarios="1"/>
  <mergeCells count="9">
    <mergeCell ref="A32:J32"/>
    <mergeCell ref="H1:J1"/>
    <mergeCell ref="K1:M1"/>
    <mergeCell ref="A1:A2"/>
    <mergeCell ref="B1:B2"/>
    <mergeCell ref="C1:C2"/>
    <mergeCell ref="D1:D2"/>
    <mergeCell ref="E1:E2"/>
    <mergeCell ref="F1:G1"/>
  </mergeCells>
  <pageMargins left="0.511811024" right="0.511811024" top="0.78740157499999996" bottom="0.78740157499999996" header="0.31496062000000002" footer="0.31496062000000002"/>
  <pageSetup orientation="portrait" r:id="rId1"/>
  <ignoredErrors>
    <ignoredError sqref="E17 D15:E15"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12</vt:i4>
      </vt:variant>
      <vt:variant>
        <vt:lpstr>Intervalos nomeados</vt:lpstr>
      </vt:variant>
      <vt:variant>
        <vt:i4>2</vt:i4>
      </vt:variant>
    </vt:vector>
  </HeadingPairs>
  <TitlesOfParts>
    <vt:vector size="14" baseType="lpstr">
      <vt:lpstr>Dados</vt:lpstr>
      <vt:lpstr>FE - Maq e Equip</vt:lpstr>
      <vt:lpstr>FE-Transferências</vt:lpstr>
      <vt:lpstr>FE-Combustão</vt:lpstr>
      <vt:lpstr>FE-Vias</vt:lpstr>
      <vt:lpstr>Monitoramento</vt:lpstr>
      <vt:lpstr>Emissão Maq e Equip</vt:lpstr>
      <vt:lpstr>Emissão Chaminés</vt:lpstr>
      <vt:lpstr>Emissão Transferências</vt:lpstr>
      <vt:lpstr>Emissão Vias</vt:lpstr>
      <vt:lpstr>Resumo</vt:lpstr>
      <vt:lpstr>Plan1</vt:lpstr>
      <vt:lpstr>FE_Equip</vt:lpstr>
      <vt:lpstr>Pot_Equip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Brusco Filete</dc:creator>
  <cp:lastModifiedBy>Vanessa Brusco Filete</cp:lastModifiedBy>
  <dcterms:created xsi:type="dcterms:W3CDTF">2018-12-20T18:58:58Z</dcterms:created>
  <dcterms:modified xsi:type="dcterms:W3CDTF">2019-06-06T20:54:53Z</dcterms:modified>
</cp:coreProperties>
</file>