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Natureza_Viva\"/>
    </mc:Choice>
  </mc:AlternateContent>
  <bookViews>
    <workbookView xWindow="0" yWindow="0" windowWidth="24000" windowHeight="9135" tabRatio="844" firstSheet="2" activeTab="9"/>
  </bookViews>
  <sheets>
    <sheet name="Dados" sheetId="27" r:id="rId1"/>
    <sheet name="FE-Transferências" sheetId="10" r:id="rId2"/>
    <sheet name="FE-Maq Equip" sheetId="6" r:id="rId3"/>
    <sheet name="FE-Britagem e Peneiramento" sheetId="25" r:id="rId4"/>
    <sheet name="FE-Vias" sheetId="13" r:id="rId5"/>
    <sheet name="Emissão Maq e Equip" sheetId="5" r:id="rId6"/>
    <sheet name="Emissão Transferências" sheetId="8" r:id="rId7"/>
    <sheet name="Emissão Britagem e Peneiramento" sheetId="22" r:id="rId8"/>
    <sheet name="Emissão Vias " sheetId="9" r:id="rId9"/>
    <sheet name="Resumo" sheetId="26" r:id="rId10"/>
  </sheets>
  <externalReferences>
    <externalReference r:id="rId11"/>
  </externalReferences>
  <definedNames>
    <definedName name="FE_Equip">'FE-Maq Equip'!$B$3:$I$17</definedName>
    <definedName name="Pot_Equip">'FE-Maq Equip'!$B$3:$B$17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6" l="1"/>
  <c r="Y6" i="9" l="1"/>
  <c r="F5" i="9" l="1"/>
  <c r="F4" i="9"/>
  <c r="G4" i="9" s="1"/>
  <c r="D7" i="26" l="1"/>
  <c r="C7" i="26"/>
  <c r="C8" i="26" s="1"/>
  <c r="B7" i="26"/>
  <c r="N5" i="9" l="1"/>
  <c r="N4" i="9"/>
  <c r="M5" i="9"/>
  <c r="M4" i="9"/>
  <c r="L5" i="9"/>
  <c r="L4" i="9"/>
  <c r="G16" i="13" l="1"/>
  <c r="J14" i="13"/>
  <c r="J13" i="13"/>
  <c r="J12" i="13"/>
  <c r="J11" i="13"/>
  <c r="J10" i="13"/>
  <c r="J9" i="13"/>
  <c r="J8" i="13"/>
  <c r="J7" i="13"/>
  <c r="J6" i="13"/>
  <c r="J5" i="13"/>
  <c r="J4" i="13"/>
  <c r="J3" i="13"/>
  <c r="B5" i="27" l="1"/>
  <c r="D6" i="8" l="1"/>
  <c r="D5" i="8"/>
  <c r="D3" i="22" s="1"/>
  <c r="D9" i="8"/>
  <c r="D7" i="8"/>
  <c r="D8" i="8"/>
  <c r="F3" i="22" l="1"/>
  <c r="I3" i="22" s="1"/>
  <c r="I4" i="22" s="1"/>
  <c r="E3" i="22"/>
  <c r="H3" i="22" s="1"/>
  <c r="F6" i="8"/>
  <c r="F9" i="8"/>
  <c r="G9" i="8"/>
  <c r="H9" i="8"/>
  <c r="I5" i="5" l="1"/>
  <c r="I6" i="5"/>
  <c r="I4" i="5"/>
  <c r="H5" i="5"/>
  <c r="H6" i="5"/>
  <c r="H4" i="5"/>
  <c r="I9" i="8" l="1"/>
  <c r="D8" i="22"/>
  <c r="J4" i="5"/>
  <c r="N5" i="5"/>
  <c r="J9" i="8"/>
  <c r="P6" i="5"/>
  <c r="O6" i="5"/>
  <c r="N6" i="5"/>
  <c r="J6" i="5"/>
  <c r="L6" i="5" s="1"/>
  <c r="P5" i="5"/>
  <c r="M6" i="5"/>
  <c r="O5" i="5"/>
  <c r="M5" i="5"/>
  <c r="J5" i="5"/>
  <c r="K5" i="5" s="1"/>
  <c r="K9" i="8" l="1"/>
  <c r="G5" i="9"/>
  <c r="K6" i="5"/>
  <c r="J7" i="5"/>
  <c r="L5" i="5"/>
  <c r="B4" i="5"/>
  <c r="C4" i="5"/>
  <c r="B5" i="5"/>
  <c r="C5" i="5"/>
  <c r="B6" i="5"/>
  <c r="C6" i="5"/>
  <c r="A5" i="5"/>
  <c r="A6" i="5"/>
  <c r="A4" i="5"/>
  <c r="T5" i="9" l="1"/>
  <c r="AA5" i="9" s="1"/>
  <c r="T4" i="9"/>
  <c r="AA4" i="9" s="1"/>
  <c r="S5" i="9"/>
  <c r="Z5" i="9" s="1"/>
  <c r="S4" i="9"/>
  <c r="Z4" i="9" s="1"/>
  <c r="Z6" i="9" s="1"/>
  <c r="G8" i="22" l="1"/>
  <c r="G3" i="22"/>
  <c r="J3" i="22" s="1"/>
  <c r="O5" i="9" l="1"/>
  <c r="P5" i="9"/>
  <c r="Q5" i="9"/>
  <c r="R5" i="9"/>
  <c r="Y5" i="9" s="1"/>
  <c r="U5" i="9"/>
  <c r="AB5" i="9" s="1"/>
  <c r="W5" i="9"/>
  <c r="X5" i="9" l="1"/>
  <c r="V5" i="9"/>
  <c r="F8" i="8"/>
  <c r="F7" i="8"/>
  <c r="G8" i="8" l="1"/>
  <c r="H8" i="8"/>
  <c r="G7" i="8"/>
  <c r="H7" i="8"/>
  <c r="H6" i="8"/>
  <c r="G6" i="8"/>
  <c r="F8" i="22"/>
  <c r="E8" i="22"/>
  <c r="I6" i="8" l="1"/>
  <c r="K6" i="8"/>
  <c r="J8" i="22"/>
  <c r="H8" i="22"/>
  <c r="H9" i="22" s="1"/>
  <c r="I8" i="22"/>
  <c r="I7" i="8"/>
  <c r="J7" i="8"/>
  <c r="K7" i="8"/>
  <c r="I8" i="8"/>
  <c r="J8" i="8"/>
  <c r="K8" i="8"/>
  <c r="P4" i="9"/>
  <c r="W4" i="9" s="1"/>
  <c r="Q4" i="9"/>
  <c r="X4" i="9" s="1"/>
  <c r="R4" i="9"/>
  <c r="Y4" i="9" s="1"/>
  <c r="U4" i="9"/>
  <c r="AB4" i="9" s="1"/>
  <c r="O4" i="9"/>
  <c r="V4" i="9" s="1"/>
  <c r="J6" i="8" l="1"/>
  <c r="J9" i="22"/>
  <c r="I9" i="22"/>
  <c r="H4" i="22"/>
  <c r="J4" i="22"/>
  <c r="D5" i="26" l="1"/>
  <c r="C5" i="26"/>
  <c r="AB6" i="9" l="1"/>
  <c r="H5" i="8"/>
  <c r="G5" i="8"/>
  <c r="F5" i="8"/>
  <c r="AA6" i="9" l="1"/>
  <c r="G6" i="26" s="1"/>
  <c r="W6" i="9"/>
  <c r="C6" i="26" s="1"/>
  <c r="X6" i="9"/>
  <c r="D6" i="26" s="1"/>
  <c r="F6" i="26"/>
  <c r="E6" i="26"/>
  <c r="V6" i="9"/>
  <c r="B6" i="26" s="1"/>
  <c r="H6" i="26"/>
  <c r="I5" i="8"/>
  <c r="J5" i="8"/>
  <c r="J10" i="8" s="1"/>
  <c r="K5" i="8"/>
  <c r="K10" i="8" l="1"/>
  <c r="D3" i="26" s="1"/>
  <c r="I10" i="8"/>
  <c r="B3" i="26" s="1"/>
  <c r="B8" i="26" s="1"/>
  <c r="C3" i="26"/>
  <c r="B4" i="26"/>
  <c r="M4" i="5" l="1"/>
  <c r="M7" i="5" s="1"/>
  <c r="E4" i="26" s="1"/>
  <c r="E8" i="26" s="1"/>
  <c r="P4" i="5"/>
  <c r="P7" i="5" s="1"/>
  <c r="H4" i="26" s="1"/>
  <c r="H8" i="26" s="1"/>
  <c r="K4" i="5"/>
  <c r="O4" i="5"/>
  <c r="O7" i="5" s="1"/>
  <c r="G4" i="26" s="1"/>
  <c r="G8" i="26" s="1"/>
  <c r="N4" i="5"/>
  <c r="N7" i="5" s="1"/>
  <c r="F4" i="26" s="1"/>
  <c r="F8" i="26" s="1"/>
  <c r="K7" i="5" l="1"/>
  <c r="C4" i="26" s="1"/>
  <c r="L4" i="5"/>
  <c r="L7" i="5" l="1"/>
  <c r="D4" i="26" s="1"/>
  <c r="D8" i="26" l="1"/>
</calcChain>
</file>

<file path=xl/comments1.xml><?xml version="1.0" encoding="utf-8"?>
<comments xmlns="http://schemas.openxmlformats.org/spreadsheetml/2006/main">
  <authors>
    <author>Alinie Rossi dos Santos</author>
  </authors>
  <commentList>
    <comment ref="A10" authorId="0" shapeId="0">
      <text>
        <r>
          <rPr>
            <sz val="9"/>
            <color indexed="81"/>
            <rFont val="Segoe UI"/>
            <family val="2"/>
          </rPr>
          <t>Considerando os produtos finais informados pelo empreendimento</t>
        </r>
      </text>
    </comment>
    <comment ref="B10" authorId="0" shapeId="0">
      <text>
        <r>
          <rPr>
            <sz val="9"/>
            <color indexed="81"/>
            <rFont val="Segoe UI"/>
            <family val="2"/>
          </rPr>
          <t>Fonte: MENOSSI, 2004
https://repositorio.unesp.br/bitstream/handle/11449/90740/menossi_rt_me_ilha.pdf?sequence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2013, conforme informado pelo empreendimento.
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 No data available, but emission factors for PM-10 for tertiary crushers can be used as an upper limit for
primary or secondary crushing 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3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3" authorId="1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3" authorId="1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3" authorId="1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  <author>Alinie Rossi dos Santos</author>
    <author>Gabriel Aarão Gonçalves</author>
  </authors>
  <commentList>
    <comment ref="K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L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N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P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D4" authorId="1" shapeId="0">
      <text>
        <r>
          <rPr>
            <sz val="9"/>
            <color indexed="81"/>
            <rFont val="Segoe UI"/>
            <family val="2"/>
          </rPr>
          <t xml:space="preserve">Potência não informada pelo empreendimento. Valor obtido com base no modelo informado.
</t>
        </r>
      </text>
    </comment>
    <comment ref="D5" authorId="2" shapeId="0">
      <text>
        <r>
          <rPr>
            <sz val="9"/>
            <color indexed="81"/>
            <rFont val="Segoe UI"/>
            <family val="2"/>
          </rPr>
          <t xml:space="preserve">Obtido pelo catálogo disponível online.
Fonte: https://www.casece.com/latam/pt-br/produtos/pas-carregadeiras/pas-carregadeiras/modelos/821e
</t>
        </r>
      </text>
    </comment>
    <comment ref="D6" authorId="2" shapeId="0">
      <text>
        <r>
          <rPr>
            <sz val="9"/>
            <color indexed="81"/>
            <rFont val="Segoe UI"/>
            <family val="2"/>
          </rPr>
          <t xml:space="preserve">Obtido pelo catálogo disponível online.
Fonte: https://www.casece.com/latam/en-la/products/wheel-loaders/wheel-loaders/models/w20e
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D3" authorId="0" shapeId="0">
      <text>
        <r>
          <rPr>
            <sz val="9"/>
            <color indexed="81"/>
            <rFont val="Segoe UI"/>
            <family val="2"/>
          </rPr>
          <t>Considerada a movimentação de material beneficiado.</t>
        </r>
      </text>
    </comment>
    <comment ref="E3" authorId="0" shapeId="0">
      <text>
        <r>
          <rPr>
            <sz val="9"/>
            <color indexed="81"/>
            <rFont val="Segoe UI"/>
            <family val="2"/>
          </rPr>
          <t>Considerada a mesma umidade referente aos materiais movimentados em atividades similares.
USEPA (2003) Background Information for Revised AP-42 Section 11.19.2, Crushed Stone Processing
and Pulverized Mineral Processing:
The targeted moisture contents of the raw material (granite) during the uncontrolled  runs were &lt;1.5 percent. Assim, foi considerado o teor de umidade de 1%, visto que o produto final refere-se a brita e pó de pedra.</t>
        </r>
      </text>
    </comment>
    <comment ref="A12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7.xml><?xml version="1.0" encoding="utf-8"?>
<comments xmlns="http://schemas.openxmlformats.org/spreadsheetml/2006/main">
  <authors>
    <author>Alinie Rossi dos Santos</author>
  </authors>
  <commentList>
    <comment ref="E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 xml:space="preserve"> Fonte: USEPA, (2004). Section 11.19.2 . Table 11.19.2-1 = No data available, but emission factors for PM-10 for tertiary crushers can be used as an upper limit for
primary or secondary crushing.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G8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  <author>Vanessa Brusco Filete</author>
  </authors>
  <commentList>
    <comment ref="H2" authorId="0" shapeId="0">
      <text>
        <r>
          <rPr>
            <sz val="9"/>
            <color indexed="81"/>
            <rFont val="Segoe UI"/>
            <family val="2"/>
          </rPr>
          <t>USEPA (2006) - Unpaved Roads. Table 13.2.2-1 - Construction sites</t>
        </r>
      </text>
    </comment>
    <comment ref="I2" authorId="0" shapeId="0">
      <text>
        <r>
          <rPr>
            <sz val="9"/>
            <color indexed="81"/>
            <rFont val="Segoe UI"/>
            <family val="2"/>
          </rPr>
          <t>Considerado valor médio de um caminhão de dois eixos, conforme visto em informações enviadas pelo empreendimento.
http://www1.dnit.gov.br/Pesagem/sis_sgpv/QFV/QFV%202008%20Divulga%C3%A7%C3%A3o.pdf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>Informado pela empresa que ocorre umectação 1 vez ao dia</t>
        </r>
      </text>
    </comment>
    <comment ref="K2" authorId="0" shapeId="0">
      <text>
        <r>
          <rPr>
            <sz val="9"/>
            <color indexed="81"/>
            <rFont val="Segoe UI"/>
            <family val="2"/>
          </rPr>
          <t xml:space="preserve">WRAP (2006) </t>
        </r>
      </text>
    </comment>
    <comment ref="U3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>Informado que a empresa recebe uma média de 30 caminhões por dia.</t>
        </r>
      </text>
    </comment>
    <comment ref="F5" authorId="0" shapeId="0">
      <text>
        <r>
          <rPr>
            <sz val="9"/>
            <color indexed="81"/>
            <rFont val="Segoe UI"/>
            <family val="2"/>
          </rPr>
          <t>Como não foi informada a quantidade de caminhões que saem da empresa com material beneficiado, foi considerada a mesma quantidade de entrada.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</authors>
  <commentList>
    <comment ref="A7" authorId="0" shapeId="0">
      <text>
        <r>
          <rPr>
            <sz val="9"/>
            <color indexed="81"/>
            <rFont val="Segoe UI"/>
            <family val="2"/>
          </rPr>
          <t>Memorial de Cálculo na Planilha: Erosão Eólica_Natureza Viva.xlsx</t>
        </r>
      </text>
    </comment>
  </commentList>
</comments>
</file>

<file path=xl/sharedStrings.xml><?xml version="1.0" encoding="utf-8"?>
<sst xmlns="http://schemas.openxmlformats.org/spreadsheetml/2006/main" count="272" uniqueCount="167">
  <si>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</si>
  <si>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</si>
  <si>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</si>
  <si>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</si>
  <si>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</si>
  <si>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</si>
  <si>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</si>
  <si>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</si>
  <si>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</si>
  <si>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</si>
  <si>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</si>
  <si>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</si>
  <si>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</si>
  <si>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</si>
  <si>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</si>
  <si>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</si>
  <si>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</si>
  <si>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</si>
  <si>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</si>
  <si>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</si>
  <si>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</si>
  <si>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</si>
  <si>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</si>
  <si>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</si>
  <si>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Tipo</t>
  </si>
  <si>
    <t>Pá Carregadeira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</si>
  <si>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</si>
  <si>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</si>
  <si>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</si>
  <si>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</si>
  <si>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</si>
  <si>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</si>
  <si>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</si>
  <si>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</si>
  <si>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</si>
  <si>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</si>
  <si>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</si>
  <si>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</si>
  <si>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</si>
  <si>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</si>
  <si>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</si>
  <si>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</si>
  <si>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>Escavadeira</t>
  </si>
  <si>
    <t xml:space="preserve">Fonte Emissora </t>
  </si>
  <si>
    <t>Não Pavimentada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</si>
  <si>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</si>
  <si>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</si>
  <si>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</si>
  <si>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</si>
  <si>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</si>
  <si>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</si>
  <si>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</si>
  <si>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</si>
  <si>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</si>
  <si>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</si>
  <si>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</si>
  <si>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</si>
  <si>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</si>
  <si>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</si>
  <si>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</si>
  <si>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</si>
  <si>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</si>
  <si>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</si>
  <si>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</si>
  <si>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</si>
  <si>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</si>
  <si>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</si>
  <si>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</si>
  <si>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</si>
  <si>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</si>
  <si>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</si>
  <si>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</si>
  <si>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</si>
  <si>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</si>
  <si>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</si>
  <si>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</si>
  <si>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</si>
  <si>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</si>
  <si>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</si>
  <si>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</si>
  <si>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</si>
  <si>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</si>
  <si>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</si>
  <si>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</si>
  <si>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</si>
  <si>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</si>
  <si>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</si>
  <si>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</si>
  <si>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</si>
  <si>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</si>
  <si>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</si>
  <si>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</si>
  <si>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</si>
  <si>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</si>
  <si>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</si>
  <si>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Eficiência de Controle (%)</t>
  </si>
  <si>
    <t>Source</t>
  </si>
  <si>
    <t>Screening</t>
  </si>
  <si>
    <t>ND</t>
  </si>
  <si>
    <t>Controle</t>
  </si>
  <si>
    <r>
      <t>PM</t>
    </r>
    <r>
      <rPr>
        <vertAlign val="subscript"/>
        <sz val="8"/>
        <color theme="1"/>
        <rFont val="Arial"/>
        <family val="2"/>
      </rPr>
      <t>2.5</t>
    </r>
  </si>
  <si>
    <t>Transferências</t>
  </si>
  <si>
    <t xml:space="preserve">BRT - Britador Primário </t>
  </si>
  <si>
    <t>Fonte: USEPA (2004) https://www3.epa.gov/ttn/chief/ap42/ch11/final/c11s1902.pdf</t>
  </si>
  <si>
    <t>AP42 - 11.19.2  Crushed Stone Processing and Pulverized Mineral Processing</t>
  </si>
  <si>
    <t xml:space="preserve"> Table 11.19.2-1 Emission Factors for Crushed Stone Processing Operations (kg/Mg)</t>
  </si>
  <si>
    <t xml:space="preserve">Tertiary Crushing </t>
  </si>
  <si>
    <t>Tertiary Crushing (Controlled)</t>
  </si>
  <si>
    <t>Screnning (Controlled)</t>
  </si>
  <si>
    <r>
      <t>PM</t>
    </r>
    <r>
      <rPr>
        <b/>
        <vertAlign val="subscript"/>
        <sz val="8"/>
        <color theme="0"/>
        <rFont val="Arial"/>
        <family val="2"/>
      </rPr>
      <t xml:space="preserve">2,5 </t>
    </r>
  </si>
  <si>
    <t>Emission Factor Rating</t>
  </si>
  <si>
    <t>E</t>
  </si>
  <si>
    <t>C</t>
  </si>
  <si>
    <t xml:space="preserve">PEN - Peneiramento </t>
  </si>
  <si>
    <t>Umectação</t>
  </si>
  <si>
    <t>Via Trecho 1</t>
  </si>
  <si>
    <t>Via Trecho 2</t>
  </si>
  <si>
    <t>Máquinas e Equipamentos</t>
  </si>
  <si>
    <t>Britagem e Peneiramento</t>
  </si>
  <si>
    <t>Vias de Tráfego</t>
  </si>
  <si>
    <t>Erosão Eólica</t>
  </si>
  <si>
    <t>Fontes Emissoras</t>
  </si>
  <si>
    <t>-</t>
  </si>
  <si>
    <t>Produção</t>
  </si>
  <si>
    <t>Produtos finais</t>
  </si>
  <si>
    <t>Brita 1 e 2</t>
  </si>
  <si>
    <t>Solo Brita</t>
  </si>
  <si>
    <t>Pó de Pedra</t>
  </si>
  <si>
    <t>Pó de Aterro</t>
  </si>
  <si>
    <t>Equipamento</t>
  </si>
  <si>
    <t>Marca</t>
  </si>
  <si>
    <t>Modelo</t>
  </si>
  <si>
    <t>Ano</t>
  </si>
  <si>
    <t>Horas trabalhadas/dia</t>
  </si>
  <si>
    <t>CASE</t>
  </si>
  <si>
    <t>CX 220</t>
  </si>
  <si>
    <t>821 E</t>
  </si>
  <si>
    <t>W20 E</t>
  </si>
  <si>
    <t>Fonte: Informações fornecidos pelo empreendimento à solicitação através dos Ofícios N° 568/2016</t>
  </si>
  <si>
    <t>TR - Caminhão / Célula de Triagem</t>
  </si>
  <si>
    <t>TR - Desc. Britador</t>
  </si>
  <si>
    <t>TR - Peneiramento</t>
  </si>
  <si>
    <t>TR - Depósito (material beneficiado)</t>
  </si>
  <si>
    <t>TR - Carregamento Caminhão</t>
  </si>
  <si>
    <t>Produção mensal de material beneficiado em 2015 (m³)</t>
  </si>
  <si>
    <t>Produção anual de material beneficiado em 2015 (m³)</t>
  </si>
  <si>
    <t>Massa específica média dos materiais (t/m³)</t>
  </si>
  <si>
    <t>Onde:
FE - fator de emissão de material particulado (lb/VMT)
k - constante de tamanho da partícula (g/VKT)
sL - teor de silt na superfície de rodagem (%)
W - peso médio dos veículos que trafegam na via (t)
P - número de dias onde a precipitação durante o período observado foi no mínimo 0,254 mm</t>
  </si>
  <si>
    <t>Movimentação material [t/h]</t>
  </si>
  <si>
    <t>Umidade do Material [%]</t>
  </si>
  <si>
    <t>Fator de Emissão [kg/t]</t>
  </si>
  <si>
    <t>Quantidade Movimentada [t/h]</t>
  </si>
  <si>
    <t>Comprimento [m]</t>
  </si>
  <si>
    <t>Nº de Caminhões por Hora [h-1]</t>
  </si>
  <si>
    <t>DMT  [km/h]</t>
  </si>
  <si>
    <t>Teor de Silte [%]</t>
  </si>
  <si>
    <t>Peso Médio dos Caminhões [t]</t>
  </si>
  <si>
    <t>Fator de Emissão - Ressuspensão [kg/VKT]</t>
  </si>
  <si>
    <t>Fator de Emissão - Gases Escapamento [kg/km]</t>
  </si>
  <si>
    <t>TOTAL</t>
  </si>
  <si>
    <t>TOTAL (BRITAGEM)</t>
  </si>
  <si>
    <t>TOTAL (PENEIRAMENTO)</t>
  </si>
  <si>
    <t>VOC</t>
  </si>
  <si>
    <t>Latitude [º]</t>
  </si>
  <si>
    <t>Longitude [º]</t>
  </si>
  <si>
    <t>Consideração:</t>
  </si>
  <si>
    <t>Os fatores de emissão referem-se ao ano de 2013, conforme o ano de fabricação dos equipamentos informado pelo empreendimento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</si>
</sst>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#,##0.00000"/>
    <numFmt numFmtId="170" formatCode="0.0000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2" fontId="1" fillId="3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67" fontId="0" fillId="0" borderId="0" xfId="0" applyNumberFormat="1"/>
    <xf numFmtId="2" fontId="0" fillId="0" borderId="0" xfId="0" applyNumberFormat="1"/>
    <xf numFmtId="0" fontId="1" fillId="0" borderId="11" xfId="0" applyFont="1" applyFill="1" applyBorder="1" applyAlignment="1">
      <alignment horizontal="left" vertical="center"/>
    </xf>
    <xf numFmtId="0" fontId="0" fillId="0" borderId="1" xfId="0" applyBorder="1"/>
    <xf numFmtId="170" fontId="0" fillId="0" borderId="0" xfId="0" applyNumberFormat="1"/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9" fontId="1" fillId="0" borderId="1" xfId="0" applyNumberFormat="1" applyFont="1" applyFill="1" applyBorder="1" applyAlignment="1">
      <alignment horizontal="center" vertical="center"/>
    </xf>
    <xf numFmtId="169" fontId="1" fillId="0" borderId="20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/>
    <xf numFmtId="0" fontId="8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NumberFormat="1" applyFont="1" applyFill="1" applyBorder="1" applyAlignment="1" applyProtection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9</xdr:row>
      <xdr:rowOff>138113</xdr:rowOff>
    </xdr:from>
    <xdr:ext cx="3381375" cy="397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990600" y="3614738"/>
              <a:ext cx="3381375" cy="397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990600" y="3614738"/>
              <a:ext cx="3381375" cy="397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𝐹𝐸=[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714377</xdr:colOff>
      <xdr:row>9</xdr:row>
      <xdr:rowOff>161926</xdr:rowOff>
    </xdr:from>
    <xdr:to>
      <xdr:col>3</xdr:col>
      <xdr:colOff>685801</xdr:colOff>
      <xdr:row>11</xdr:row>
      <xdr:rowOff>161926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3114677" y="2400301"/>
          <a:ext cx="1171574" cy="3810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PRJ1301096-Estudo%20QAr%20RGV/02-Invent&#225;rio/Memorial%20de%20C&#225;lculo/Natureza_Viva_OK/Memorial_Natureza_Viva_Erosao_Eol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terial"/>
      <sheetName val="Série Vento-Bruta"/>
      <sheetName val="Serie Vento - 7 dias "/>
      <sheetName val="FE-Área Exposta"/>
      <sheetName val="TE - Total"/>
    </sheetNames>
    <sheetDataSet>
      <sheetData sheetId="0"/>
      <sheetData sheetId="1"/>
      <sheetData sheetId="2"/>
      <sheetData sheetId="3"/>
      <sheetData sheetId="4"/>
      <sheetData sheetId="5">
        <row r="5">
          <cell r="L5">
            <v>0.18616506397007318</v>
          </cell>
          <cell r="O5">
            <v>9.308253198503659E-2</v>
          </cell>
          <cell r="R5">
            <v>1.3962379797755489E-2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E11" sqref="E11"/>
    </sheetView>
  </sheetViews>
  <sheetFormatPr defaultRowHeight="15" x14ac:dyDescent="0.25"/>
  <cols>
    <col min="1" max="1" width="41.28515625" customWidth="1"/>
    <col min="2" max="2" width="29.42578125" customWidth="1"/>
    <col min="3" max="3" width="11.5703125" bestFit="1" customWidth="1"/>
    <col min="5" max="5" width="12.5703125" bestFit="1" customWidth="1"/>
    <col min="6" max="6" width="22.42578125" bestFit="1" customWidth="1"/>
    <col min="7" max="7" width="33.42578125" bestFit="1" customWidth="1"/>
  </cols>
  <sheetData>
    <row r="1" spans="1:7" x14ac:dyDescent="0.25">
      <c r="A1" s="3" t="s">
        <v>138</v>
      </c>
      <c r="B1" s="1"/>
      <c r="C1" s="1"/>
      <c r="D1" s="1"/>
      <c r="E1" s="1"/>
      <c r="F1" s="1"/>
      <c r="G1" s="1"/>
    </row>
    <row r="2" spans="1:7" x14ac:dyDescent="0.25">
      <c r="A2" s="46"/>
      <c r="B2" s="1"/>
      <c r="C2" s="1"/>
      <c r="D2" s="1"/>
      <c r="E2" s="1"/>
      <c r="F2" s="1"/>
      <c r="G2" s="1"/>
    </row>
    <row r="3" spans="1:7" x14ac:dyDescent="0.25">
      <c r="A3" s="106" t="s">
        <v>123</v>
      </c>
      <c r="B3" s="107"/>
      <c r="C3" s="6"/>
      <c r="D3" s="47"/>
      <c r="E3" s="94"/>
      <c r="F3" s="94"/>
      <c r="G3" s="94"/>
    </row>
    <row r="4" spans="1:7" x14ac:dyDescent="0.25">
      <c r="A4" s="1" t="s">
        <v>144</v>
      </c>
      <c r="B4" s="103">
        <v>28000</v>
      </c>
      <c r="C4" s="47"/>
      <c r="D4" s="95"/>
      <c r="E4" s="47"/>
      <c r="F4" s="94"/>
      <c r="G4" s="94"/>
    </row>
    <row r="5" spans="1:7" x14ac:dyDescent="0.25">
      <c r="A5" s="1" t="s">
        <v>145</v>
      </c>
      <c r="B5" s="103">
        <f>B4*12</f>
        <v>336000</v>
      </c>
      <c r="C5" s="94"/>
      <c r="D5" s="95"/>
      <c r="E5" s="47"/>
      <c r="F5" s="94"/>
      <c r="G5" s="94"/>
    </row>
    <row r="6" spans="1:7" x14ac:dyDescent="0.25">
      <c r="A6" s="108" t="s">
        <v>124</v>
      </c>
      <c r="B6" s="104" t="s">
        <v>125</v>
      </c>
      <c r="C6" s="1"/>
      <c r="D6" s="1"/>
      <c r="E6" s="1"/>
      <c r="F6" s="1"/>
      <c r="G6" s="1"/>
    </row>
    <row r="7" spans="1:7" x14ac:dyDescent="0.25">
      <c r="A7" s="108"/>
      <c r="B7" s="105" t="s">
        <v>126</v>
      </c>
      <c r="C7" s="1"/>
      <c r="D7" s="1"/>
      <c r="E7" s="1"/>
      <c r="F7" s="1"/>
      <c r="G7" s="1"/>
    </row>
    <row r="8" spans="1:7" x14ac:dyDescent="0.25">
      <c r="A8" s="108"/>
      <c r="B8" s="105" t="s">
        <v>127</v>
      </c>
      <c r="C8" s="1"/>
      <c r="D8" s="1"/>
      <c r="E8" s="1"/>
      <c r="F8" s="1"/>
      <c r="G8" s="1"/>
    </row>
    <row r="9" spans="1:7" x14ac:dyDescent="0.25">
      <c r="A9" s="108"/>
      <c r="B9" s="105" t="s">
        <v>128</v>
      </c>
      <c r="C9" s="1"/>
      <c r="D9" s="1"/>
      <c r="E9" s="1"/>
      <c r="F9" s="1"/>
      <c r="G9" s="1"/>
    </row>
    <row r="10" spans="1:7" x14ac:dyDescent="0.25">
      <c r="A10" s="1" t="s">
        <v>146</v>
      </c>
      <c r="B10" s="77">
        <v>1.53</v>
      </c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06" t="s">
        <v>117</v>
      </c>
      <c r="B12" s="109"/>
      <c r="C12" s="109"/>
      <c r="D12" s="109"/>
      <c r="E12" s="109"/>
      <c r="F12" s="107"/>
      <c r="G12" s="93"/>
    </row>
    <row r="13" spans="1:7" x14ac:dyDescent="0.25">
      <c r="A13" s="77" t="s">
        <v>129</v>
      </c>
      <c r="B13" s="77" t="s">
        <v>130</v>
      </c>
      <c r="C13" s="77" t="s">
        <v>131</v>
      </c>
      <c r="D13" s="77" t="s">
        <v>132</v>
      </c>
      <c r="E13" s="77" t="s">
        <v>18</v>
      </c>
      <c r="F13" s="77" t="s">
        <v>133</v>
      </c>
      <c r="G13" s="77"/>
    </row>
    <row r="14" spans="1:7" x14ac:dyDescent="0.25">
      <c r="A14" s="77" t="s">
        <v>42</v>
      </c>
      <c r="B14" s="77" t="s">
        <v>134</v>
      </c>
      <c r="C14" s="77" t="s">
        <v>135</v>
      </c>
      <c r="D14" s="77">
        <v>2013</v>
      </c>
      <c r="E14" s="77">
        <v>1</v>
      </c>
      <c r="F14" s="77">
        <v>4</v>
      </c>
      <c r="G14" s="77"/>
    </row>
    <row r="15" spans="1:7" x14ac:dyDescent="0.25">
      <c r="A15" s="77" t="s">
        <v>25</v>
      </c>
      <c r="B15" s="77" t="s">
        <v>134</v>
      </c>
      <c r="C15" s="77" t="s">
        <v>136</v>
      </c>
      <c r="D15" s="77">
        <v>2013</v>
      </c>
      <c r="E15" s="77">
        <v>1</v>
      </c>
      <c r="F15" s="77">
        <v>4</v>
      </c>
      <c r="G15" s="77"/>
    </row>
    <row r="16" spans="1:7" x14ac:dyDescent="0.25">
      <c r="A16" s="77" t="s">
        <v>25</v>
      </c>
      <c r="B16" s="77" t="s">
        <v>134</v>
      </c>
      <c r="C16" s="77" t="s">
        <v>137</v>
      </c>
      <c r="D16" s="77">
        <v>2013</v>
      </c>
      <c r="E16" s="77">
        <v>1</v>
      </c>
      <c r="F16" s="77">
        <v>4</v>
      </c>
      <c r="G16" s="77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</sheetData>
  <sheetProtection password="B056" sheet="1" objects="1" scenarios="1"/>
  <mergeCells count="3">
    <mergeCell ref="A3:B3"/>
    <mergeCell ref="A6:A9"/>
    <mergeCell ref="A12:F12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J16" sqref="J16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165" t="s">
        <v>121</v>
      </c>
      <c r="B1" s="148" t="s">
        <v>1</v>
      </c>
      <c r="C1" s="149"/>
      <c r="D1" s="149"/>
      <c r="E1" s="149"/>
      <c r="F1" s="149"/>
      <c r="G1" s="149"/>
      <c r="H1" s="149"/>
    </row>
    <row r="2" spans="1:9" ht="15" customHeight="1" x14ac:dyDescent="0.25">
      <c r="A2" s="165"/>
      <c r="B2" s="5" t="s">
        <v>2</v>
      </c>
      <c r="C2" s="5" t="s">
        <v>3</v>
      </c>
      <c r="D2" s="5" t="s">
        <v>20</v>
      </c>
      <c r="E2" s="5" t="s">
        <v>5</v>
      </c>
      <c r="F2" s="5" t="s">
        <v>6</v>
      </c>
      <c r="G2" s="5" t="s">
        <v>4</v>
      </c>
      <c r="H2" s="5" t="s">
        <v>162</v>
      </c>
    </row>
    <row r="3" spans="1:9" ht="15" customHeight="1" x14ac:dyDescent="0.25">
      <c r="A3" s="2" t="s">
        <v>101</v>
      </c>
      <c r="B3" s="8">
        <f>'Emissão Transferências'!I10</f>
        <v>2.1209431721547967</v>
      </c>
      <c r="C3" s="8">
        <f>'Emissão Transferências'!J10</f>
        <v>1.003148797640782</v>
      </c>
      <c r="D3" s="8">
        <f>'Emissão Transferências'!K10</f>
        <v>0.15190538935703274</v>
      </c>
      <c r="E3" s="96" t="s">
        <v>122</v>
      </c>
      <c r="F3" s="96" t="s">
        <v>122</v>
      </c>
      <c r="G3" s="96" t="s">
        <v>122</v>
      </c>
      <c r="H3" s="96" t="s">
        <v>122</v>
      </c>
    </row>
    <row r="4" spans="1:9" ht="15" customHeight="1" x14ac:dyDescent="0.25">
      <c r="A4" s="2" t="s">
        <v>117</v>
      </c>
      <c r="B4" s="8">
        <f>'Emissão Maq e Equip'!J7</f>
        <v>1.1069900275078117E-2</v>
      </c>
      <c r="C4" s="8">
        <f>'Emissão Maq e Equip'!K7</f>
        <v>1.1069900275078117E-2</v>
      </c>
      <c r="D4" s="8">
        <f>'Emissão Maq e Equip'!L7</f>
        <v>1.1069900275078117E-2</v>
      </c>
      <c r="E4" s="8">
        <f>'Emissão Maq e Equip'!M7</f>
        <v>0.23101237402044117</v>
      </c>
      <c r="F4" s="18">
        <f>'Emissão Maq e Equip'!N7</f>
        <v>3.1261237654757148E-4</v>
      </c>
      <c r="G4" s="8">
        <f>'Emissão Maq e Equip'!O7</f>
        <v>0.12569376584959863</v>
      </c>
      <c r="H4" s="8">
        <f>'Emissão Maq e Equip'!P7</f>
        <v>2.8004229673093878E-2</v>
      </c>
    </row>
    <row r="5" spans="1:9" ht="15" customHeight="1" x14ac:dyDescent="0.25">
      <c r="A5" s="2" t="s">
        <v>118</v>
      </c>
      <c r="B5" s="8">
        <f>'Emissão Britagem e Peneiramento'!H4+'Emissão Britagem e Peneiramento'!H9</f>
        <v>0.89201095890410964</v>
      </c>
      <c r="C5" s="8">
        <f>'Emissão Britagem e Peneiramento'!I4+'Emissão Britagem e Peneiramento'!I9</f>
        <v>0.32276712328767121</v>
      </c>
      <c r="D5" s="8">
        <f>'Emissão Britagem e Peneiramento'!J4+'Emissão Britagem e Peneiramento'!J9</f>
        <v>3.0091447611995559E-2</v>
      </c>
      <c r="E5" s="96" t="s">
        <v>122</v>
      </c>
      <c r="F5" s="96" t="s">
        <v>122</v>
      </c>
      <c r="G5" s="96" t="s">
        <v>122</v>
      </c>
      <c r="H5" s="96" t="s">
        <v>122</v>
      </c>
    </row>
    <row r="6" spans="1:9" ht="15" customHeight="1" x14ac:dyDescent="0.25">
      <c r="A6" s="2" t="s">
        <v>119</v>
      </c>
      <c r="B6" s="8">
        <f>'Emissão Vias '!V6</f>
        <v>1.3306618948069269</v>
      </c>
      <c r="C6" s="8">
        <f>'Emissão Vias '!W6</f>
        <v>0.38035531406869116</v>
      </c>
      <c r="D6" s="8">
        <f>'Emissão Vias '!X6</f>
        <v>3.8233079009664953E-2</v>
      </c>
      <c r="E6" s="8">
        <f>'Emissão Vias '!Y6</f>
        <v>6.8203151412070361E-3</v>
      </c>
      <c r="F6" s="18">
        <f>'Emissão Vias '!Z6</f>
        <v>2.639532975339398E-4</v>
      </c>
      <c r="G6" s="18">
        <f>'Emissão Vias '!AA6</f>
        <v>1.3031581244172807E-3</v>
      </c>
      <c r="H6" s="18">
        <f>'Emissão Vias '!AB6</f>
        <v>3.108175750796456E-4</v>
      </c>
    </row>
    <row r="7" spans="1:9" ht="15" customHeight="1" x14ac:dyDescent="0.25">
      <c r="A7" s="2" t="s">
        <v>120</v>
      </c>
      <c r="B7" s="99">
        <f>'[1]TE - Total'!$L$5</f>
        <v>0.18616506397007318</v>
      </c>
      <c r="C7" s="99">
        <f>'[1]TE - Total'!$O$5</f>
        <v>9.308253198503659E-2</v>
      </c>
      <c r="D7" s="99">
        <f>'[1]TE - Total'!$R$5</f>
        <v>1.3962379797755489E-2</v>
      </c>
      <c r="E7" s="6" t="s">
        <v>122</v>
      </c>
      <c r="F7" s="6" t="s">
        <v>122</v>
      </c>
      <c r="G7" s="18" t="s">
        <v>122</v>
      </c>
      <c r="H7" s="18" t="s">
        <v>122</v>
      </c>
    </row>
    <row r="8" spans="1:9" ht="15" customHeight="1" x14ac:dyDescent="0.25">
      <c r="A8" s="66" t="s">
        <v>159</v>
      </c>
      <c r="B8" s="15">
        <f>SUM(B3:B7)</f>
        <v>4.540850990110985</v>
      </c>
      <c r="C8" s="15">
        <f>SUM(C3:C7)</f>
        <v>1.8104236672572591</v>
      </c>
      <c r="D8" s="15">
        <f t="shared" ref="D8:H8" si="0">SUM(D3:D7)</f>
        <v>0.24526219605152688</v>
      </c>
      <c r="E8" s="15">
        <f t="shared" si="0"/>
        <v>0.23783268916164821</v>
      </c>
      <c r="F8" s="15">
        <f t="shared" si="0"/>
        <v>5.7656567408151133E-4</v>
      </c>
      <c r="G8" s="15">
        <f t="shared" si="0"/>
        <v>0.12699692397401591</v>
      </c>
      <c r="H8" s="15">
        <f t="shared" si="0"/>
        <v>2.8315047248173523E-2</v>
      </c>
      <c r="I8" s="50"/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9" sqref="D19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10" t="s">
        <v>40</v>
      </c>
      <c r="B1" s="111"/>
      <c r="C1" s="111"/>
      <c r="D1" s="111"/>
    </row>
    <row r="2" spans="1:5" x14ac:dyDescent="0.25">
      <c r="A2" s="13"/>
      <c r="B2" s="13" t="s">
        <v>2</v>
      </c>
      <c r="C2" s="13" t="s">
        <v>36</v>
      </c>
      <c r="D2" s="13" t="s">
        <v>37</v>
      </c>
    </row>
    <row r="3" spans="1:5" x14ac:dyDescent="0.25">
      <c r="A3" s="12" t="s">
        <v>38</v>
      </c>
      <c r="B3" s="60">
        <v>0.74</v>
      </c>
      <c r="C3" s="60">
        <v>0.35</v>
      </c>
      <c r="D3" s="60">
        <v>5.2999999999999999E-2</v>
      </c>
    </row>
    <row r="5" spans="1:5" x14ac:dyDescent="0.25">
      <c r="A5" s="112" t="s">
        <v>21</v>
      </c>
      <c r="B5" s="21"/>
      <c r="C5" s="22"/>
      <c r="D5" s="22"/>
      <c r="E5" s="27"/>
    </row>
    <row r="6" spans="1:5" x14ac:dyDescent="0.25">
      <c r="A6" s="113"/>
      <c r="B6" s="23"/>
      <c r="C6" s="24"/>
      <c r="D6" s="24"/>
      <c r="E6" s="27"/>
    </row>
    <row r="7" spans="1:5" x14ac:dyDescent="0.25">
      <c r="A7" s="113"/>
      <c r="B7" s="25"/>
      <c r="C7" s="26"/>
      <c r="D7" s="26"/>
      <c r="E7" s="27"/>
    </row>
    <row r="8" spans="1:5" ht="15" customHeight="1" x14ac:dyDescent="0.25">
      <c r="A8" s="113"/>
      <c r="B8" s="115" t="s">
        <v>39</v>
      </c>
      <c r="C8" s="116"/>
      <c r="D8" s="116"/>
      <c r="E8" s="28"/>
    </row>
    <row r="9" spans="1:5" x14ac:dyDescent="0.25">
      <c r="A9" s="113"/>
      <c r="B9" s="117"/>
      <c r="C9" s="118"/>
      <c r="D9" s="118"/>
      <c r="E9" s="28"/>
    </row>
    <row r="10" spans="1:5" ht="17.25" customHeight="1" x14ac:dyDescent="0.25">
      <c r="A10" s="113"/>
      <c r="B10" s="117"/>
      <c r="C10" s="118"/>
      <c r="D10" s="118"/>
      <c r="E10" s="28"/>
    </row>
    <row r="11" spans="1:5" ht="19.5" customHeight="1" x14ac:dyDescent="0.25">
      <c r="A11" s="114"/>
      <c r="B11" s="119"/>
      <c r="C11" s="120"/>
      <c r="D11" s="120"/>
      <c r="E11" s="28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>
      <selection activeCell="F26" sqref="F26"/>
    </sheetView>
  </sheetViews>
  <sheetFormatPr defaultRowHeight="15" x14ac:dyDescent="0.25"/>
  <cols>
    <col min="1" max="1" width="26.5703125" customWidth="1"/>
    <col min="2" max="2" width="24" customWidth="1"/>
    <col min="3" max="4" width="9.42578125" bestFit="1" customWidth="1"/>
    <col min="5" max="5" width="10.42578125" bestFit="1" customWidth="1"/>
    <col min="6" max="7" width="9.42578125" bestFit="1" customWidth="1"/>
    <col min="8" max="8" width="10.7109375" bestFit="1" customWidth="1"/>
    <col min="9" max="9" width="9.42578125" bestFit="1" customWidth="1"/>
    <col min="11" max="11" width="12.7109375" bestFit="1" customWidth="1"/>
  </cols>
  <sheetData>
    <row r="1" spans="1:19" x14ac:dyDescent="0.25">
      <c r="A1" s="2" t="s">
        <v>23</v>
      </c>
    </row>
    <row r="2" spans="1:19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L2" s="70"/>
      <c r="M2" s="67"/>
      <c r="N2" s="67"/>
      <c r="O2" s="67"/>
      <c r="P2" s="67"/>
      <c r="Q2" s="67"/>
      <c r="R2" s="67"/>
      <c r="S2" s="67"/>
    </row>
    <row r="3" spans="1:19" s="47" customFormat="1" x14ac:dyDescent="0.25">
      <c r="A3" s="121" t="s">
        <v>87</v>
      </c>
      <c r="B3" s="48" t="s">
        <v>88</v>
      </c>
      <c r="C3" s="68">
        <v>2.1293823778088454E-3</v>
      </c>
      <c r="D3" s="68">
        <v>5.6848200413980692E-2</v>
      </c>
      <c r="E3" s="68">
        <v>9.4616445367026465E-5</v>
      </c>
      <c r="F3" s="68">
        <v>3.0704925514864936E-2</v>
      </c>
      <c r="G3" s="68">
        <v>8.996109496753911E-3</v>
      </c>
      <c r="H3" s="68">
        <v>7.4570989131753027</v>
      </c>
      <c r="I3" s="68">
        <v>8.1170430635195846E-4</v>
      </c>
      <c r="L3" s="70"/>
      <c r="M3" s="17"/>
      <c r="N3" s="17"/>
      <c r="O3" s="17"/>
      <c r="P3" s="17"/>
      <c r="Q3" s="17"/>
      <c r="R3" s="17"/>
      <c r="S3" s="17"/>
    </row>
    <row r="4" spans="1:19" s="47" customFormat="1" x14ac:dyDescent="0.25">
      <c r="A4" s="122"/>
      <c r="B4" s="48" t="s">
        <v>89</v>
      </c>
      <c r="C4" s="68">
        <v>9.6315400034483363E-3</v>
      </c>
      <c r="D4" s="68">
        <v>0.11150996406380426</v>
      </c>
      <c r="E4" s="68">
        <v>1.4669823352103279E-4</v>
      </c>
      <c r="F4" s="68">
        <v>0.12884434094455863</v>
      </c>
      <c r="G4" s="68">
        <v>3.7002189173769538E-2</v>
      </c>
      <c r="H4" s="68">
        <v>11.347761917742204</v>
      </c>
      <c r="I4" s="68">
        <v>3.3386481757226257E-3</v>
      </c>
      <c r="L4" s="67"/>
      <c r="M4" s="17"/>
      <c r="N4" s="17"/>
      <c r="O4" s="17"/>
      <c r="P4" s="17"/>
      <c r="Q4" s="17"/>
      <c r="R4" s="17"/>
      <c r="S4" s="17"/>
    </row>
    <row r="5" spans="1:19" s="47" customFormat="1" x14ac:dyDescent="0.25">
      <c r="A5" s="122"/>
      <c r="B5" s="48" t="s">
        <v>90</v>
      </c>
      <c r="C5" s="68">
        <v>2.6595225675015804E-2</v>
      </c>
      <c r="D5" s="68">
        <v>0.30804708539527625</v>
      </c>
      <c r="E5" s="68">
        <v>3.9173858922096773E-4</v>
      </c>
      <c r="F5" s="68">
        <v>0.23480684590919859</v>
      </c>
      <c r="G5" s="68">
        <v>4.9276571727618269E-2</v>
      </c>
      <c r="H5" s="68">
        <v>33.394832000705257</v>
      </c>
      <c r="I5" s="68">
        <v>4.4461471760120835E-3</v>
      </c>
      <c r="L5" s="67"/>
      <c r="M5" s="17"/>
      <c r="N5" s="17"/>
      <c r="O5" s="17"/>
      <c r="P5" s="17"/>
      <c r="Q5" s="17"/>
      <c r="R5" s="17"/>
      <c r="S5" s="17"/>
    </row>
    <row r="6" spans="1:19" s="47" customFormat="1" x14ac:dyDescent="0.25">
      <c r="A6" s="122"/>
      <c r="B6" s="48" t="s">
        <v>91</v>
      </c>
      <c r="C6" s="68">
        <v>2.3235359931973221E-2</v>
      </c>
      <c r="D6" s="68">
        <v>0.40512907989865737</v>
      </c>
      <c r="E6" s="68">
        <v>5.7274403051320061E-4</v>
      </c>
      <c r="F6" s="68">
        <v>0.30247334732110015</v>
      </c>
      <c r="G6" s="68">
        <v>5.4797164498813888E-2</v>
      </c>
      <c r="H6" s="68">
        <v>50.902813820847719</v>
      </c>
      <c r="I6" s="68">
        <v>4.9442613003634799E-3</v>
      </c>
      <c r="L6" s="70"/>
      <c r="M6" s="70"/>
      <c r="N6" s="70"/>
      <c r="O6" s="70"/>
      <c r="P6" s="70"/>
      <c r="Q6" s="70"/>
      <c r="R6" s="70"/>
      <c r="S6" s="70"/>
    </row>
    <row r="7" spans="1:19" s="47" customFormat="1" x14ac:dyDescent="0.25">
      <c r="A7" s="122"/>
      <c r="B7" s="48" t="s">
        <v>92</v>
      </c>
      <c r="C7" s="68">
        <v>1.6888459820004455E-2</v>
      </c>
      <c r="D7" s="68">
        <v>0.5152817861707627</v>
      </c>
      <c r="E7" s="68">
        <v>8.0986735561488414E-4</v>
      </c>
      <c r="F7" s="68">
        <v>0.16063923397380497</v>
      </c>
      <c r="G7" s="68">
        <v>5.6353897697911541E-2</v>
      </c>
      <c r="H7" s="68">
        <v>71.977231728484128</v>
      </c>
      <c r="I7" s="68">
        <v>5.0847223832017176E-3</v>
      </c>
      <c r="L7" s="70"/>
      <c r="M7" s="70"/>
      <c r="N7" s="70"/>
      <c r="O7" s="70"/>
      <c r="P7" s="70"/>
      <c r="Q7" s="70"/>
      <c r="R7" s="70"/>
      <c r="S7" s="70"/>
    </row>
    <row r="8" spans="1:19" s="47" customFormat="1" x14ac:dyDescent="0.25">
      <c r="A8" s="122"/>
      <c r="B8" s="48" t="s">
        <v>93</v>
      </c>
      <c r="C8" s="14">
        <v>2.3410530120971568E-2</v>
      </c>
      <c r="D8" s="14">
        <v>0.66963424590733212</v>
      </c>
      <c r="E8" s="14">
        <v>1.0406259750690009E-3</v>
      </c>
      <c r="F8" s="14">
        <v>0.23908843830338464</v>
      </c>
      <c r="G8" s="14">
        <v>7.8690544668185439E-2</v>
      </c>
      <c r="H8" s="14">
        <v>106.0205270559395</v>
      </c>
      <c r="I8" s="14">
        <v>7.1001204754116212E-3</v>
      </c>
      <c r="L8" s="70"/>
      <c r="M8" s="67"/>
      <c r="N8" s="67"/>
      <c r="O8" s="67"/>
      <c r="P8" s="67"/>
      <c r="Q8" s="67"/>
      <c r="R8" s="67"/>
      <c r="S8" s="67"/>
    </row>
    <row r="9" spans="1:19" s="47" customFormat="1" x14ac:dyDescent="0.25">
      <c r="A9" s="123"/>
      <c r="B9" s="48" t="s">
        <v>94</v>
      </c>
      <c r="C9" s="14">
        <v>3.9520998522087021E-2</v>
      </c>
      <c r="D9" s="14">
        <v>1.1471167023290885</v>
      </c>
      <c r="E9" s="14">
        <v>1.7668982974657172E-3</v>
      </c>
      <c r="F9" s="14">
        <v>0.39601386772473252</v>
      </c>
      <c r="G9" s="14">
        <v>0.13132882654586964</v>
      </c>
      <c r="H9" s="14">
        <v>175.72813784776767</v>
      </c>
      <c r="I9" s="14">
        <v>1.1849590163398028E-2</v>
      </c>
      <c r="L9" s="70"/>
      <c r="M9" s="17"/>
      <c r="N9" s="17"/>
      <c r="O9" s="17"/>
      <c r="P9" s="17"/>
      <c r="Q9" s="17"/>
      <c r="R9" s="17"/>
      <c r="S9" s="17"/>
    </row>
    <row r="10" spans="1:19" x14ac:dyDescent="0.25">
      <c r="A10" s="136" t="s">
        <v>26</v>
      </c>
      <c r="B10" s="16" t="s">
        <v>27</v>
      </c>
      <c r="C10" s="68">
        <v>2.2715535714185543E-3</v>
      </c>
      <c r="D10" s="68">
        <v>5.8586520372451725E-2</v>
      </c>
      <c r="E10" s="68">
        <v>9.7431122078050478E-5</v>
      </c>
      <c r="F10" s="68">
        <v>3.1618353310773895E-2</v>
      </c>
      <c r="G10" s="68">
        <v>9.2671622297814376E-3</v>
      </c>
      <c r="H10" s="68">
        <v>7.678936744291553</v>
      </c>
      <c r="I10" s="68">
        <v>8.3616121493474457E-4</v>
      </c>
      <c r="J10" s="17"/>
      <c r="K10" s="17"/>
      <c r="L10" s="69"/>
      <c r="M10" s="70"/>
      <c r="N10" s="70"/>
      <c r="O10" s="70"/>
      <c r="P10" s="70"/>
      <c r="Q10" s="70"/>
      <c r="R10" s="70"/>
      <c r="S10" s="70"/>
    </row>
    <row r="11" spans="1:19" x14ac:dyDescent="0.25">
      <c r="A11" s="137"/>
      <c r="B11" s="16" t="s">
        <v>28</v>
      </c>
      <c r="C11" s="68">
        <v>1.3253965593276651E-2</v>
      </c>
      <c r="D11" s="68">
        <v>0.14143004163484349</v>
      </c>
      <c r="E11" s="68">
        <v>1.8265588565065984E-4</v>
      </c>
      <c r="F11" s="68">
        <v>0.1651600694671071</v>
      </c>
      <c r="G11" s="68">
        <v>5.4414299180533754E-2</v>
      </c>
      <c r="H11" s="68">
        <v>14.129245058991977</v>
      </c>
      <c r="I11" s="68">
        <v>4.9097149492170243E-3</v>
      </c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A12" s="137"/>
      <c r="B12" s="16" t="s">
        <v>29</v>
      </c>
      <c r="C12" s="68">
        <v>2.381573456129505E-2</v>
      </c>
      <c r="D12" s="68">
        <v>0.27285810321407217</v>
      </c>
      <c r="E12" s="68">
        <v>3.1347096748086202E-4</v>
      </c>
      <c r="F12" s="68">
        <v>0.18832555885819902</v>
      </c>
      <c r="G12" s="68">
        <v>4.4027252346476517E-2</v>
      </c>
      <c r="H12" s="68">
        <v>26.722697469427885</v>
      </c>
      <c r="I12" s="68">
        <v>3.9725076652152103E-3</v>
      </c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A13" s="137"/>
      <c r="B13" s="16" t="s">
        <v>30</v>
      </c>
      <c r="C13" s="68">
        <v>2.4273893407955022E-2</v>
      </c>
      <c r="D13" s="68">
        <v>0.43097262353086818</v>
      </c>
      <c r="E13" s="68">
        <v>5.4259952856674208E-4</v>
      </c>
      <c r="F13" s="68">
        <v>0.28456160940173775</v>
      </c>
      <c r="G13" s="68">
        <v>5.614270708488657E-2</v>
      </c>
      <c r="H13" s="68">
        <v>48.223714643068881</v>
      </c>
      <c r="I13" s="68">
        <v>5.0656648406098717E-3</v>
      </c>
      <c r="L13" s="70"/>
      <c r="M13" s="70"/>
      <c r="N13" s="70"/>
      <c r="O13" s="70"/>
      <c r="Q13" s="70"/>
      <c r="R13" s="70"/>
      <c r="S13" s="70"/>
    </row>
    <row r="14" spans="1:19" x14ac:dyDescent="0.25">
      <c r="A14" s="137"/>
      <c r="B14" s="16" t="s">
        <v>31</v>
      </c>
      <c r="C14" s="68">
        <v>1.8910148310540466E-2</v>
      </c>
      <c r="D14" s="68">
        <v>0.5499725406931214</v>
      </c>
      <c r="E14" s="68">
        <v>7.6033070020548629E-4</v>
      </c>
      <c r="F14" s="68">
        <v>0.16712763837475378</v>
      </c>
      <c r="G14" s="68">
        <v>5.7085506454862787E-2</v>
      </c>
      <c r="H14" s="68">
        <v>67.574630724280723</v>
      </c>
      <c r="I14" s="68">
        <v>5.1507344712716334E-3</v>
      </c>
      <c r="L14" s="70"/>
      <c r="M14" s="70"/>
      <c r="N14" s="70"/>
      <c r="O14" s="70"/>
      <c r="Q14" s="70"/>
      <c r="R14" s="70"/>
      <c r="S14" s="70"/>
    </row>
    <row r="15" spans="1:19" x14ac:dyDescent="0.25">
      <c r="A15" s="137"/>
      <c r="B15" s="16" t="s">
        <v>32</v>
      </c>
      <c r="C15" s="14">
        <v>2.7812541825447856E-2</v>
      </c>
      <c r="D15" s="14">
        <v>0.77829080285832175</v>
      </c>
      <c r="E15" s="14">
        <v>1.0551972938147552E-3</v>
      </c>
      <c r="F15" s="14">
        <v>0.29016816609740198</v>
      </c>
      <c r="G15" s="14">
        <v>8.4690833417972941E-2</v>
      </c>
      <c r="H15" s="14">
        <v>107.50507724886437</v>
      </c>
      <c r="I15" s="14">
        <v>7.6415174499097054E-3</v>
      </c>
      <c r="L15" s="70"/>
      <c r="M15" s="70"/>
      <c r="N15" s="70"/>
      <c r="O15" s="70"/>
      <c r="Q15" s="70"/>
      <c r="R15" s="70"/>
      <c r="S15" s="70"/>
    </row>
    <row r="16" spans="1:19" x14ac:dyDescent="0.25">
      <c r="A16" s="137"/>
      <c r="B16" s="16" t="s">
        <v>33</v>
      </c>
      <c r="C16" s="14">
        <v>5.7867083815215575E-2</v>
      </c>
      <c r="D16" s="14">
        <v>1.6412875511891465</v>
      </c>
      <c r="E16" s="14">
        <v>2.2143708591425945E-3</v>
      </c>
      <c r="F16" s="14">
        <v>0.59346521812176145</v>
      </c>
      <c r="G16" s="14">
        <v>0.17463574536648371</v>
      </c>
      <c r="H16" s="14">
        <v>220.23190825368164</v>
      </c>
      <c r="I16" s="14">
        <v>1.5757102061852268E-2</v>
      </c>
      <c r="L16" s="70"/>
      <c r="M16" s="70"/>
      <c r="N16" s="70"/>
      <c r="O16" s="70"/>
      <c r="Q16" s="70"/>
      <c r="R16" s="70"/>
      <c r="S16" s="70"/>
    </row>
    <row r="17" spans="1:19" x14ac:dyDescent="0.25">
      <c r="A17" s="137"/>
      <c r="B17" s="16" t="s">
        <v>34</v>
      </c>
      <c r="C17" s="68">
        <v>8.1412925288392807E-2</v>
      </c>
      <c r="D17" s="68">
        <v>2.7061246534133692</v>
      </c>
      <c r="E17" s="68">
        <v>2.7085123715543985E-3</v>
      </c>
      <c r="F17" s="68">
        <v>0.83410494921522949</v>
      </c>
      <c r="G17" s="68">
        <v>0.23539897387706901</v>
      </c>
      <c r="H17" s="68">
        <v>269.37713270784536</v>
      </c>
      <c r="I17" s="68">
        <v>2.123967578705287E-2</v>
      </c>
      <c r="L17" s="70"/>
      <c r="M17" s="70"/>
      <c r="N17" s="70"/>
      <c r="O17" s="70"/>
      <c r="Q17" s="70"/>
      <c r="R17" s="70"/>
      <c r="S17" s="70"/>
    </row>
    <row r="18" spans="1:19" x14ac:dyDescent="0.25">
      <c r="L18" s="70"/>
      <c r="M18" s="70"/>
      <c r="N18" s="70"/>
      <c r="O18" s="70"/>
      <c r="Q18" s="70"/>
      <c r="R18" s="70"/>
      <c r="S18" s="70"/>
    </row>
    <row r="19" spans="1:19" x14ac:dyDescent="0.25">
      <c r="A19" s="112" t="s">
        <v>21</v>
      </c>
      <c r="B19" s="124"/>
      <c r="C19" s="125"/>
      <c r="D19" s="125"/>
      <c r="E19" s="126"/>
    </row>
    <row r="20" spans="1:19" x14ac:dyDescent="0.25">
      <c r="A20" s="113"/>
      <c r="B20" s="127"/>
      <c r="C20" s="128"/>
      <c r="D20" s="128"/>
      <c r="E20" s="129"/>
    </row>
    <row r="21" spans="1:19" x14ac:dyDescent="0.25">
      <c r="A21" s="113"/>
      <c r="B21" s="130"/>
      <c r="C21" s="131"/>
      <c r="D21" s="131"/>
      <c r="E21" s="132"/>
    </row>
    <row r="22" spans="1:19" x14ac:dyDescent="0.25">
      <c r="A22" s="113"/>
      <c r="B22" s="115" t="s">
        <v>22</v>
      </c>
      <c r="C22" s="116"/>
      <c r="D22" s="116"/>
      <c r="E22" s="133"/>
    </row>
    <row r="23" spans="1:19" x14ac:dyDescent="0.25">
      <c r="A23" s="113"/>
      <c r="B23" s="117"/>
      <c r="C23" s="118"/>
      <c r="D23" s="118"/>
      <c r="E23" s="134"/>
    </row>
    <row r="24" spans="1:19" x14ac:dyDescent="0.25">
      <c r="A24" s="113"/>
      <c r="B24" s="117"/>
      <c r="C24" s="118"/>
      <c r="D24" s="118"/>
      <c r="E24" s="134"/>
    </row>
    <row r="25" spans="1:19" x14ac:dyDescent="0.25">
      <c r="A25" s="114"/>
      <c r="B25" s="119"/>
      <c r="C25" s="120"/>
      <c r="D25" s="120"/>
      <c r="E25" s="135"/>
    </row>
    <row r="27" spans="1:19" x14ac:dyDescent="0.25">
      <c r="A27" s="2" t="s">
        <v>165</v>
      </c>
    </row>
    <row r="28" spans="1:19" x14ac:dyDescent="0.25">
      <c r="A28" s="2" t="s">
        <v>166</v>
      </c>
    </row>
  </sheetData>
  <sheetProtection password="B056" sheet="1" objects="1" scenarios="1"/>
  <mergeCells count="5">
    <mergeCell ref="A3:A9"/>
    <mergeCell ref="A19:A25"/>
    <mergeCell ref="B19:E21"/>
    <mergeCell ref="B22:E25"/>
    <mergeCell ref="A10:A17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:G3"/>
    </sheetView>
  </sheetViews>
  <sheetFormatPr defaultRowHeight="15" x14ac:dyDescent="0.25"/>
  <cols>
    <col min="1" max="1" width="24.42578125" customWidth="1"/>
    <col min="2" max="5" width="20.42578125" customWidth="1"/>
    <col min="6" max="6" width="20.85546875" customWidth="1"/>
    <col min="7" max="7" width="18.42578125" customWidth="1"/>
  </cols>
  <sheetData>
    <row r="1" spans="1:7" x14ac:dyDescent="0.25">
      <c r="A1" s="2" t="s">
        <v>103</v>
      </c>
    </row>
    <row r="2" spans="1:7" x14ac:dyDescent="0.25">
      <c r="A2" s="139" t="s">
        <v>104</v>
      </c>
      <c r="B2" s="140"/>
      <c r="C2" s="140"/>
      <c r="D2" s="140"/>
      <c r="E2" s="140"/>
      <c r="F2" s="140"/>
      <c r="G2" s="140"/>
    </row>
    <row r="3" spans="1:7" ht="15" customHeight="1" x14ac:dyDescent="0.25">
      <c r="A3" s="138" t="s">
        <v>105</v>
      </c>
      <c r="B3" s="138"/>
      <c r="C3" s="138"/>
      <c r="D3" s="138"/>
      <c r="E3" s="138"/>
      <c r="F3" s="138"/>
      <c r="G3" s="138"/>
    </row>
    <row r="4" spans="1:7" x14ac:dyDescent="0.25">
      <c r="A4" s="54" t="s">
        <v>96</v>
      </c>
      <c r="B4" s="55" t="s">
        <v>2</v>
      </c>
      <c r="C4" s="55" t="s">
        <v>110</v>
      </c>
      <c r="D4" s="55" t="s">
        <v>36</v>
      </c>
      <c r="E4" s="55" t="s">
        <v>110</v>
      </c>
      <c r="F4" s="55" t="s">
        <v>100</v>
      </c>
      <c r="G4" s="55" t="s">
        <v>110</v>
      </c>
    </row>
    <row r="5" spans="1:7" x14ac:dyDescent="0.25">
      <c r="A5" s="63" t="s">
        <v>106</v>
      </c>
      <c r="B5" s="64">
        <v>2.7000000000000001E-3</v>
      </c>
      <c r="C5" s="64" t="s">
        <v>111</v>
      </c>
      <c r="D5" s="64">
        <v>1.1999999999999999E-3</v>
      </c>
      <c r="E5" s="64" t="s">
        <v>112</v>
      </c>
      <c r="F5" s="64" t="s">
        <v>98</v>
      </c>
      <c r="G5" s="49"/>
    </row>
    <row r="6" spans="1:7" x14ac:dyDescent="0.25">
      <c r="A6" s="19" t="s">
        <v>107</v>
      </c>
      <c r="B6" s="60">
        <v>5.9999999999999995E-4</v>
      </c>
      <c r="C6" s="60" t="s">
        <v>111</v>
      </c>
      <c r="D6" s="60">
        <v>2.7E-4</v>
      </c>
      <c r="E6" s="60" t="s">
        <v>112</v>
      </c>
      <c r="F6" s="60">
        <v>5.0000000000000002E-5</v>
      </c>
      <c r="G6" s="31" t="s">
        <v>111</v>
      </c>
    </row>
    <row r="7" spans="1:7" x14ac:dyDescent="0.25">
      <c r="A7" s="51" t="s">
        <v>97</v>
      </c>
      <c r="B7" s="56">
        <v>1.2500000000000001E-2</v>
      </c>
      <c r="C7" s="56" t="s">
        <v>111</v>
      </c>
      <c r="D7" s="56">
        <v>4.3E-3</v>
      </c>
      <c r="E7" s="56" t="s">
        <v>112</v>
      </c>
      <c r="F7" s="56" t="s">
        <v>98</v>
      </c>
      <c r="G7" s="49"/>
    </row>
    <row r="8" spans="1:7" x14ac:dyDescent="0.25">
      <c r="A8" s="2" t="s">
        <v>108</v>
      </c>
      <c r="B8" s="31">
        <v>1.1000000000000001E-3</v>
      </c>
      <c r="C8" s="31" t="s">
        <v>111</v>
      </c>
      <c r="D8" s="31">
        <v>3.6999999999999999E-4</v>
      </c>
      <c r="E8" s="31" t="s">
        <v>112</v>
      </c>
      <c r="F8" s="57">
        <v>2.5000000000000001E-5</v>
      </c>
      <c r="G8" s="31" t="s">
        <v>111</v>
      </c>
    </row>
    <row r="9" spans="1:7" x14ac:dyDescent="0.25">
      <c r="A9" s="2"/>
      <c r="B9" s="1"/>
      <c r="C9" s="1"/>
      <c r="D9" s="1"/>
      <c r="E9" s="1"/>
    </row>
    <row r="10" spans="1:7" x14ac:dyDescent="0.25">
      <c r="D10" s="71"/>
    </row>
    <row r="11" spans="1:7" x14ac:dyDescent="0.25">
      <c r="D11" s="71"/>
    </row>
    <row r="13" spans="1:7" x14ac:dyDescent="0.25">
      <c r="F13" s="71"/>
    </row>
    <row r="15" spans="1:7" x14ac:dyDescent="0.25">
      <c r="D15" s="72"/>
      <c r="F15" s="71"/>
    </row>
    <row r="16" spans="1:7" x14ac:dyDescent="0.25">
      <c r="D16" s="72"/>
      <c r="F16" s="71"/>
    </row>
  </sheetData>
  <sheetProtection password="B056" sheet="1" objects="1" scenarios="1"/>
  <mergeCells count="2">
    <mergeCell ref="A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F24" sqref="F24"/>
    </sheetView>
  </sheetViews>
  <sheetFormatPr defaultRowHeight="15" x14ac:dyDescent="0.25"/>
  <cols>
    <col min="1" max="4" width="18" customWidth="1"/>
    <col min="6" max="10" width="13.42578125" customWidth="1"/>
  </cols>
  <sheetData>
    <row r="1" spans="1:10" x14ac:dyDescent="0.25">
      <c r="A1" s="2" t="s">
        <v>45</v>
      </c>
      <c r="B1" s="2"/>
      <c r="C1" s="2"/>
      <c r="D1" s="2"/>
      <c r="F1" s="141" t="s">
        <v>60</v>
      </c>
      <c r="G1" s="141"/>
      <c r="H1" s="141"/>
      <c r="I1" s="141"/>
      <c r="J1" s="141"/>
    </row>
    <row r="2" spans="1:10" ht="33.75" x14ac:dyDescent="0.25">
      <c r="A2" s="142" t="s">
        <v>46</v>
      </c>
      <c r="B2" s="142"/>
      <c r="C2" s="142"/>
      <c r="D2" s="142"/>
      <c r="F2" s="84" t="s">
        <v>61</v>
      </c>
      <c r="G2" s="83" t="s">
        <v>62</v>
      </c>
      <c r="H2" s="83" t="s">
        <v>63</v>
      </c>
      <c r="I2" s="84" t="s">
        <v>64</v>
      </c>
      <c r="J2" s="84" t="s">
        <v>65</v>
      </c>
    </row>
    <row r="3" spans="1:10" x14ac:dyDescent="0.25">
      <c r="A3" s="143" t="s">
        <v>47</v>
      </c>
      <c r="B3" s="143"/>
      <c r="C3" s="143"/>
      <c r="D3" s="143"/>
      <c r="F3" s="60" t="s">
        <v>66</v>
      </c>
      <c r="G3" s="60">
        <v>0</v>
      </c>
      <c r="H3" s="60">
        <v>0</v>
      </c>
      <c r="I3" s="60">
        <v>31</v>
      </c>
      <c r="J3" s="42">
        <f>(I3-H3)/I3</f>
        <v>1</v>
      </c>
    </row>
    <row r="4" spans="1:10" x14ac:dyDescent="0.25">
      <c r="A4" s="144" t="s">
        <v>48</v>
      </c>
      <c r="B4" s="144" t="s">
        <v>49</v>
      </c>
      <c r="C4" s="144"/>
      <c r="D4" s="144"/>
      <c r="F4" s="60" t="s">
        <v>67</v>
      </c>
      <c r="G4" s="60">
        <v>52</v>
      </c>
      <c r="H4" s="60">
        <v>7</v>
      </c>
      <c r="I4" s="60">
        <v>28</v>
      </c>
      <c r="J4" s="42">
        <f t="shared" ref="J4:J14" si="0">(I4-H4)/I4</f>
        <v>0.75</v>
      </c>
    </row>
    <row r="5" spans="1:10" x14ac:dyDescent="0.25">
      <c r="A5" s="144"/>
      <c r="B5" s="36" t="s">
        <v>50</v>
      </c>
      <c r="C5" s="36" t="s">
        <v>51</v>
      </c>
      <c r="D5" s="36" t="s">
        <v>52</v>
      </c>
      <c r="F5" s="60" t="s">
        <v>68</v>
      </c>
      <c r="G5" s="60">
        <v>69</v>
      </c>
      <c r="H5" s="60">
        <v>7</v>
      </c>
      <c r="I5" s="60">
        <v>31</v>
      </c>
      <c r="J5" s="42">
        <f t="shared" si="0"/>
        <v>0.77419354838709675</v>
      </c>
    </row>
    <row r="6" spans="1:10" x14ac:dyDescent="0.25">
      <c r="A6" s="37" t="s">
        <v>53</v>
      </c>
      <c r="B6" s="97">
        <v>0.15</v>
      </c>
      <c r="C6" s="97">
        <v>1.5</v>
      </c>
      <c r="D6" s="97">
        <v>4.9000000000000004</v>
      </c>
      <c r="F6" s="60" t="s">
        <v>69</v>
      </c>
      <c r="G6" s="60">
        <v>44</v>
      </c>
      <c r="H6" s="60">
        <v>8</v>
      </c>
      <c r="I6" s="60">
        <v>30</v>
      </c>
      <c r="J6" s="42">
        <f t="shared" si="0"/>
        <v>0.73333333333333328</v>
      </c>
    </row>
    <row r="7" spans="1:10" x14ac:dyDescent="0.25">
      <c r="A7" s="37" t="s">
        <v>54</v>
      </c>
      <c r="B7" s="97">
        <v>0.9</v>
      </c>
      <c r="C7" s="97">
        <v>0.9</v>
      </c>
      <c r="D7" s="97">
        <v>0.7</v>
      </c>
      <c r="F7" s="60" t="s">
        <v>70</v>
      </c>
      <c r="G7" s="60">
        <v>185.8</v>
      </c>
      <c r="H7" s="60">
        <v>16</v>
      </c>
      <c r="I7" s="60">
        <v>31</v>
      </c>
      <c r="J7" s="42">
        <f t="shared" si="0"/>
        <v>0.4838709677419355</v>
      </c>
    </row>
    <row r="8" spans="1:10" x14ac:dyDescent="0.25">
      <c r="A8" s="37" t="s">
        <v>55</v>
      </c>
      <c r="B8" s="97">
        <v>0.45</v>
      </c>
      <c r="C8" s="97">
        <v>0.45</v>
      </c>
      <c r="D8" s="97">
        <v>0.45</v>
      </c>
      <c r="F8" s="60" t="s">
        <v>71</v>
      </c>
      <c r="G8" s="60">
        <v>119.2</v>
      </c>
      <c r="H8" s="60">
        <v>9</v>
      </c>
      <c r="I8" s="60">
        <v>30</v>
      </c>
      <c r="J8" s="42">
        <f t="shared" si="0"/>
        <v>0.7</v>
      </c>
    </row>
    <row r="9" spans="1:10" x14ac:dyDescent="0.25">
      <c r="A9" s="37" t="s">
        <v>56</v>
      </c>
      <c r="B9" s="102">
        <v>281.89999999999998</v>
      </c>
      <c r="C9" s="97" t="s">
        <v>57</v>
      </c>
      <c r="D9" s="97"/>
      <c r="F9" s="60" t="s">
        <v>72</v>
      </c>
      <c r="G9" s="60">
        <v>17.8</v>
      </c>
      <c r="H9" s="60">
        <v>6</v>
      </c>
      <c r="I9" s="60">
        <v>31</v>
      </c>
      <c r="J9" s="42">
        <f t="shared" si="0"/>
        <v>0.80645161290322576</v>
      </c>
    </row>
    <row r="10" spans="1:10" x14ac:dyDescent="0.25">
      <c r="A10" s="112" t="s">
        <v>21</v>
      </c>
      <c r="B10" s="124"/>
      <c r="C10" s="125"/>
      <c r="D10" s="125"/>
      <c r="E10" s="27"/>
      <c r="F10" s="60" t="s">
        <v>73</v>
      </c>
      <c r="G10" s="60">
        <v>70.2</v>
      </c>
      <c r="H10" s="60">
        <v>11</v>
      </c>
      <c r="I10" s="60">
        <v>31</v>
      </c>
      <c r="J10" s="42">
        <f t="shared" si="0"/>
        <v>0.64516129032258063</v>
      </c>
    </row>
    <row r="11" spans="1:10" x14ac:dyDescent="0.25">
      <c r="A11" s="113"/>
      <c r="B11" s="127"/>
      <c r="C11" s="128"/>
      <c r="D11" s="128"/>
      <c r="E11" s="27"/>
      <c r="F11" s="60" t="s">
        <v>74</v>
      </c>
      <c r="G11" s="60">
        <v>25.2</v>
      </c>
      <c r="H11" s="60">
        <v>7</v>
      </c>
      <c r="I11" s="60">
        <v>30</v>
      </c>
      <c r="J11" s="42">
        <f t="shared" si="0"/>
        <v>0.76666666666666672</v>
      </c>
    </row>
    <row r="12" spans="1:10" ht="15" customHeight="1" x14ac:dyDescent="0.25">
      <c r="A12" s="113"/>
      <c r="B12" s="130"/>
      <c r="C12" s="131"/>
      <c r="D12" s="131"/>
      <c r="E12" s="27"/>
      <c r="F12" s="60" t="s">
        <v>75</v>
      </c>
      <c r="G12" s="60">
        <v>54.4</v>
      </c>
      <c r="H12" s="60">
        <v>6</v>
      </c>
      <c r="I12" s="60">
        <v>31</v>
      </c>
      <c r="J12" s="42">
        <f t="shared" si="0"/>
        <v>0.80645161290322576</v>
      </c>
    </row>
    <row r="13" spans="1:10" ht="15" customHeight="1" x14ac:dyDescent="0.25">
      <c r="A13" s="113"/>
      <c r="B13" s="115" t="s">
        <v>147</v>
      </c>
      <c r="C13" s="116"/>
      <c r="D13" s="116"/>
      <c r="E13" s="28"/>
      <c r="F13" s="60" t="s">
        <v>76</v>
      </c>
      <c r="G13" s="43">
        <v>48.6</v>
      </c>
      <c r="H13" s="60">
        <v>9</v>
      </c>
      <c r="I13" s="60">
        <v>30</v>
      </c>
      <c r="J13" s="42">
        <f t="shared" si="0"/>
        <v>0.7</v>
      </c>
    </row>
    <row r="14" spans="1:10" x14ac:dyDescent="0.25">
      <c r="A14" s="113"/>
      <c r="B14" s="117"/>
      <c r="C14" s="118"/>
      <c r="D14" s="118"/>
      <c r="E14" s="28"/>
      <c r="F14" s="60" t="s">
        <v>77</v>
      </c>
      <c r="G14" s="60">
        <v>91.4</v>
      </c>
      <c r="H14" s="60">
        <v>6</v>
      </c>
      <c r="I14" s="60">
        <v>31</v>
      </c>
      <c r="J14" s="42">
        <f t="shared" si="0"/>
        <v>0.80645161290322576</v>
      </c>
    </row>
    <row r="15" spans="1:10" x14ac:dyDescent="0.25">
      <c r="A15" s="113"/>
      <c r="B15" s="117"/>
      <c r="C15" s="118"/>
      <c r="D15" s="118"/>
      <c r="E15" s="28"/>
      <c r="F15" s="40"/>
      <c r="G15" s="2"/>
      <c r="H15" s="2"/>
      <c r="I15" s="86"/>
      <c r="J15" s="2"/>
    </row>
    <row r="16" spans="1:10" x14ac:dyDescent="0.25">
      <c r="A16" s="113"/>
      <c r="B16" s="117"/>
      <c r="C16" s="118"/>
      <c r="D16" s="118"/>
      <c r="E16" s="28"/>
      <c r="F16" s="85" t="s">
        <v>78</v>
      </c>
      <c r="G16" s="8">
        <f>(365-SUM(H3:H14))/365</f>
        <v>0.74794520547945209</v>
      </c>
      <c r="H16" s="1"/>
      <c r="I16" s="1"/>
      <c r="J16" s="1"/>
    </row>
    <row r="17" spans="1:8" x14ac:dyDescent="0.25">
      <c r="A17" s="113"/>
      <c r="B17" s="117"/>
      <c r="C17" s="118"/>
      <c r="D17" s="118"/>
      <c r="E17" s="28"/>
    </row>
    <row r="18" spans="1:8" x14ac:dyDescent="0.25">
      <c r="A18" s="113"/>
      <c r="B18" s="117"/>
      <c r="C18" s="118"/>
      <c r="D18" s="118"/>
      <c r="E18" s="28"/>
    </row>
    <row r="19" spans="1:8" x14ac:dyDescent="0.25">
      <c r="A19" s="114"/>
      <c r="B19" s="119"/>
      <c r="C19" s="120"/>
      <c r="D19" s="120"/>
      <c r="E19" s="28"/>
    </row>
    <row r="20" spans="1:8" x14ac:dyDescent="0.25">
      <c r="A20" s="74"/>
      <c r="B20" s="74"/>
      <c r="C20" s="74"/>
      <c r="D20" s="74"/>
      <c r="E20" s="74"/>
      <c r="F20" s="74"/>
      <c r="G20" s="74"/>
      <c r="H20" s="74"/>
    </row>
    <row r="21" spans="1:8" x14ac:dyDescent="0.25">
      <c r="A21" s="141" t="s">
        <v>79</v>
      </c>
      <c r="B21" s="141" t="s">
        <v>80</v>
      </c>
      <c r="C21" s="141"/>
      <c r="D21" s="141"/>
      <c r="E21" s="141"/>
      <c r="F21" s="141"/>
      <c r="G21" s="141"/>
      <c r="H21" s="141"/>
    </row>
    <row r="22" spans="1:8" x14ac:dyDescent="0.25">
      <c r="A22" s="141"/>
      <c r="B22" s="141" t="s">
        <v>81</v>
      </c>
      <c r="C22" s="141"/>
      <c r="D22" s="141"/>
      <c r="E22" s="141"/>
      <c r="F22" s="141"/>
      <c r="G22" s="141"/>
      <c r="H22" s="141"/>
    </row>
    <row r="23" spans="1:8" x14ac:dyDescent="0.25">
      <c r="A23" s="141"/>
      <c r="B23" s="41" t="s">
        <v>2</v>
      </c>
      <c r="C23" s="41" t="s">
        <v>36</v>
      </c>
      <c r="D23" s="41" t="s">
        <v>84</v>
      </c>
      <c r="E23" s="41" t="s">
        <v>85</v>
      </c>
      <c r="F23" s="41" t="s">
        <v>86</v>
      </c>
      <c r="G23" s="41" t="s">
        <v>4</v>
      </c>
      <c r="H23" s="41" t="s">
        <v>82</v>
      </c>
    </row>
    <row r="24" spans="1:8" x14ac:dyDescent="0.25">
      <c r="A24" s="73" t="s">
        <v>83</v>
      </c>
      <c r="B24" s="100">
        <v>0.17489827604766656</v>
      </c>
      <c r="C24" s="100">
        <v>0.17489827604766656</v>
      </c>
      <c r="D24" s="100">
        <v>0.17489827604766656</v>
      </c>
      <c r="E24" s="100">
        <v>5.4345140567386743</v>
      </c>
      <c r="F24" s="100">
        <v>0.21032135261668511</v>
      </c>
      <c r="G24" s="100">
        <v>1.0383730075038093</v>
      </c>
      <c r="H24" s="100">
        <v>0.24766340643796464</v>
      </c>
    </row>
    <row r="25" spans="1:8" x14ac:dyDescent="0.25">
      <c r="A25" s="74"/>
      <c r="B25" s="74"/>
      <c r="C25" s="74"/>
      <c r="D25" s="74"/>
      <c r="E25" s="74"/>
      <c r="F25" s="74"/>
      <c r="G25" s="74"/>
      <c r="H25" s="74"/>
    </row>
  </sheetData>
  <sheetProtection password="B056" sheet="1" objects="1" scenarios="1"/>
  <mergeCells count="11">
    <mergeCell ref="F1:J1"/>
    <mergeCell ref="A10:A19"/>
    <mergeCell ref="B10:D12"/>
    <mergeCell ref="B13:D19"/>
    <mergeCell ref="A21:A23"/>
    <mergeCell ref="B21:H21"/>
    <mergeCell ref="B22:H22"/>
    <mergeCell ref="A2:D2"/>
    <mergeCell ref="A3:D3"/>
    <mergeCell ref="A4:A5"/>
    <mergeCell ref="B4:D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"/>
  <sheetViews>
    <sheetView topLeftCell="B1" zoomScaleNormal="100" workbookViewId="0">
      <selection activeCell="E20" sqref="E20"/>
    </sheetView>
  </sheetViews>
  <sheetFormatPr defaultRowHeight="15" customHeight="1" x14ac:dyDescent="0.2"/>
  <cols>
    <col min="1" max="1" width="33.85546875" style="1" customWidth="1"/>
    <col min="2" max="2" width="20.28515625" style="1" customWidth="1"/>
    <col min="3" max="3" width="20.85546875" style="1" customWidth="1"/>
    <col min="4" max="4" width="19.28515625" style="1" customWidth="1"/>
    <col min="5" max="5" width="23.7109375" style="1" bestFit="1" customWidth="1"/>
    <col min="6" max="9" width="13.7109375" style="1" customWidth="1"/>
    <col min="10" max="15" width="8.7109375" style="1" customWidth="1"/>
    <col min="16" max="16" width="10.42578125" style="1" bestFit="1" customWidth="1"/>
    <col min="17" max="16384" width="9.140625" style="1"/>
  </cols>
  <sheetData>
    <row r="1" spans="1:17" ht="15" customHeight="1" x14ac:dyDescent="0.2">
      <c r="A1" s="3" t="s">
        <v>138</v>
      </c>
      <c r="B1" s="3"/>
      <c r="C1" s="3"/>
    </row>
    <row r="2" spans="1:17" ht="15" customHeight="1" x14ac:dyDescent="0.2">
      <c r="A2" s="146" t="s">
        <v>0</v>
      </c>
      <c r="B2" s="146" t="s">
        <v>130</v>
      </c>
      <c r="C2" s="146" t="s">
        <v>131</v>
      </c>
      <c r="D2" s="146" t="s">
        <v>16</v>
      </c>
      <c r="E2" s="146" t="s">
        <v>17</v>
      </c>
      <c r="F2" s="150" t="s">
        <v>163</v>
      </c>
      <c r="G2" s="150" t="s">
        <v>164</v>
      </c>
      <c r="H2" s="146" t="s">
        <v>18</v>
      </c>
      <c r="I2" s="146" t="s">
        <v>19</v>
      </c>
      <c r="J2" s="148" t="s">
        <v>1</v>
      </c>
      <c r="K2" s="149"/>
      <c r="L2" s="149"/>
      <c r="M2" s="149"/>
      <c r="N2" s="149"/>
      <c r="O2" s="149"/>
      <c r="P2" s="149"/>
    </row>
    <row r="3" spans="1:17" ht="15" customHeight="1" x14ac:dyDescent="0.2">
      <c r="A3" s="147"/>
      <c r="B3" s="147"/>
      <c r="C3" s="147"/>
      <c r="D3" s="147"/>
      <c r="E3" s="147"/>
      <c r="F3" s="150"/>
      <c r="G3" s="150"/>
      <c r="H3" s="147"/>
      <c r="I3" s="147"/>
      <c r="J3" s="5" t="s">
        <v>2</v>
      </c>
      <c r="K3" s="5" t="s">
        <v>3</v>
      </c>
      <c r="L3" s="5" t="s">
        <v>20</v>
      </c>
      <c r="M3" s="5" t="s">
        <v>5</v>
      </c>
      <c r="N3" s="5" t="s">
        <v>6</v>
      </c>
      <c r="O3" s="5" t="s">
        <v>4</v>
      </c>
      <c r="P3" s="5" t="s">
        <v>162</v>
      </c>
    </row>
    <row r="4" spans="1:17" ht="15" customHeight="1" x14ac:dyDescent="0.2">
      <c r="A4" s="3" t="str">
        <f>Dados!A14</f>
        <v>Escavadeira</v>
      </c>
      <c r="B4" s="6" t="str">
        <f>Dados!B14</f>
        <v>CASE</v>
      </c>
      <c r="C4" s="6" t="str">
        <f>Dados!C14</f>
        <v>CX 220</v>
      </c>
      <c r="D4" s="11">
        <v>139</v>
      </c>
      <c r="E4" s="3" t="s">
        <v>91</v>
      </c>
      <c r="F4" s="92">
        <v>-20.387597</v>
      </c>
      <c r="G4" s="92">
        <v>-40.334913999999998</v>
      </c>
      <c r="H4" s="6">
        <f>Dados!E14</f>
        <v>1</v>
      </c>
      <c r="I4" s="11">
        <f>Dados!F14</f>
        <v>4</v>
      </c>
      <c r="J4" s="29">
        <f>(INDEX(FE_Equip,MATCH($E4,Pot_Equip,0),2))*H4*I4/(24)</f>
        <v>3.8725599886622036E-3</v>
      </c>
      <c r="K4" s="29">
        <f>J4</f>
        <v>3.8725599886622036E-3</v>
      </c>
      <c r="L4" s="29">
        <f>J4</f>
        <v>3.8725599886622036E-3</v>
      </c>
      <c r="M4" s="29">
        <f>(INDEX(FE_Equip,MATCH($E4,Pot_Equip,0),3))*H4*I4/(24)</f>
        <v>6.7521513316442891E-2</v>
      </c>
      <c r="N4" s="29">
        <f>(INDEX(FE_Equip,MATCH($E4,Pot_Equip,0),4))*H4*I4/(24)</f>
        <v>9.5457338418866773E-5</v>
      </c>
      <c r="O4" s="29">
        <f>(INDEX(FE_Equip,MATCH($E4,Pot_Equip,0),5))*H4*I4/(24)</f>
        <v>5.0412224553516689E-2</v>
      </c>
      <c r="P4" s="29">
        <f>(INDEX(FE_Equip,MATCH($E4,Pot_Equip,0),6))*H4*I4/(24)</f>
        <v>9.1328607498023153E-3</v>
      </c>
    </row>
    <row r="5" spans="1:17" ht="15" customHeight="1" x14ac:dyDescent="0.2">
      <c r="A5" s="3" t="str">
        <f>Dados!A15</f>
        <v>Pá Carregadeira</v>
      </c>
      <c r="B5" s="6" t="str">
        <f>Dados!B15</f>
        <v>CASE</v>
      </c>
      <c r="C5" s="6" t="str">
        <f>Dados!C15</f>
        <v>821 E</v>
      </c>
      <c r="D5" s="11">
        <v>227</v>
      </c>
      <c r="E5" s="3" t="s">
        <v>31</v>
      </c>
      <c r="F5" s="92">
        <v>-20.387597</v>
      </c>
      <c r="G5" s="92">
        <v>-40.334913999999998</v>
      </c>
      <c r="H5" s="6">
        <f>Dados!E15</f>
        <v>1</v>
      </c>
      <c r="I5" s="11">
        <f>Dados!F15</f>
        <v>4</v>
      </c>
      <c r="J5" s="29">
        <f>(INDEX(FE_Equip,MATCH($E5,Pot_Equip,0),2))*H5*I5/(24)</f>
        <v>3.1516913850900777E-3</v>
      </c>
      <c r="K5" s="29">
        <f t="shared" ref="K5:K6" si="0">J5</f>
        <v>3.1516913850900777E-3</v>
      </c>
      <c r="L5" s="29">
        <f t="shared" ref="L5:L6" si="1">J5</f>
        <v>3.1516913850900777E-3</v>
      </c>
      <c r="M5" s="29">
        <f>(INDEX(FE_Equip,MATCH($E5,Pot_Equip,0),3))*H5*I5/(24)</f>
        <v>9.1662090115520234E-2</v>
      </c>
      <c r="N5" s="29">
        <f>(INDEX(FE_Equip,MATCH($E5,Pot_Equip,0),4))*H5*I5/(24)</f>
        <v>1.2672178336758106E-4</v>
      </c>
      <c r="O5" s="29">
        <f>(INDEX(FE_Equip,MATCH($E5,Pot_Equip,0),5))*H5*I5/(24)</f>
        <v>2.7854606395792295E-2</v>
      </c>
      <c r="P5" s="29">
        <f>(INDEX(FE_Equip,MATCH($E5,Pot_Equip,0),6))*H5*I5/(24)</f>
        <v>9.5142510758104652E-3</v>
      </c>
    </row>
    <row r="6" spans="1:17" ht="15" customHeight="1" x14ac:dyDescent="0.2">
      <c r="A6" s="3" t="str">
        <f>Dados!A16</f>
        <v>Pá Carregadeira</v>
      </c>
      <c r="B6" s="6" t="str">
        <f>Dados!B16</f>
        <v>CASE</v>
      </c>
      <c r="C6" s="6" t="str">
        <f>Dados!C16</f>
        <v>W20 E</v>
      </c>
      <c r="D6" s="11">
        <v>152</v>
      </c>
      <c r="E6" s="3" t="s">
        <v>30</v>
      </c>
      <c r="F6" s="92">
        <v>-20.387597</v>
      </c>
      <c r="G6" s="92">
        <v>-40.334913999999998</v>
      </c>
      <c r="H6" s="6">
        <f>Dados!E16</f>
        <v>1</v>
      </c>
      <c r="I6" s="11">
        <f>Dados!F16</f>
        <v>4</v>
      </c>
      <c r="J6" s="29">
        <f>(INDEX(FE_Equip,MATCH($E6,Pot_Equip,0),2))*H6*I6/(24)</f>
        <v>4.0456489013258367E-3</v>
      </c>
      <c r="K6" s="29">
        <f t="shared" si="0"/>
        <v>4.0456489013258367E-3</v>
      </c>
      <c r="L6" s="29">
        <f t="shared" si="1"/>
        <v>4.0456489013258367E-3</v>
      </c>
      <c r="M6" s="29">
        <f>(INDEX(FE_Equip,MATCH($E6,Pot_Equip,0),3))*H6*I6/(24)</f>
        <v>7.182877058847803E-2</v>
      </c>
      <c r="N6" s="29">
        <f>(INDEX(FE_Equip,MATCH($E6,Pot_Equip,0),4))*H6*I6/(24)</f>
        <v>9.0433254761123675E-5</v>
      </c>
      <c r="O6" s="29">
        <f>(INDEX(FE_Equip,MATCH($E6,Pot_Equip,0),5))*H6*I6/(24)</f>
        <v>4.7426934900289625E-2</v>
      </c>
      <c r="P6" s="29">
        <f>(INDEX(FE_Equip,MATCH($E6,Pot_Equip,0),6))*H6*I6/(24)</f>
        <v>9.3571178474810956E-3</v>
      </c>
    </row>
    <row r="7" spans="1:17" ht="15" customHeight="1" x14ac:dyDescent="0.2">
      <c r="A7" s="145" t="s">
        <v>159</v>
      </c>
      <c r="B7" s="145"/>
      <c r="C7" s="145"/>
      <c r="D7" s="145"/>
      <c r="E7" s="145"/>
      <c r="F7" s="145"/>
      <c r="G7" s="145"/>
      <c r="H7" s="145"/>
      <c r="I7" s="145"/>
      <c r="J7" s="15">
        <f>SUM(J4:J6)</f>
        <v>1.1069900275078117E-2</v>
      </c>
      <c r="K7" s="15">
        <f t="shared" ref="K7:P7" si="2">SUM(K4:K6)</f>
        <v>1.1069900275078117E-2</v>
      </c>
      <c r="L7" s="15">
        <f t="shared" si="2"/>
        <v>1.1069900275078117E-2</v>
      </c>
      <c r="M7" s="15">
        <f t="shared" si="2"/>
        <v>0.23101237402044117</v>
      </c>
      <c r="N7" s="15">
        <f t="shared" si="2"/>
        <v>3.1261237654757148E-4</v>
      </c>
      <c r="O7" s="15">
        <f t="shared" si="2"/>
        <v>0.12569376584959863</v>
      </c>
      <c r="P7" s="15">
        <f t="shared" si="2"/>
        <v>2.8004229673093878E-2</v>
      </c>
      <c r="Q7" s="18"/>
    </row>
    <row r="8" spans="1:17" ht="15" customHeight="1" x14ac:dyDescent="0.2">
      <c r="A8" s="33"/>
      <c r="B8" s="33"/>
      <c r="C8" s="33"/>
      <c r="D8" s="40"/>
      <c r="I8" s="33"/>
      <c r="J8" s="9"/>
      <c r="K8" s="9"/>
      <c r="L8" s="9"/>
      <c r="M8" s="9"/>
      <c r="N8" s="10"/>
      <c r="O8" s="9"/>
      <c r="P8" s="9"/>
    </row>
    <row r="9" spans="1:17" ht="15" customHeight="1" x14ac:dyDescent="0.2">
      <c r="J9" s="46"/>
      <c r="K9" s="46"/>
      <c r="L9" s="46"/>
      <c r="M9" s="46"/>
      <c r="N9" s="46"/>
    </row>
    <row r="10" spans="1:17" ht="15" customHeight="1" x14ac:dyDescent="0.25">
      <c r="A10" s="45"/>
      <c r="B10" s="45"/>
      <c r="C10" s="45"/>
      <c r="D10" s="45"/>
      <c r="E10" s="45"/>
      <c r="F10" s="45"/>
      <c r="G10" s="45"/>
      <c r="H10" s="45"/>
    </row>
  </sheetData>
  <sheetProtection password="B056" sheet="1" objects="1" scenarios="1"/>
  <mergeCells count="11">
    <mergeCell ref="A7:I7"/>
    <mergeCell ref="I2:I3"/>
    <mergeCell ref="J2:P2"/>
    <mergeCell ref="A2:A3"/>
    <mergeCell ref="D2:D3"/>
    <mergeCell ref="E2:E3"/>
    <mergeCell ref="H2:H3"/>
    <mergeCell ref="F2:F3"/>
    <mergeCell ref="G2:G3"/>
    <mergeCell ref="B2:B3"/>
    <mergeCell ref="C2:C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'FE-Maq Equip'!$B$3:$B$17</xm:f>
          </x14:formula1>
          <xm:sqref>E4:E6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workbookViewId="0">
      <selection activeCell="E25" sqref="E25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11" width="11" customWidth="1"/>
  </cols>
  <sheetData>
    <row r="1" spans="1:12" x14ac:dyDescent="0.25">
      <c r="A1" s="3" t="s">
        <v>138</v>
      </c>
    </row>
    <row r="3" spans="1:12" ht="15" customHeight="1" x14ac:dyDescent="0.25">
      <c r="A3" s="153" t="s">
        <v>0</v>
      </c>
      <c r="B3" s="150" t="s">
        <v>163</v>
      </c>
      <c r="C3" s="150" t="s">
        <v>164</v>
      </c>
      <c r="D3" s="154" t="s">
        <v>148</v>
      </c>
      <c r="E3" s="155" t="s">
        <v>149</v>
      </c>
      <c r="F3" s="157" t="s">
        <v>150</v>
      </c>
      <c r="G3" s="158"/>
      <c r="H3" s="159"/>
      <c r="I3" s="157" t="s">
        <v>1</v>
      </c>
      <c r="J3" s="158"/>
      <c r="K3" s="159"/>
    </row>
    <row r="4" spans="1:12" x14ac:dyDescent="0.25">
      <c r="A4" s="153"/>
      <c r="B4" s="150"/>
      <c r="C4" s="150"/>
      <c r="D4" s="154"/>
      <c r="E4" s="156"/>
      <c r="F4" s="35" t="s">
        <v>35</v>
      </c>
      <c r="G4" s="35" t="s">
        <v>58</v>
      </c>
      <c r="H4" s="35" t="s">
        <v>59</v>
      </c>
      <c r="I4" s="35" t="s">
        <v>35</v>
      </c>
      <c r="J4" s="35" t="s">
        <v>58</v>
      </c>
      <c r="K4" s="35" t="s">
        <v>59</v>
      </c>
    </row>
    <row r="5" spans="1:12" x14ac:dyDescent="0.25">
      <c r="A5" s="19" t="s">
        <v>139</v>
      </c>
      <c r="B5" s="92">
        <v>-20.387703999999999</v>
      </c>
      <c r="C5" s="92">
        <v>-40.334135000000003</v>
      </c>
      <c r="D5" s="53">
        <f>Dados!$B$10*Dados!$B$5/8760</f>
        <v>58.684931506849317</v>
      </c>
      <c r="E5" s="90">
        <v>1</v>
      </c>
      <c r="F5" s="88">
        <f>'FE-Transferências'!$B$3*0.0016*(($B$12/2.2)^1.3)/(($E5/2)^1.4)</f>
        <v>7.2282377015546288E-3</v>
      </c>
      <c r="G5" s="88">
        <f>'FE-Transferências'!$C$3*0.0016*(($B$12/2.2)^1.3)/(($E5/2)^1.4)</f>
        <v>3.418761075059621E-3</v>
      </c>
      <c r="H5" s="88">
        <f>'FE-Transferências'!$D$3*0.0016*(($B$12/2.2)^1.3)/(($E5/2)^1.4)</f>
        <v>5.176981056518856E-4</v>
      </c>
      <c r="I5" s="42">
        <f>F5*$D5</f>
        <v>0.42418863443095933</v>
      </c>
      <c r="J5" s="42">
        <f>G5*$D5</f>
        <v>0.2006297595281564</v>
      </c>
      <c r="K5" s="42">
        <f>H5*$D5</f>
        <v>3.0381077871406547E-2</v>
      </c>
    </row>
    <row r="6" spans="1:12" x14ac:dyDescent="0.25">
      <c r="A6" s="59" t="s">
        <v>140</v>
      </c>
      <c r="B6" s="92">
        <v>-20.387703999999999</v>
      </c>
      <c r="C6" s="92">
        <v>-40.334135000000003</v>
      </c>
      <c r="D6" s="53">
        <f>Dados!$B$10*Dados!$B$5/8760</f>
        <v>58.684931506849317</v>
      </c>
      <c r="E6" s="90">
        <v>1</v>
      </c>
      <c r="F6" s="89">
        <f>'FE-Transferências'!$B$3*0.0016*(($B$12/2.2)^1.3)/(($E6/2)^1.4)</f>
        <v>7.2282377015546288E-3</v>
      </c>
      <c r="G6" s="88">
        <f>'FE-Transferências'!$C$3*0.0016*(($B$12/2.2)^1.3)/(($E6/2)^1.4)</f>
        <v>3.418761075059621E-3</v>
      </c>
      <c r="H6" s="88">
        <f>'FE-Transferências'!$D$3*0.0016*(($B$12/2.2)^1.3)/(($E6/2)^1.4)</f>
        <v>5.176981056518856E-4</v>
      </c>
      <c r="I6" s="42">
        <f t="shared" ref="I6:I8" si="0">F6*$D6</f>
        <v>0.42418863443095933</v>
      </c>
      <c r="J6" s="42">
        <f t="shared" ref="J6:J8" si="1">G6*$D6</f>
        <v>0.2006297595281564</v>
      </c>
      <c r="K6" s="42">
        <f t="shared" ref="K6:K8" si="2">H6*$D6</f>
        <v>3.0381077871406547E-2</v>
      </c>
    </row>
    <row r="7" spans="1:12" x14ac:dyDescent="0.25">
      <c r="A7" s="59" t="s">
        <v>141</v>
      </c>
      <c r="B7" s="92">
        <v>-20.387703999999999</v>
      </c>
      <c r="C7" s="92">
        <v>-40.334135000000003</v>
      </c>
      <c r="D7" s="53">
        <f>Dados!$B$10*Dados!$B$5/8760</f>
        <v>58.684931506849317</v>
      </c>
      <c r="E7" s="90">
        <v>1</v>
      </c>
      <c r="F7" s="89">
        <f>'FE-Transferências'!$B$3*0.0016*(($B$12/2.2)^1.3)/(($E7/2)^1.4)</f>
        <v>7.2282377015546288E-3</v>
      </c>
      <c r="G7" s="88">
        <f>'FE-Transferências'!$C$3*0.0016*(($B$12/2.2)^1.3)/(($E7/2)^1.4)</f>
        <v>3.418761075059621E-3</v>
      </c>
      <c r="H7" s="88">
        <f>'FE-Transferências'!$D$3*0.0016*(($B$12/2.2)^1.3)/(($E7/2)^1.4)</f>
        <v>5.176981056518856E-4</v>
      </c>
      <c r="I7" s="42">
        <f t="shared" si="0"/>
        <v>0.42418863443095933</v>
      </c>
      <c r="J7" s="42">
        <f t="shared" si="1"/>
        <v>0.2006297595281564</v>
      </c>
      <c r="K7" s="42">
        <f t="shared" si="2"/>
        <v>3.0381077871406547E-2</v>
      </c>
    </row>
    <row r="8" spans="1:12" x14ac:dyDescent="0.25">
      <c r="A8" s="59" t="s">
        <v>142</v>
      </c>
      <c r="B8" s="92">
        <v>-20.387703999999999</v>
      </c>
      <c r="C8" s="92">
        <v>-40.334135000000003</v>
      </c>
      <c r="D8" s="53">
        <f>Dados!$B$10*Dados!$B$5/8760</f>
        <v>58.684931506849317</v>
      </c>
      <c r="E8" s="90">
        <v>1</v>
      </c>
      <c r="F8" s="89">
        <f>'FE-Transferências'!$B$3*0.0016*(($B$12/2.2)^1.3)/(($E8/2)^1.4)</f>
        <v>7.2282377015546288E-3</v>
      </c>
      <c r="G8" s="88">
        <f>'FE-Transferências'!$C$3*0.0016*(($B$12/2.2)^1.3)/(($E8/2)^1.4)</f>
        <v>3.418761075059621E-3</v>
      </c>
      <c r="H8" s="88">
        <f>'FE-Transferências'!$D$3*0.0016*(($B$12/2.2)^1.3)/(($E8/2)^1.4)</f>
        <v>5.176981056518856E-4</v>
      </c>
      <c r="I8" s="42">
        <f t="shared" si="0"/>
        <v>0.42418863443095933</v>
      </c>
      <c r="J8" s="42">
        <f t="shared" si="1"/>
        <v>0.2006297595281564</v>
      </c>
      <c r="K8" s="42">
        <f t="shared" si="2"/>
        <v>3.0381077871406547E-2</v>
      </c>
      <c r="L8" s="33"/>
    </row>
    <row r="9" spans="1:12" x14ac:dyDescent="0.25">
      <c r="A9" s="59" t="s">
        <v>143</v>
      </c>
      <c r="B9" s="92">
        <v>-20.387703999999999</v>
      </c>
      <c r="C9" s="92">
        <v>-40.334135000000003</v>
      </c>
      <c r="D9" s="53">
        <f>Dados!$B$10*Dados!$B$5/8760</f>
        <v>58.684931506849317</v>
      </c>
      <c r="E9" s="90">
        <v>1</v>
      </c>
      <c r="F9" s="89">
        <f>'FE-Transferências'!$B$3*0.0016*(($B$12/2.2)^1.3)/(($E9/2)^1.4)</f>
        <v>7.2282377015546288E-3</v>
      </c>
      <c r="G9" s="88">
        <f>'FE-Transferências'!$C$3*0.0016*(($B$12/2.2)^1.3)/(($E9/2)^1.4)</f>
        <v>3.418761075059621E-3</v>
      </c>
      <c r="H9" s="88">
        <f>'FE-Transferências'!$D$3*0.0016*(($B$12/2.2)^1.3)/(($E9/2)^1.4)</f>
        <v>5.176981056518856E-4</v>
      </c>
      <c r="I9" s="42">
        <f t="shared" ref="I9" si="3">F9*$D9</f>
        <v>0.42418863443095933</v>
      </c>
      <c r="J9" s="42">
        <f t="shared" ref="J9" si="4">G9*$D9</f>
        <v>0.2006297595281564</v>
      </c>
      <c r="K9" s="42">
        <f t="shared" ref="K9" si="5">H9*$D9</f>
        <v>3.0381077871406547E-2</v>
      </c>
      <c r="L9" s="33"/>
    </row>
    <row r="10" spans="1:12" x14ac:dyDescent="0.25">
      <c r="A10" s="151" t="s">
        <v>159</v>
      </c>
      <c r="B10" s="151"/>
      <c r="C10" s="151"/>
      <c r="D10" s="151"/>
      <c r="E10" s="151"/>
      <c r="F10" s="151"/>
      <c r="G10" s="151"/>
      <c r="H10" s="152"/>
      <c r="I10" s="30">
        <f>SUM(I5:I9)</f>
        <v>2.1209431721547967</v>
      </c>
      <c r="J10" s="30">
        <f t="shared" ref="J10:K10" si="6">SUM(J5:J9)</f>
        <v>1.003148797640782</v>
      </c>
      <c r="K10" s="30">
        <f t="shared" si="6"/>
        <v>0.15190538935703274</v>
      </c>
      <c r="L10" s="20"/>
    </row>
    <row r="11" spans="1:12" x14ac:dyDescent="0.25">
      <c r="C11" s="33"/>
      <c r="D11" s="33"/>
      <c r="E11" s="33"/>
    </row>
    <row r="12" spans="1:12" x14ac:dyDescent="0.25">
      <c r="A12" s="32" t="s">
        <v>41</v>
      </c>
      <c r="B12" s="101">
        <v>4.1937865160171146</v>
      </c>
      <c r="E12" s="33"/>
    </row>
    <row r="14" spans="1:12" x14ac:dyDescent="0.25">
      <c r="A14" s="1"/>
    </row>
    <row r="16" spans="1:12" x14ac:dyDescent="0.25">
      <c r="A16" s="33"/>
    </row>
  </sheetData>
  <sheetProtection password="B056" sheet="1" objects="1" scenarios="1"/>
  <mergeCells count="8">
    <mergeCell ref="A10:H10"/>
    <mergeCell ref="A3:A4"/>
    <mergeCell ref="D3:D4"/>
    <mergeCell ref="E3:E4"/>
    <mergeCell ref="I3:K3"/>
    <mergeCell ref="F3:H3"/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zoomScaleNormal="100" workbookViewId="0">
      <selection activeCell="E25" sqref="E25"/>
    </sheetView>
  </sheetViews>
  <sheetFormatPr defaultRowHeight="15" x14ac:dyDescent="0.25"/>
  <cols>
    <col min="1" max="1" width="52.140625" bestFit="1" customWidth="1"/>
    <col min="2" max="2" width="16.42578125" customWidth="1"/>
    <col min="3" max="4" width="13.7109375" customWidth="1"/>
    <col min="5" max="5" width="13.140625" customWidth="1"/>
    <col min="6" max="10" width="11.140625" customWidth="1"/>
    <col min="11" max="11" width="9.28515625" customWidth="1"/>
    <col min="12" max="12" width="11" customWidth="1"/>
  </cols>
  <sheetData>
    <row r="1" spans="1:13" ht="18" customHeight="1" x14ac:dyDescent="0.25">
      <c r="A1" s="154" t="s">
        <v>0</v>
      </c>
      <c r="B1" s="150" t="s">
        <v>163</v>
      </c>
      <c r="C1" s="150" t="s">
        <v>164</v>
      </c>
      <c r="D1" s="154" t="s">
        <v>151</v>
      </c>
      <c r="E1" s="154" t="s">
        <v>150</v>
      </c>
      <c r="F1" s="154"/>
      <c r="G1" s="154"/>
      <c r="H1" s="153" t="s">
        <v>1</v>
      </c>
      <c r="I1" s="153"/>
      <c r="J1" s="153"/>
    </row>
    <row r="2" spans="1:13" ht="18" customHeight="1" x14ac:dyDescent="0.25">
      <c r="A2" s="154"/>
      <c r="B2" s="150"/>
      <c r="C2" s="150"/>
      <c r="D2" s="154"/>
      <c r="E2" s="87" t="s">
        <v>35</v>
      </c>
      <c r="F2" s="87" t="s">
        <v>58</v>
      </c>
      <c r="G2" s="87" t="s">
        <v>109</v>
      </c>
      <c r="H2" s="87" t="s">
        <v>35</v>
      </c>
      <c r="I2" s="87" t="s">
        <v>58</v>
      </c>
      <c r="J2" s="87" t="s">
        <v>109</v>
      </c>
    </row>
    <row r="3" spans="1:13" x14ac:dyDescent="0.25">
      <c r="A3" s="4" t="s">
        <v>102</v>
      </c>
      <c r="B3" s="60">
        <v>-20.387703999999999</v>
      </c>
      <c r="C3" s="60">
        <v>-40.334135000000003</v>
      </c>
      <c r="D3" s="78">
        <f>'Emissão Transferências'!D5</f>
        <v>58.684931506849317</v>
      </c>
      <c r="E3" s="52">
        <f>'FE-Britagem e Peneiramento'!B5</f>
        <v>2.7000000000000001E-3</v>
      </c>
      <c r="F3" s="52">
        <f>'FE-Britagem e Peneiramento'!D5</f>
        <v>1.1999999999999999E-3</v>
      </c>
      <c r="G3" s="65">
        <f>('FE-Britagem e Peneiramento'!$F$6/'FE-Britagem e Peneiramento'!$D$6)*'FE-Britagem e Peneiramento'!$D$5</f>
        <v>2.2222222222222223E-4</v>
      </c>
      <c r="H3" s="81">
        <f>D3*E3</f>
        <v>0.15844931506849316</v>
      </c>
      <c r="I3" s="79">
        <f>D3*F3</f>
        <v>7.0421917808219173E-2</v>
      </c>
      <c r="J3" s="80">
        <f>D3*G3</f>
        <v>1.3041095890410959E-2</v>
      </c>
    </row>
    <row r="4" spans="1:13" x14ac:dyDescent="0.25">
      <c r="A4" s="160" t="s">
        <v>160</v>
      </c>
      <c r="B4" s="151"/>
      <c r="C4" s="151"/>
      <c r="D4" s="151"/>
      <c r="E4" s="151"/>
      <c r="F4" s="151"/>
      <c r="G4" s="151"/>
      <c r="H4" s="30">
        <f>SUM(H3:H3)</f>
        <v>0.15844931506849316</v>
      </c>
      <c r="I4" s="30">
        <f>SUM(I3:I3)</f>
        <v>7.0421917808219173E-2</v>
      </c>
      <c r="J4" s="15">
        <f>SUM(J3:J3)</f>
        <v>1.3041095890410959E-2</v>
      </c>
    </row>
    <row r="5" spans="1:13" x14ac:dyDescent="0.25">
      <c r="A5" s="61"/>
      <c r="B5" s="61"/>
      <c r="C5" s="61"/>
      <c r="E5" s="1"/>
      <c r="F5" s="1"/>
      <c r="G5" s="1"/>
      <c r="H5" s="1"/>
      <c r="I5" s="1"/>
      <c r="J5" s="1"/>
      <c r="K5" s="1"/>
      <c r="L5" s="1"/>
    </row>
    <row r="6" spans="1:13" ht="19.5" customHeight="1" x14ac:dyDescent="0.25">
      <c r="A6" s="154" t="s">
        <v>0</v>
      </c>
      <c r="B6" s="150" t="s">
        <v>163</v>
      </c>
      <c r="C6" s="150" t="s">
        <v>164</v>
      </c>
      <c r="D6" s="154" t="s">
        <v>151</v>
      </c>
      <c r="E6" s="154" t="s">
        <v>150</v>
      </c>
      <c r="F6" s="154"/>
      <c r="G6" s="154"/>
      <c r="H6" s="157" t="s">
        <v>1</v>
      </c>
      <c r="I6" s="158"/>
      <c r="J6" s="159"/>
    </row>
    <row r="7" spans="1:13" ht="15.75" customHeight="1" x14ac:dyDescent="0.25">
      <c r="A7" s="154"/>
      <c r="B7" s="150"/>
      <c r="C7" s="150"/>
      <c r="D7" s="154"/>
      <c r="E7" s="58" t="s">
        <v>35</v>
      </c>
      <c r="F7" s="58" t="s">
        <v>58</v>
      </c>
      <c r="G7" s="58" t="s">
        <v>109</v>
      </c>
      <c r="H7" s="58" t="s">
        <v>35</v>
      </c>
      <c r="I7" s="58" t="s">
        <v>58</v>
      </c>
      <c r="J7" s="58" t="s">
        <v>109</v>
      </c>
    </row>
    <row r="8" spans="1:13" x14ac:dyDescent="0.25">
      <c r="A8" s="4" t="s">
        <v>113</v>
      </c>
      <c r="B8" s="60">
        <v>-20.387703999999999</v>
      </c>
      <c r="C8" s="60">
        <v>-40.334135000000003</v>
      </c>
      <c r="D8" s="78">
        <f>'Emissão Transferências'!D7</f>
        <v>58.684931506849317</v>
      </c>
      <c r="E8" s="46">
        <f>'FE-Britagem e Peneiramento'!B7</f>
        <v>1.2500000000000001E-2</v>
      </c>
      <c r="F8" s="46">
        <f>'FE-Britagem e Peneiramento'!D7</f>
        <v>4.3E-3</v>
      </c>
      <c r="G8" s="62">
        <f>('FE-Britagem e Peneiramento'!$F$8/'FE-Britagem e Peneiramento'!$D$8)*'FE-Britagem e Peneiramento'!$D$7</f>
        <v>2.9054054054054054E-4</v>
      </c>
      <c r="H8" s="81">
        <f>D8*E8</f>
        <v>0.73356164383561651</v>
      </c>
      <c r="I8" s="81">
        <f>D8*F8</f>
        <v>0.25234520547945205</v>
      </c>
      <c r="J8" s="42">
        <f>D8*G8</f>
        <v>1.7050351721584599E-2</v>
      </c>
    </row>
    <row r="9" spans="1:13" x14ac:dyDescent="0.25">
      <c r="A9" s="151" t="s">
        <v>161</v>
      </c>
      <c r="B9" s="151"/>
      <c r="C9" s="151"/>
      <c r="D9" s="151"/>
      <c r="E9" s="151"/>
      <c r="F9" s="151"/>
      <c r="G9" s="151"/>
      <c r="H9" s="34">
        <f>SUM(H8:H8)</f>
        <v>0.73356164383561651</v>
      </c>
      <c r="I9" s="34">
        <f>SUM(I8:I8)</f>
        <v>0.25234520547945205</v>
      </c>
      <c r="J9" s="15">
        <f>SUM(J8:J8)</f>
        <v>1.7050351721584599E-2</v>
      </c>
    </row>
    <row r="10" spans="1:13" x14ac:dyDescent="0.25">
      <c r="A10" s="33"/>
      <c r="B10" s="33"/>
      <c r="C10" s="33"/>
      <c r="D10" s="1"/>
      <c r="E10" s="1"/>
      <c r="F10" s="33"/>
      <c r="G10" s="1"/>
      <c r="H10" s="1"/>
      <c r="I10" s="1"/>
      <c r="J10" s="1"/>
      <c r="K10" s="1"/>
      <c r="L10" s="1"/>
      <c r="M10" s="1"/>
    </row>
    <row r="12" spans="1:13" x14ac:dyDescent="0.25">
      <c r="A12" s="1"/>
      <c r="B12" s="1"/>
      <c r="C12" s="1"/>
    </row>
    <row r="14" spans="1:13" x14ac:dyDescent="0.25">
      <c r="A14" s="33"/>
      <c r="B14" s="33"/>
      <c r="C14" s="33"/>
    </row>
    <row r="15" spans="1:13" x14ac:dyDescent="0.25">
      <c r="A15" s="33"/>
      <c r="B15" s="33"/>
      <c r="C15" s="33"/>
    </row>
  </sheetData>
  <sheetProtection password="B056" sheet="1" objects="1" scenarios="1"/>
  <mergeCells count="14">
    <mergeCell ref="A9:G9"/>
    <mergeCell ref="B1:B2"/>
    <mergeCell ref="C1:C2"/>
    <mergeCell ref="B6:B7"/>
    <mergeCell ref="C6:C7"/>
    <mergeCell ref="H1:J1"/>
    <mergeCell ref="E1:G1"/>
    <mergeCell ref="A1:A2"/>
    <mergeCell ref="D1:D2"/>
    <mergeCell ref="H6:J6"/>
    <mergeCell ref="E6:G6"/>
    <mergeCell ref="A6:A7"/>
    <mergeCell ref="D6:D7"/>
    <mergeCell ref="A4:G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zoomScaleNormal="100" workbookViewId="0">
      <selection activeCell="L30" sqref="L30"/>
    </sheetView>
  </sheetViews>
  <sheetFormatPr defaultRowHeight="15" x14ac:dyDescent="0.25"/>
  <cols>
    <col min="1" max="1" width="21.140625" customWidth="1"/>
    <col min="2" max="5" width="13.85546875" customWidth="1"/>
    <col min="6" max="6" width="14.28515625" customWidth="1"/>
    <col min="7" max="7" width="10.42578125" customWidth="1"/>
    <col min="8" max="8" width="11.85546875" customWidth="1"/>
    <col min="9" max="11" width="14.85546875" customWidth="1"/>
    <col min="12" max="14" width="13.7109375" customWidth="1"/>
  </cols>
  <sheetData>
    <row r="1" spans="1:28" x14ac:dyDescent="0.25">
      <c r="A1" s="3" t="s">
        <v>138</v>
      </c>
    </row>
    <row r="2" spans="1:28" ht="15" customHeight="1" x14ac:dyDescent="0.25">
      <c r="A2" s="154" t="s">
        <v>43</v>
      </c>
      <c r="B2" s="154" t="s">
        <v>24</v>
      </c>
      <c r="C2" s="150" t="s">
        <v>163</v>
      </c>
      <c r="D2" s="150" t="s">
        <v>164</v>
      </c>
      <c r="E2" s="154" t="s">
        <v>152</v>
      </c>
      <c r="F2" s="154" t="s">
        <v>153</v>
      </c>
      <c r="G2" s="154" t="s">
        <v>154</v>
      </c>
      <c r="H2" s="155" t="s">
        <v>155</v>
      </c>
      <c r="I2" s="161" t="s">
        <v>156</v>
      </c>
      <c r="J2" s="155" t="s">
        <v>99</v>
      </c>
      <c r="K2" s="155" t="s">
        <v>95</v>
      </c>
      <c r="L2" s="163" t="s">
        <v>157</v>
      </c>
      <c r="M2" s="164"/>
      <c r="N2" s="164"/>
      <c r="O2" s="154" t="s">
        <v>158</v>
      </c>
      <c r="P2" s="154"/>
      <c r="Q2" s="154"/>
      <c r="R2" s="154"/>
      <c r="S2" s="154"/>
      <c r="T2" s="154"/>
      <c r="U2" s="154"/>
      <c r="V2" s="153" t="s">
        <v>1</v>
      </c>
      <c r="W2" s="153"/>
      <c r="X2" s="153"/>
      <c r="Y2" s="153"/>
      <c r="Z2" s="153"/>
      <c r="AA2" s="153"/>
      <c r="AB2" s="153"/>
    </row>
    <row r="3" spans="1:28" x14ac:dyDescent="0.25">
      <c r="A3" s="154"/>
      <c r="B3" s="154"/>
      <c r="C3" s="150"/>
      <c r="D3" s="150"/>
      <c r="E3" s="154"/>
      <c r="F3" s="154"/>
      <c r="G3" s="154"/>
      <c r="H3" s="156"/>
      <c r="I3" s="162"/>
      <c r="J3" s="156"/>
      <c r="K3" s="156"/>
      <c r="L3" s="35" t="s">
        <v>2</v>
      </c>
      <c r="M3" s="35" t="s">
        <v>3</v>
      </c>
      <c r="N3" s="38" t="s">
        <v>20</v>
      </c>
      <c r="O3" s="35" t="s">
        <v>2</v>
      </c>
      <c r="P3" s="35" t="s">
        <v>3</v>
      </c>
      <c r="Q3" s="35" t="s">
        <v>20</v>
      </c>
      <c r="R3" s="35" t="s">
        <v>5</v>
      </c>
      <c r="S3" s="35" t="s">
        <v>6</v>
      </c>
      <c r="T3" s="35" t="s">
        <v>4</v>
      </c>
      <c r="U3" s="98" t="s">
        <v>162</v>
      </c>
      <c r="V3" s="35" t="s">
        <v>2</v>
      </c>
      <c r="W3" s="35" t="s">
        <v>3</v>
      </c>
      <c r="X3" s="35" t="s">
        <v>20</v>
      </c>
      <c r="Y3" s="35" t="s">
        <v>5</v>
      </c>
      <c r="Z3" s="35" t="s">
        <v>6</v>
      </c>
      <c r="AA3" s="35" t="s">
        <v>4</v>
      </c>
      <c r="AB3" s="35" t="s">
        <v>162</v>
      </c>
    </row>
    <row r="4" spans="1:28" s="47" customFormat="1" x14ac:dyDescent="0.25">
      <c r="A4" s="82" t="s">
        <v>115</v>
      </c>
      <c r="B4" s="6" t="s">
        <v>44</v>
      </c>
      <c r="C4" s="6">
        <v>-20.387933</v>
      </c>
      <c r="D4" s="6">
        <v>-40.334614999999999</v>
      </c>
      <c r="E4" s="6">
        <v>327</v>
      </c>
      <c r="F4" s="91">
        <f>30/24</f>
        <v>1.25</v>
      </c>
      <c r="G4" s="76">
        <f>2*(E4*F4/1000)</f>
        <v>0.8175</v>
      </c>
      <c r="H4" s="6">
        <v>8.5</v>
      </c>
      <c r="I4" s="6">
        <v>12</v>
      </c>
      <c r="J4" s="6" t="s">
        <v>114</v>
      </c>
      <c r="K4" s="6">
        <v>30</v>
      </c>
      <c r="L4" s="76">
        <f>('FE-Vias'!$D$6*((H4/12)^'FE-Vias'!$D$7)*((I4/3)^'FE-Vias'!$D$8)*'FE-Vias'!$B$9/1000)*'FE-Vias'!$G$16</f>
        <v>1.5144478058855859</v>
      </c>
      <c r="M4" s="76">
        <f>('FE-Vias'!$C$6*((H4/12)^'FE-Vias'!$C$7)*((I4/3)^'FE-Vias'!$C$8)*'FE-Vias'!$B$9/1000)*'FE-Vias'!$G$16</f>
        <v>0.43271009303614272</v>
      </c>
      <c r="N4" s="76">
        <f>('FE-Vias'!$B$6*((H4/12)^'FE-Vias'!$B$7)*((I4/3)^'FE-Vias'!$B$8)*'FE-Vias'!$B$9/1000)*'FE-Vias'!$G$16</f>
        <v>4.3271009303614265E-2</v>
      </c>
      <c r="O4" s="44">
        <f>'FE-Vias'!B24/1000</f>
        <v>1.7489827604766657E-4</v>
      </c>
      <c r="P4" s="44">
        <f>'FE-Vias'!C24/1000</f>
        <v>1.7489827604766657E-4</v>
      </c>
      <c r="Q4" s="44">
        <f>'FE-Vias'!D24/1000</f>
        <v>1.7489827604766657E-4</v>
      </c>
      <c r="R4" s="44">
        <f>'FE-Vias'!E24/1000</f>
        <v>5.4345140567386742E-3</v>
      </c>
      <c r="S4" s="44">
        <f>'FE-Vias'!$F$24/1000</f>
        <v>2.1032135261668511E-4</v>
      </c>
      <c r="T4" s="44">
        <f>'FE-Vias'!$G$24/1000</f>
        <v>1.0383730075038094E-3</v>
      </c>
      <c r="U4" s="44">
        <f>'FE-Vias'!H24/1000</f>
        <v>2.4766340643796463E-4</v>
      </c>
      <c r="V4" s="39">
        <f>(L4*G4*(1-K4/100))+(O4*G4)</f>
        <v>0.86678573625869548</v>
      </c>
      <c r="W4" s="39">
        <f>(M4*G4*(1-K4/100))+(P4*G4)</f>
        <v>0.24776133008060164</v>
      </c>
      <c r="X4" s="39">
        <f>(N4*G4*(1-K4/100))+(Q4*G4)</f>
        <v>2.4904814414662229E-2</v>
      </c>
      <c r="Y4" s="39">
        <f>R4*G4</f>
        <v>4.4427152413838659E-3</v>
      </c>
      <c r="Z4" s="39">
        <f>S4*G4</f>
        <v>1.7193770576414007E-4</v>
      </c>
      <c r="AA4" s="39">
        <f>T4*G4</f>
        <v>8.4886993363436419E-4</v>
      </c>
      <c r="AB4" s="39">
        <f>U4*G4</f>
        <v>2.0246483476303608E-4</v>
      </c>
    </row>
    <row r="5" spans="1:28" s="47" customFormat="1" x14ac:dyDescent="0.25">
      <c r="A5" s="82" t="s">
        <v>116</v>
      </c>
      <c r="B5" s="6" t="s">
        <v>44</v>
      </c>
      <c r="C5" s="6">
        <v>-20.386645999999999</v>
      </c>
      <c r="D5" s="6">
        <v>-40.334114999999997</v>
      </c>
      <c r="E5" s="6">
        <v>175</v>
      </c>
      <c r="F5" s="91">
        <f>30/24</f>
        <v>1.25</v>
      </c>
      <c r="G5" s="76">
        <f>2*(E5*F5/1000)</f>
        <v>0.4375</v>
      </c>
      <c r="H5" s="6">
        <v>8.5</v>
      </c>
      <c r="I5" s="6">
        <v>12</v>
      </c>
      <c r="J5" s="6" t="s">
        <v>114</v>
      </c>
      <c r="K5" s="6">
        <v>30</v>
      </c>
      <c r="L5" s="76">
        <f>('FE-Vias'!$D$6*((H5/12)^'FE-Vias'!$D$7)*((I5/3)^'FE-Vias'!$D$8)*'FE-Vias'!$B$9/1000)*'FE-Vias'!$G$16</f>
        <v>1.5144478058855859</v>
      </c>
      <c r="M5" s="76">
        <f>('FE-Vias'!$C$6*((H5/12)^'FE-Vias'!$C$7)*((I5/3)^'FE-Vias'!$C$8)*'FE-Vias'!$B$9/1000)*'FE-Vias'!$G$16</f>
        <v>0.43271009303614272</v>
      </c>
      <c r="N5" s="76">
        <f>('FE-Vias'!$B$6*((H5/12)^'FE-Vias'!$B$7)*((I5/3)^'FE-Vias'!$B$8)*'FE-Vias'!$B$9/1000)*'FE-Vias'!$G$16</f>
        <v>4.3271009303614265E-2</v>
      </c>
      <c r="O5" s="44">
        <f>'FE-Vias'!$B$24/1000</f>
        <v>1.7489827604766657E-4</v>
      </c>
      <c r="P5" s="44">
        <f>'FE-Vias'!$C$24/1000</f>
        <v>1.7489827604766657E-4</v>
      </c>
      <c r="Q5" s="44">
        <f>'FE-Vias'!$D$24/1000</f>
        <v>1.7489827604766657E-4</v>
      </c>
      <c r="R5" s="44">
        <f>'FE-Vias'!$E$24/1000</f>
        <v>5.4345140567386742E-3</v>
      </c>
      <c r="S5" s="44">
        <f>'FE-Vias'!$F$24/1000</f>
        <v>2.1032135261668511E-4</v>
      </c>
      <c r="T5" s="44">
        <f>'FE-Vias'!$G$24/1000</f>
        <v>1.0383730075038094E-3</v>
      </c>
      <c r="U5" s="44">
        <f>'FE-Vias'!$H$24/1000</f>
        <v>2.4766340643796463E-4</v>
      </c>
      <c r="V5" s="39">
        <f>(L5*G5*(1-K5/100))+(O5*G5)</f>
        <v>0.4638761585482315</v>
      </c>
      <c r="W5" s="39">
        <f>(M5*G5*(1-K5/100))+(P5*G5)</f>
        <v>0.13259398398808955</v>
      </c>
      <c r="X5" s="39">
        <f>(N5*G5*(1-K5/100))+(Q5*G5)</f>
        <v>1.3328264595002722E-2</v>
      </c>
      <c r="Y5" s="39">
        <f>R5*G5</f>
        <v>2.3775998998231702E-3</v>
      </c>
      <c r="Z5" s="39">
        <f>S5*G5</f>
        <v>9.201559176979974E-5</v>
      </c>
      <c r="AA5" s="39">
        <f>T5*G5</f>
        <v>4.542881907829166E-4</v>
      </c>
      <c r="AB5" s="39">
        <f>U5*G5</f>
        <v>1.0835274031660952E-4</v>
      </c>
    </row>
    <row r="6" spans="1:28" x14ac:dyDescent="0.25">
      <c r="A6" s="145" t="s">
        <v>159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5">
        <f t="shared" ref="V6:AB6" si="0">SUM(V4:V5)</f>
        <v>1.3306618948069269</v>
      </c>
      <c r="W6" s="15">
        <f t="shared" si="0"/>
        <v>0.38035531406869116</v>
      </c>
      <c r="X6" s="15">
        <f t="shared" si="0"/>
        <v>3.8233079009664953E-2</v>
      </c>
      <c r="Y6" s="15">
        <f>SUM(Y4:Y5)</f>
        <v>6.8203151412070361E-3</v>
      </c>
      <c r="Z6" s="15">
        <f>SUM(Z4:Z5)</f>
        <v>2.639532975339398E-4</v>
      </c>
      <c r="AA6" s="15">
        <f t="shared" si="0"/>
        <v>1.3031581244172807E-3</v>
      </c>
      <c r="AB6" s="15">
        <f t="shared" si="0"/>
        <v>3.108175750796456E-4</v>
      </c>
    </row>
    <row r="7" spans="1:28" x14ac:dyDescent="0.25">
      <c r="H7" s="33"/>
      <c r="I7" s="33"/>
      <c r="J7" s="33"/>
    </row>
    <row r="8" spans="1:28" x14ac:dyDescent="0.25">
      <c r="B8" s="75"/>
      <c r="F8" s="33"/>
    </row>
    <row r="9" spans="1:28" x14ac:dyDescent="0.25">
      <c r="F9" s="33"/>
    </row>
  </sheetData>
  <sheetProtection password="B056" sheet="1" objects="1" scenarios="1"/>
  <mergeCells count="15">
    <mergeCell ref="A6:U6"/>
    <mergeCell ref="A2:A3"/>
    <mergeCell ref="B2:B3"/>
    <mergeCell ref="C2:C3"/>
    <mergeCell ref="D2:D3"/>
    <mergeCell ref="E2:E3"/>
    <mergeCell ref="V2:AB2"/>
    <mergeCell ref="F2:F3"/>
    <mergeCell ref="G2:G3"/>
    <mergeCell ref="H2:H3"/>
    <mergeCell ref="I2:I3"/>
    <mergeCell ref="L2:N2"/>
    <mergeCell ref="O2:U2"/>
    <mergeCell ref="K2:K3"/>
    <mergeCell ref="J2:J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Dados</vt:lpstr>
      <vt:lpstr>FE-Transferências</vt:lpstr>
      <vt:lpstr>FE-Maq Equip</vt:lpstr>
      <vt:lpstr>FE-Britagem e Peneiramento</vt:lpstr>
      <vt:lpstr>FE-Vias</vt:lpstr>
      <vt:lpstr>Emissão Maq e Equip</vt:lpstr>
      <vt:lpstr>Emissão Transferências</vt:lpstr>
      <vt:lpstr>Emissão Britagem e Peneiramento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2019-06-06T20:48:14Z</dcterms:modified>
</cp:coreProperties>
</file>