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Novapol\"/>
    </mc:Choice>
  </mc:AlternateContent>
  <bookViews>
    <workbookView xWindow="0" yWindow="0" windowWidth="24000" windowHeight="9735" tabRatio="708" activeTab="7"/>
  </bookViews>
  <sheets>
    <sheet name="Plan1" sheetId="5" r:id="rId1"/>
    <sheet name="FE - Combustão" sheetId="2" r:id="rId2"/>
    <sheet name="Monitoramento" sheetId="3" r:id="rId3"/>
    <sheet name="Tanques" sheetId="7" r:id="rId4"/>
    <sheet name="Flanges" sheetId="8" r:id="rId5"/>
    <sheet name="Emissão Produção" sheetId="9" r:id="rId6"/>
    <sheet name="Emissão Chaminés" sheetId="1" r:id="rId7"/>
    <sheet name="Resumo" sheetId="10"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9" l="1"/>
  <c r="B14" i="9" l="1"/>
  <c r="C7" i="10"/>
  <c r="D7" i="10"/>
  <c r="E7" i="10"/>
  <c r="F7" i="10"/>
  <c r="F8" i="10" s="1"/>
  <c r="G7" i="10"/>
  <c r="H7" i="10"/>
  <c r="B7" i="10"/>
  <c r="B8" i="10" s="1"/>
  <c r="G8" i="10" l="1"/>
  <c r="C8" i="10"/>
  <c r="D8" i="10"/>
  <c r="E8" i="10"/>
  <c r="T10" i="7"/>
  <c r="U10" i="7" s="1"/>
  <c r="T11" i="7"/>
  <c r="U11" i="7" s="1"/>
  <c r="T9" i="7"/>
  <c r="U9" i="7" s="1"/>
  <c r="U12" i="7" s="1"/>
  <c r="T12" i="7" l="1"/>
  <c r="H3" i="10" s="1"/>
  <c r="D8" i="9"/>
  <c r="D6" i="8" l="1"/>
  <c r="D7" i="8"/>
  <c r="D8" i="8"/>
  <c r="D9" i="8"/>
  <c r="D5" i="8"/>
  <c r="D10" i="8" l="1"/>
  <c r="H4" i="10" s="1"/>
  <c r="B15" i="5"/>
  <c r="C14" i="9" s="1"/>
  <c r="D14" i="9" s="1"/>
  <c r="H6" i="10" s="1"/>
  <c r="Q8" i="1" l="1"/>
  <c r="I8" i="1"/>
  <c r="I9" i="1"/>
  <c r="Q10" i="7"/>
  <c r="Q11" i="7"/>
  <c r="Q9" i="7"/>
  <c r="O10" i="7"/>
  <c r="O11" i="7"/>
  <c r="O9" i="7"/>
  <c r="M10" i="7"/>
  <c r="M11" i="7"/>
  <c r="M9" i="7"/>
  <c r="L10" i="7"/>
  <c r="L11" i="7"/>
  <c r="L9" i="7"/>
  <c r="R9" i="7" s="1"/>
  <c r="J10" i="7"/>
  <c r="J11" i="7"/>
  <c r="J9" i="7"/>
  <c r="H10" i="7"/>
  <c r="H11" i="7"/>
  <c r="H9" i="7"/>
  <c r="R10" i="7" l="1"/>
  <c r="R11" i="7"/>
  <c r="G12" i="5" l="1"/>
  <c r="B3" i="9" s="1"/>
  <c r="D3" i="9" s="1"/>
  <c r="D9" i="9" l="1"/>
  <c r="H5" i="10" s="1"/>
  <c r="H8" i="10" s="1"/>
  <c r="Q9" i="1"/>
  <c r="W8" i="1"/>
  <c r="P9" i="1"/>
  <c r="N9" i="1"/>
  <c r="M9" i="1"/>
  <c r="O8" i="1"/>
  <c r="C46" i="2"/>
  <c r="K33" i="2"/>
  <c r="J9" i="1" s="1"/>
  <c r="H33" i="2"/>
  <c r="O9" i="1" s="1"/>
  <c r="E33" i="2"/>
  <c r="D25" i="2"/>
  <c r="D24" i="2"/>
  <c r="L9" i="1" s="1"/>
  <c r="S9" i="1" s="1"/>
  <c r="D23" i="2"/>
  <c r="K9" i="1" s="1"/>
  <c r="C15" i="2"/>
  <c r="J8" i="1" s="1"/>
  <c r="C14" i="2"/>
  <c r="P8" i="1" s="1"/>
  <c r="C13" i="2"/>
  <c r="N8" i="1" s="1"/>
  <c r="D6" i="2"/>
  <c r="D5" i="2"/>
  <c r="M8" i="1" s="1"/>
  <c r="T8" i="1" s="1"/>
  <c r="U9" i="1" l="1"/>
  <c r="W9" i="1"/>
  <c r="W10" i="1" s="1"/>
  <c r="V9" i="1"/>
  <c r="U8" i="1" l="1"/>
  <c r="U10" i="1" s="1"/>
  <c r="R9" i="1"/>
  <c r="T9" i="1"/>
  <c r="T10" i="1" s="1"/>
  <c r="Q10" i="1"/>
  <c r="V8" i="1"/>
  <c r="V10" i="1" s="1"/>
  <c r="R8" i="1" l="1"/>
  <c r="R10" i="1" s="1"/>
  <c r="S8" i="1"/>
  <c r="S10" i="1" s="1"/>
  <c r="D9" i="1"/>
  <c r="D8" i="1" l="1"/>
</calcChain>
</file>

<file path=xl/comments1.xml><?xml version="1.0" encoding="utf-8"?>
<comments xmlns="http://schemas.openxmlformats.org/spreadsheetml/2006/main">
  <authors>
    <author>Julius</author>
    <author>Andrielly Moutinho Knupp</author>
  </authors>
  <commentList>
    <comment ref="D4" authorId="0" shapeId="0">
      <text>
        <r>
          <rPr>
            <sz val="9"/>
            <color indexed="81"/>
            <rFont val="Tahoma"/>
            <family val="2"/>
          </rPr>
          <t xml:space="preserve">15 ºC e 1 atm
</t>
        </r>
        <r>
          <rPr>
            <sz val="9"/>
            <color indexed="81"/>
            <rFont val="Tahoma"/>
            <family val="2"/>
          </rPr>
          <t xml:space="preserve">
fator de conversão de lb/106 sfc para kg/106 m³ = 16
</t>
        </r>
      </text>
    </comment>
    <comment ref="B5" authorId="1" shapeId="0">
      <text>
        <r>
          <rPr>
            <sz val="9"/>
            <color indexed="81"/>
            <rFont val="Segoe UI"/>
            <family val="2"/>
          </rPr>
          <t>Expresso como NO2</t>
        </r>
      </text>
    </comment>
    <comment ref="C12" authorId="1" shapeId="0">
      <text>
        <r>
          <rPr>
            <sz val="9"/>
            <color indexed="81"/>
            <rFont val="Segoe UI"/>
            <family val="2"/>
          </rPr>
          <t>15 ºC e 1 atm</t>
        </r>
        <r>
          <rPr>
            <b/>
            <sz val="9"/>
            <color indexed="81"/>
            <rFont val="Segoe UI"/>
            <family val="2"/>
          </rPr>
          <t xml:space="preserve">
</t>
        </r>
        <r>
          <rPr>
            <sz val="9"/>
            <color indexed="81"/>
            <rFont val="Segoe UI"/>
            <family val="2"/>
          </rPr>
          <t>fator de conversão de lb/106 sfc para kg/106 m³ = 16</t>
        </r>
        <r>
          <rPr>
            <b/>
            <sz val="9"/>
            <color indexed="81"/>
            <rFont val="Segoe UI"/>
            <family val="2"/>
          </rPr>
          <t xml:space="preserve">
</t>
        </r>
      </text>
    </comment>
  </commentList>
</comments>
</file>

<file path=xl/comments2.xml><?xml version="1.0" encoding="utf-8"?>
<comments xmlns="http://schemas.openxmlformats.org/spreadsheetml/2006/main">
  <authors>
    <author>Tatiane Jardim Morais</author>
  </authors>
  <commentList>
    <comment ref="Q7" authorId="0" shapeId="0">
      <text>
        <r>
          <rPr>
            <sz val="9"/>
            <color indexed="81"/>
            <rFont val="Segoe UI"/>
            <family val="2"/>
          </rPr>
          <t>Conversão de t/ano para bbl/ano:
http://www.portalnaval.com.br/media/tabela/conversao_petroleo_gas_1.pdf</t>
        </r>
      </text>
    </comment>
  </commentList>
</comments>
</file>

<file path=xl/comments3.xml><?xml version="1.0" encoding="utf-8"?>
<comments xmlns="http://schemas.openxmlformats.org/spreadsheetml/2006/main">
  <authors>
    <author>Tatiane Jardim Morais</author>
  </authors>
  <commentList>
    <comment ref="C14" authorId="0" shapeId="0">
      <text>
        <r>
          <rPr>
            <b/>
            <sz val="9"/>
            <color indexed="81"/>
            <rFont val="Segoe UI"/>
            <family val="2"/>
          </rPr>
          <t>Considerado:</t>
        </r>
        <r>
          <rPr>
            <sz val="9"/>
            <color indexed="81"/>
            <rFont val="Segoe UI"/>
            <family val="2"/>
          </rPr>
          <t xml:space="preserve">
Percenual de estireno 50%
Consumo de estireno 20% da produção.
</t>
        </r>
      </text>
    </comment>
  </commentList>
</comments>
</file>

<file path=xl/comments4.xml><?xml version="1.0" encoding="utf-8"?>
<comments xmlns="http://schemas.openxmlformats.org/spreadsheetml/2006/main">
  <authors>
    <author>Andrielly Moutinho Knupp</author>
    <author>Tatiane Jardim Morais</author>
  </authors>
  <commentList>
    <comment ref="A3" authorId="0" shapeId="0">
      <text>
        <r>
          <rPr>
            <sz val="9"/>
            <color indexed="81"/>
            <rFont val="Segoe UI"/>
            <family val="2"/>
          </rPr>
          <t>Considerado com óleo diesel S1800, pois no site da ANP é informado que este é utilizado para máquinas industriais (http://www.anp.gov.br/petroleo-derivados/155-combustiveis/1857-oleo-diesel).</t>
        </r>
      </text>
    </comment>
    <comment ref="B3" authorId="0" shapeId="0">
      <text>
        <r>
          <rPr>
            <sz val="9"/>
            <color indexed="81"/>
            <rFont val="Segoe UI"/>
            <family val="2"/>
          </rPr>
          <t>Fonte: FISPQ Óleo Diesel S1800 (http://www.br.com.br/wcm/connect/e375dade-43ed-4003-93b0-8b9cc4180000/fispq-comb-oleodiesel-auto-oleodiesel-a-s1800.pdf?MOD=AJPERES&amp;CVID=mbfOksS&amp;CVID=mbfOksS)</t>
        </r>
      </text>
    </comment>
    <comment ref="R8" authorId="1" shapeId="0">
      <text>
        <r>
          <rPr>
            <sz val="9"/>
            <color indexed="81"/>
            <rFont val="Segoe UI"/>
            <family val="2"/>
          </rPr>
          <t xml:space="preserve">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
</t>
        </r>
      </text>
    </comment>
    <comment ref="S8" authorId="1" shapeId="0">
      <text>
        <r>
          <rPr>
            <sz val="9"/>
            <color indexed="81"/>
            <rFont val="Segoe UI"/>
            <family val="2"/>
          </rPr>
          <t xml:space="preserve">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
</t>
        </r>
      </text>
    </comment>
    <comment ref="W8" authorId="1" shapeId="0">
      <text>
        <r>
          <rPr>
            <sz val="9"/>
            <color indexed="81"/>
            <rFont val="Segoe UI"/>
            <family val="2"/>
          </rPr>
          <t xml:space="preserve">Dado monitorado
</t>
        </r>
      </text>
    </comment>
    <comment ref="H9" authorId="1" shapeId="0">
      <text>
        <r>
          <rPr>
            <sz val="9"/>
            <color indexed="81"/>
            <rFont val="Segoe UI"/>
            <family val="2"/>
          </rPr>
          <t xml:space="preserve">Usado como diesel
</t>
        </r>
      </text>
    </comment>
  </commentList>
</comments>
</file>

<file path=xl/sharedStrings.xml><?xml version="1.0" encoding="utf-8"?>
<sst xmlns="http://schemas.openxmlformats.org/spreadsheetml/2006/main" count="266" uniqueCount="199">
  <si>
    <t>Ghaminés</t>
  </si>
  <si>
    <t>Lat (º)</t>
  </si>
  <si>
    <t>Long (º)</t>
  </si>
  <si>
    <t>Diâmetro (m)</t>
  </si>
  <si>
    <t>Altura (m)</t>
  </si>
  <si>
    <t>Gerador</t>
  </si>
  <si>
    <t>Combustível</t>
  </si>
  <si>
    <t>Biodiesel</t>
  </si>
  <si>
    <t>Gás Natural</t>
  </si>
  <si>
    <t>Unidade</t>
  </si>
  <si>
    <t>Vazão (m³/h)</t>
  </si>
  <si>
    <t>Temperatura (ºC)</t>
  </si>
  <si>
    <t>NOx</t>
  </si>
  <si>
    <t>CO</t>
  </si>
  <si>
    <t>A</t>
  </si>
  <si>
    <t>B</t>
  </si>
  <si>
    <t>D</t>
  </si>
  <si>
    <t>Small Boilers (&lt;100)</t>
  </si>
  <si>
    <t>Uncontrolled</t>
  </si>
  <si>
    <t>C</t>
  </si>
  <si>
    <t>Pollutant</t>
  </si>
  <si>
    <t>PM (Total)</t>
  </si>
  <si>
    <t>VOC</t>
  </si>
  <si>
    <t>Table 1.3-1. CRITERIA POLLUTANT EMISSION FACTORS FOR FUEL OIL COMBUSTION</t>
  </si>
  <si>
    <t>Firing Configuration</t>
  </si>
  <si>
    <r>
      <t>SO</t>
    </r>
    <r>
      <rPr>
        <vertAlign val="subscript"/>
        <sz val="8"/>
        <color theme="1"/>
        <rFont val="Arial"/>
        <family val="2"/>
      </rPr>
      <t>2</t>
    </r>
  </si>
  <si>
    <r>
      <t>NO</t>
    </r>
    <r>
      <rPr>
        <vertAlign val="subscript"/>
        <sz val="8"/>
        <color theme="1"/>
        <rFont val="Arial"/>
        <family val="2"/>
      </rPr>
      <t>X</t>
    </r>
  </si>
  <si>
    <t>Filterable PM</t>
  </si>
  <si>
    <t>Emission Factor (lb/10³ gal)</t>
  </si>
  <si>
    <t>EMISSION FACTOR RATING</t>
  </si>
  <si>
    <t>Emission Factor (kg/10³ L)</t>
  </si>
  <si>
    <t>Boilers &gt; 100 Million Btu/hr</t>
  </si>
  <si>
    <t>142S</t>
  </si>
  <si>
    <t>Distillate oil fired</t>
  </si>
  <si>
    <t>Table 1.3-3. EMISSION FACTORS FOR TOTAL ORGANIC COMPOUNDS (TOC), METHANE, AND NONMETHANE TOC (NMTOC) FROM UNCONTROLLED FUEL OIL COMBUSTION</t>
  </si>
  <si>
    <t>EMISSION FACTOR RATING: A</t>
  </si>
  <si>
    <r>
      <t xml:space="preserve">TOC Emission Factor (lb/10³ gal) </t>
    </r>
    <r>
      <rPr>
        <vertAlign val="superscript"/>
        <sz val="8"/>
        <color theme="1"/>
        <rFont val="Arial"/>
        <family val="2"/>
      </rPr>
      <t>b</t>
    </r>
  </si>
  <si>
    <t>TOC Emission Factor (kg/10³ L)</t>
  </si>
  <si>
    <r>
      <rPr>
        <vertAlign val="superscript"/>
        <sz val="8"/>
        <color theme="1"/>
        <rFont val="Arial"/>
        <family val="2"/>
      </rPr>
      <t xml:space="preserve">b </t>
    </r>
    <r>
      <rPr>
        <sz val="8"/>
        <color theme="1"/>
        <rFont val="Arial"/>
        <family val="2"/>
      </rPr>
      <t>References 29-32. Volatile organic compound emissions can increase by several orders of magnitude if the boiler is improperly operated or is not well maintained.</t>
    </r>
  </si>
  <si>
    <t>Cumulative Mass % Stated Size</t>
  </si>
  <si>
    <t>Cumulative Emission Factor (lb/10³ gal)</t>
  </si>
  <si>
    <t>2.5</t>
  </si>
  <si>
    <t>-</t>
  </si>
  <si>
    <t>TOTAL</t>
  </si>
  <si>
    <t>Table 1.3-6. CUMULATIVE PARTICLE SIZE DISTRIBUTION AND SIZE-SPECIFIC EMISSION FACTORS FOR UNCONTROLLED INDUSTRIAL BOILERS FIRING DISTILLATE OIL</t>
  </si>
  <si>
    <t>EMISSION FACTOR RATING: E</t>
  </si>
  <si>
    <r>
      <t>Particle Size (</t>
    </r>
    <r>
      <rPr>
        <sz val="8"/>
        <color theme="1"/>
        <rFont val="Calibri"/>
        <family val="2"/>
      </rPr>
      <t>µ</t>
    </r>
    <r>
      <rPr>
        <sz val="8"/>
        <color theme="1"/>
        <rFont val="Arial"/>
        <family val="2"/>
      </rPr>
      <t>m)</t>
    </r>
  </si>
  <si>
    <t>Cumulative Emission Factor (kg/10³ L)</t>
  </si>
  <si>
    <t>To convert from lb/10³ gal to kg/m³, multiply by 0.120</t>
  </si>
  <si>
    <t>Informação</t>
  </si>
  <si>
    <t>Valor</t>
  </si>
  <si>
    <t>Temperatura Média de Amostragem dos Gases no Duto</t>
  </si>
  <si>
    <t>Vazão Média de Amostragem dos Gases no Duto</t>
  </si>
  <si>
    <t>Vazão Média Normalizada</t>
  </si>
  <si>
    <r>
      <t>Concentração Média de Compostos Orgânicos – Método FID</t>
    </r>
    <r>
      <rPr>
        <vertAlign val="superscript"/>
        <sz val="8"/>
        <color theme="1"/>
        <rFont val="Arial"/>
        <family val="2"/>
      </rPr>
      <t>a</t>
    </r>
  </si>
  <si>
    <r>
      <t>Massa Molar Acetona (Propanona)</t>
    </r>
    <r>
      <rPr>
        <vertAlign val="superscript"/>
        <sz val="8"/>
        <color theme="1"/>
        <rFont val="Arial"/>
        <family val="2"/>
      </rPr>
      <t>b</t>
    </r>
  </si>
  <si>
    <r>
      <t>Concentração Média Normalizada Compostos Orgânicos – Método FID</t>
    </r>
    <r>
      <rPr>
        <vertAlign val="superscript"/>
        <sz val="8"/>
        <color theme="1"/>
        <rFont val="Arial"/>
        <family val="2"/>
      </rPr>
      <t>c</t>
    </r>
  </si>
  <si>
    <r>
      <t>Taxa de Emissão de Compostos Orgânicos</t>
    </r>
    <r>
      <rPr>
        <vertAlign val="superscript"/>
        <sz val="8"/>
        <color theme="1"/>
        <rFont val="Arial"/>
        <family val="2"/>
      </rPr>
      <t>c</t>
    </r>
  </si>
  <si>
    <t>PM</t>
  </si>
  <si>
    <r>
      <t>PM</t>
    </r>
    <r>
      <rPr>
        <b/>
        <vertAlign val="subscript"/>
        <sz val="8"/>
        <color theme="0"/>
        <rFont val="Arial"/>
        <family val="2"/>
      </rPr>
      <t>10</t>
    </r>
  </si>
  <si>
    <r>
      <t>PM</t>
    </r>
    <r>
      <rPr>
        <b/>
        <vertAlign val="subscript"/>
        <sz val="8"/>
        <color theme="0"/>
        <rFont val="Arial"/>
        <family val="2"/>
      </rPr>
      <t>2,5</t>
    </r>
  </si>
  <si>
    <r>
      <t>NO</t>
    </r>
    <r>
      <rPr>
        <b/>
        <vertAlign val="subscript"/>
        <sz val="8"/>
        <color theme="0"/>
        <rFont val="Arial"/>
        <family val="2"/>
      </rPr>
      <t>X</t>
    </r>
  </si>
  <si>
    <r>
      <t>SO</t>
    </r>
    <r>
      <rPr>
        <b/>
        <vertAlign val="subscript"/>
        <sz val="8"/>
        <color theme="0"/>
        <rFont val="Arial"/>
        <family val="2"/>
      </rPr>
      <t>2</t>
    </r>
  </si>
  <si>
    <t>COV</t>
  </si>
  <si>
    <t>Taxa de Emissão [kg/h]</t>
  </si>
  <si>
    <t xml:space="preserve"> ppm</t>
  </si>
  <si>
    <t>g/mol</t>
  </si>
  <si>
    <r>
      <t>mg/Nm</t>
    </r>
    <r>
      <rPr>
        <vertAlign val="superscript"/>
        <sz val="8"/>
        <color theme="1"/>
        <rFont val="Arial"/>
        <family val="2"/>
      </rPr>
      <t>3</t>
    </r>
  </si>
  <si>
    <t>ºC</t>
  </si>
  <si>
    <t>L/min</t>
  </si>
  <si>
    <r>
      <t>Nm</t>
    </r>
    <r>
      <rPr>
        <vertAlign val="superscript"/>
        <sz val="8"/>
        <color theme="1"/>
        <rFont val="Arial"/>
        <family val="2"/>
      </rPr>
      <t>3</t>
    </r>
    <r>
      <rPr>
        <sz val="8"/>
        <color theme="1"/>
        <rFont val="Arial"/>
        <family val="2"/>
      </rPr>
      <t>/h</t>
    </r>
  </si>
  <si>
    <t>kg/h</t>
  </si>
  <si>
    <t>Resumo do Monitoramento no Duto de Saída do Lavador de Gases da Novapol - Campanha Realizada em 2015</t>
  </si>
  <si>
    <r>
      <t>Nota a</t>
    </r>
    <r>
      <rPr>
        <sz val="8"/>
        <color theme="1"/>
        <rFont val="Arial"/>
        <family val="2"/>
      </rPr>
      <t xml:space="preserve"> – Método mais sensível com capacidade de monitorar uma gama maior de compostos orgânicos voláteis;</t>
    </r>
  </si>
  <si>
    <r>
      <t>Nota b</t>
    </r>
    <r>
      <rPr>
        <sz val="8"/>
        <color theme="1"/>
        <rFont val="Arial"/>
        <family val="2"/>
      </rPr>
      <t xml:space="preserve"> – Considerando que a massa molecular dos compostos orgânicos voláteis sejam equivalentes à da Acetona, para fins de cálculo de taxa de emissão em kg/h, conforme resultados de ensaio apresentados pela empresa SBR Serviços Ambientais para a Novapol em Abril/2014 considerando ainda condições normais de operação com vácuo e lavador;</t>
    </r>
  </si>
  <si>
    <r>
      <t>Nota c</t>
    </r>
    <r>
      <rPr>
        <sz val="8"/>
        <color theme="1"/>
        <rFont val="Arial"/>
        <family val="2"/>
      </rPr>
      <t xml:space="preserve"> – Tomado como Acetona.</t>
    </r>
  </si>
  <si>
    <t>Biodiesel [L/ano]</t>
  </si>
  <si>
    <t>Consumo [m³/h]</t>
  </si>
  <si>
    <t>Gás Natural [m³/ano]</t>
  </si>
  <si>
    <t>Total</t>
  </si>
  <si>
    <t>Chaminé do Aquecedor</t>
  </si>
  <si>
    <t>Obs.: Monitoramento realizado pela Ecosoft Consultoria e Softwares Ambientais (2015)</t>
  </si>
  <si>
    <t>AP-42 (EPA, 1998): https://www3.epa.gov/ttn/chief/ap42/ch01/final/c01s04.pdf</t>
  </si>
  <si>
    <t>(AP42) Table 1.4-1 - Emission Factors for NOx and CO from Natural Gas Combustion</t>
  </si>
  <si>
    <r>
      <t>(lb/10</t>
    </r>
    <r>
      <rPr>
        <vertAlign val="superscript"/>
        <sz val="8"/>
        <rFont val="Arial"/>
        <family val="2"/>
      </rPr>
      <t xml:space="preserve">6 </t>
    </r>
    <r>
      <rPr>
        <sz val="8"/>
        <rFont val="Arial"/>
        <family val="2"/>
      </rPr>
      <t>scf)</t>
    </r>
  </si>
  <si>
    <r>
      <t>kg/10</t>
    </r>
    <r>
      <rPr>
        <vertAlign val="superscript"/>
        <sz val="8"/>
        <rFont val="Arial"/>
        <family val="2"/>
      </rPr>
      <t>6</t>
    </r>
    <r>
      <rPr>
        <sz val="8"/>
        <rFont val="Arial"/>
        <family val="2"/>
      </rPr>
      <t>m³</t>
    </r>
  </si>
  <si>
    <t>Emission Factor Rating</t>
  </si>
  <si>
    <t>(AP42) Table 1.4-2 - Emission Factors for Criteria Pollutants and GHG from natural gas combustion</t>
  </si>
  <si>
    <r>
      <t>(lb/10</t>
    </r>
    <r>
      <rPr>
        <vertAlign val="superscript"/>
        <sz val="8"/>
        <color theme="1"/>
        <rFont val="Arial"/>
        <family val="2"/>
      </rPr>
      <t>6</t>
    </r>
    <r>
      <rPr>
        <sz val="8"/>
        <color theme="1"/>
        <rFont val="Arial"/>
        <family val="2"/>
      </rPr>
      <t xml:space="preserve"> scf)</t>
    </r>
  </si>
  <si>
    <r>
      <t>kg/10</t>
    </r>
    <r>
      <rPr>
        <vertAlign val="superscript"/>
        <sz val="8"/>
        <color theme="1"/>
        <rFont val="Arial"/>
        <family val="2"/>
      </rPr>
      <t>6</t>
    </r>
    <r>
      <rPr>
        <sz val="8"/>
        <color theme="1"/>
        <rFont val="Arial"/>
        <family val="2"/>
      </rPr>
      <t>m³</t>
    </r>
  </si>
  <si>
    <t>Referência: https://www3.epa.gov/ttn/chief/ap42/ch01/final/c01s03.pdf</t>
  </si>
  <si>
    <t>Emission Factor 
(lb/10³ gal)</t>
  </si>
  <si>
    <t>To convert from lb/10³ gal to kg/10³ L, multiply by 0,120.</t>
  </si>
  <si>
    <t xml:space="preserve">S indicates that the weight % of sulfur in the oil should be multiplied by the value given. For example, if the fuel is 1% sulfur, then S = 1. </t>
  </si>
  <si>
    <t>f References 6-8,10,13-15,56-60,62-63. Filterable PM is that particulate collected on or prior to the filter of an EPA Method 5 (or equivalent) sampling train. Particulate emission factors for residual oil combustion are, on average, a function of fuel oil sulfur content where S is the weight % of sulfur in oil. For example, if fuel oil is 1% sulfur, then S = 1.</t>
  </si>
  <si>
    <t>Utility Boilers</t>
  </si>
  <si>
    <r>
      <t>Fator de Emissão GN [kg/10</t>
    </r>
    <r>
      <rPr>
        <b/>
        <vertAlign val="superscript"/>
        <sz val="8"/>
        <color theme="0"/>
        <rFont val="Arial"/>
        <family val="2"/>
      </rPr>
      <t xml:space="preserve">6 </t>
    </r>
    <r>
      <rPr>
        <b/>
        <sz val="8"/>
        <color theme="0"/>
        <rFont val="Arial"/>
        <family val="2"/>
      </rPr>
      <t>m³] / Diesel [kg/10³ L]</t>
    </r>
  </si>
  <si>
    <t xml:space="preserve">Teor Enxofre Diesel S1800 [%]: </t>
  </si>
  <si>
    <t>Jan</t>
  </si>
  <si>
    <t>Fev</t>
  </si>
  <si>
    <t>Mar</t>
  </si>
  <si>
    <t>Abr</t>
  </si>
  <si>
    <t>Mai</t>
  </si>
  <si>
    <t>Jun</t>
  </si>
  <si>
    <t>Jul</t>
  </si>
  <si>
    <t>Ago</t>
  </si>
  <si>
    <t>Set</t>
  </si>
  <si>
    <t>Out</t>
  </si>
  <si>
    <t>Nov</t>
  </si>
  <si>
    <t>Dez</t>
  </si>
  <si>
    <t>No mês de fevereiro do 2015 tivemos parada por 15 dias de manutenção preventiva.</t>
  </si>
  <si>
    <t>No mês de dezembro do 2015 tivemos parada de produção por 15 de férias coletivas.</t>
  </si>
  <si>
    <t>Mês</t>
  </si>
  <si>
    <t>Volume Produção (MToneladas) - 2015</t>
  </si>
  <si>
    <t>DESCRICAO MATERIA PRIMA</t>
  </si>
  <si>
    <t>DEG - DIETILENOGLICOL</t>
  </si>
  <si>
    <t>ANIDRIDO MALEICO SOLIDO</t>
  </si>
  <si>
    <t>ANIDRIDO FTALICO</t>
  </si>
  <si>
    <t>ANIDRIDO TETRAHIDROFTALICO - THPA</t>
  </si>
  <si>
    <t>PET FLAKE INCOLOR</t>
  </si>
  <si>
    <t>PET FLAKE VERDE</t>
  </si>
  <si>
    <t>MONOMERO DE ESTIRENO</t>
  </si>
  <si>
    <t>PGI - PROPILENO GLICOL</t>
  </si>
  <si>
    <t>NPG - NEOPENTIL GLICOL</t>
  </si>
  <si>
    <t>MEG - MONOETILENO GLICOL</t>
  </si>
  <si>
    <t>Volume Total (m³)</t>
  </si>
  <si>
    <t>Identificação do Tanque</t>
  </si>
  <si>
    <t>Tipo de Tanque (Teto fixo ou flutuante)</t>
  </si>
  <si>
    <t>Combustivel Utilizado</t>
  </si>
  <si>
    <t>Cor da Pintura de Tanque</t>
  </si>
  <si>
    <t>Coordenadas (°)</t>
  </si>
  <si>
    <t>Altura (ft)</t>
  </si>
  <si>
    <t>Diâmetro (ft)</t>
  </si>
  <si>
    <t>Volume Total (ft³)</t>
  </si>
  <si>
    <t>Volume Total (gal)</t>
  </si>
  <si>
    <t>Volume Ùtil (m³)</t>
  </si>
  <si>
    <t>Volume Ùtil (gal)</t>
  </si>
  <si>
    <t>Volume Armazenado (t/ano)</t>
  </si>
  <si>
    <t>Volume Armazenado (bbl/ano)</t>
  </si>
  <si>
    <t>Disturbios por ano</t>
  </si>
  <si>
    <t>Taxa de Emissão (lb/ano)</t>
  </si>
  <si>
    <t>Taxa de Emissão (kg/h)</t>
  </si>
  <si>
    <t>Taxa de Emissão (t/ano)</t>
  </si>
  <si>
    <t>Latitude</t>
  </si>
  <si>
    <t>Longitude</t>
  </si>
  <si>
    <t>Tanque de Óleo - Diésel - Gerador</t>
  </si>
  <si>
    <t>Tanque de Óleo Térmico 1</t>
  </si>
  <si>
    <t>Tanque de Óleo Térmico 2</t>
  </si>
  <si>
    <t>Fixo</t>
  </si>
  <si>
    <t>Preto</t>
  </si>
  <si>
    <t>Conversão kg/L para lb/gal:</t>
  </si>
  <si>
    <t>Conversão metro para pés:</t>
  </si>
  <si>
    <t>Conversão metro cúbico para pés cúbicos:</t>
  </si>
  <si>
    <t>Conversão metro cúbico para galão:</t>
  </si>
  <si>
    <t>Óleo Diesel</t>
  </si>
  <si>
    <t>Óleo Térmico</t>
  </si>
  <si>
    <t>Componentes existentes nas unidades produtivas</t>
  </si>
  <si>
    <t>Quantidade</t>
  </si>
  <si>
    <t>Flanges</t>
  </si>
  <si>
    <t>Válvulas</t>
  </si>
  <si>
    <t>Selos</t>
  </si>
  <si>
    <t>Compressores</t>
  </si>
  <si>
    <t>Observações</t>
  </si>
  <si>
    <t>De aço carbono/Inox</t>
  </si>
  <si>
    <t>De ar comprimido</t>
  </si>
  <si>
    <t>Quantidade [t/h]</t>
  </si>
  <si>
    <t>Quant. Mov. 2015 [t/ano]</t>
  </si>
  <si>
    <t>Bombas</t>
  </si>
  <si>
    <t>Esterificação</t>
  </si>
  <si>
    <t>Reação de polimerização</t>
  </si>
  <si>
    <t>Sistema de vácuo pré-polimerizador</t>
  </si>
  <si>
    <t>Torre de refrigeração</t>
  </si>
  <si>
    <t>Processo etileno glicol</t>
  </si>
  <si>
    <t>Armazenamento de matérias-primas</t>
  </si>
  <si>
    <t>lb/kg</t>
  </si>
  <si>
    <t>Fator de Emissão [lb/h]</t>
  </si>
  <si>
    <t>Fator de Emissão [kg/t]</t>
  </si>
  <si>
    <t>Taxa de Emissão de COV [kg/h]</t>
  </si>
  <si>
    <t>Fonte Emissora</t>
  </si>
  <si>
    <r>
      <t>PM</t>
    </r>
    <r>
      <rPr>
        <b/>
        <vertAlign val="subscript"/>
        <sz val="8"/>
        <color theme="0"/>
        <rFont val="Arial"/>
        <family val="2"/>
      </rPr>
      <t>2.5</t>
    </r>
  </si>
  <si>
    <t xml:space="preserve"> </t>
  </si>
  <si>
    <t>Tanques</t>
  </si>
  <si>
    <t>Flanges/Válvulas</t>
  </si>
  <si>
    <t>Chaminés</t>
  </si>
  <si>
    <t>Continuous Lamination</t>
  </si>
  <si>
    <t>Consumo Monômero [kg/h]</t>
  </si>
  <si>
    <t>Produção t/mês</t>
  </si>
  <si>
    <t>tipos de bombas: centrifugas, de deslocamento positivo, hidráulicas e pneumáticas</t>
  </si>
  <si>
    <t>tipos de válvulas: esfera, guilhotina, macho, borboleta, gaveta.</t>
  </si>
  <si>
    <t>tipos de selo: mecânico e gaxeta</t>
  </si>
  <si>
    <t>Produção de SMC</t>
  </si>
  <si>
    <t>Esses processos ocorrem nos reatores. Toda a emissão de COV nessa etapa do processo passa por um lavador de gases.
O lavor possuí monitormanto.</t>
  </si>
  <si>
    <t>Fonte: https://www3.epa.gov/ttnchie1/ap42/ch04/final/c04s04.pdf</t>
  </si>
  <si>
    <t>Fator de Emissão</t>
  </si>
  <si>
    <t>Fatores médios de emissão fugitiva para a indústria de fabricação de produtos químicos sintéticos orgânicos (SOCMI)</t>
  </si>
  <si>
    <t>Fonte: https://www3.epa.gov/ttn/chief/ap42/ch06/final/c06s06-2.pdf</t>
  </si>
  <si>
    <t>Processo (Produção de Resinas de poliéster Insaturado)</t>
  </si>
  <si>
    <t>Processo (Produção de SMC)</t>
  </si>
  <si>
    <t>Produção Resinas de poliéster Insaturado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</si>
</sst>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
    <numFmt numFmtId="165" formatCode="#,##0.0000"/>
    <numFmt numFmtId="166" formatCode="#,##0.0"/>
    <numFmt numFmtId="167" formatCode="#,##0.00000"/>
    <numFmt numFmtId="168" formatCode="0.000000"/>
    <numFmt numFmtId="169" formatCode="#,##0.000000"/>
  </numFmts>
  <fonts count="19" x14ac:knownFonts="1">
    <font>
      <sz val="11"/>
      <color theme="1"/>
      <name val="Calibri"/>
      <family val="2"/>
      <scheme val="minor"/>
    </font>
    <font>
      <sz val="8"/>
      <color theme="1"/>
      <name val="Arial"/>
      <family val="2"/>
    </font>
    <font>
      <b/>
      <sz val="8"/>
      <color theme="0"/>
      <name val="Arial"/>
      <family val="2"/>
    </font>
    <font>
      <vertAlign val="superscript"/>
      <sz val="8"/>
      <color theme="1"/>
      <name val="Arial"/>
      <family val="2"/>
    </font>
    <font>
      <b/>
      <sz val="8"/>
      <color theme="1"/>
      <name val="Arial"/>
      <family val="2"/>
    </font>
    <font>
      <vertAlign val="subscript"/>
      <sz val="8"/>
      <color theme="1"/>
      <name val="Arial"/>
      <family val="2"/>
    </font>
    <font>
      <sz val="8"/>
      <color theme="1"/>
      <name val="Calibri"/>
      <family val="2"/>
    </font>
    <font>
      <b/>
      <vertAlign val="superscript"/>
      <sz val="8"/>
      <color theme="0"/>
      <name val="Arial"/>
      <family val="2"/>
    </font>
    <font>
      <b/>
      <vertAlign val="subscript"/>
      <sz val="8"/>
      <color theme="0"/>
      <name val="Arial"/>
      <family val="2"/>
    </font>
    <font>
      <sz val="9"/>
      <color indexed="81"/>
      <name val="Segoe UI"/>
      <family val="2"/>
    </font>
    <font>
      <sz val="11"/>
      <color theme="1"/>
      <name val="Arial"/>
      <family val="2"/>
    </font>
    <font>
      <sz val="8"/>
      <name val="Arial"/>
      <family val="2"/>
    </font>
    <font>
      <vertAlign val="superscript"/>
      <sz val="8"/>
      <name val="Arial"/>
      <family val="2"/>
    </font>
    <font>
      <sz val="9"/>
      <color indexed="81"/>
      <name val="Tahoma"/>
      <family val="2"/>
    </font>
    <font>
      <b/>
      <sz val="9"/>
      <color indexed="81"/>
      <name val="Segoe UI"/>
      <family val="2"/>
    </font>
    <font>
      <sz val="8"/>
      <color theme="0"/>
      <name val="Arial"/>
      <family val="2"/>
    </font>
    <font>
      <u/>
      <sz val="11"/>
      <color theme="10"/>
      <name val="Calibri"/>
      <family val="2"/>
      <scheme val="minor"/>
    </font>
    <font>
      <sz val="9"/>
      <color theme="1"/>
      <name val="Arial"/>
      <family val="2"/>
    </font>
    <font>
      <sz val="8"/>
      <color rgb="FFFF0000"/>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5">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rgb="FFD9D9D9"/>
      </left>
      <right style="thin">
        <color rgb="FFD9D9D9"/>
      </right>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style="thin">
        <color theme="0"/>
      </left>
      <right style="thin">
        <color theme="0"/>
      </right>
      <top/>
      <bottom/>
      <diagonal/>
    </border>
    <border>
      <left style="thin">
        <color theme="0"/>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rgb="FFD9D9D9"/>
      </right>
      <top style="thin">
        <color rgb="FFD9D9D9"/>
      </top>
      <bottom/>
      <diagonal/>
    </border>
    <border>
      <left/>
      <right style="thin">
        <color rgb="FFD9D9D9"/>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s>
  <cellStyleXfs count="2">
    <xf numFmtId="0" fontId="0" fillId="0" borderId="0"/>
    <xf numFmtId="0" fontId="16" fillId="0" borderId="0" applyNumberFormat="0" applyFill="0" applyBorder="0" applyAlignment="0" applyProtection="0"/>
  </cellStyleXfs>
  <cellXfs count="126">
    <xf numFmtId="0" fontId="0" fillId="0" borderId="0" xfId="0"/>
    <xf numFmtId="0" fontId="1" fillId="0" borderId="0" xfId="0" applyFont="1"/>
    <xf numFmtId="0" fontId="1" fillId="0" borderId="0" xfId="0" applyFont="1" applyAlignment="1">
      <alignment vertical="center"/>
    </xf>
    <xf numFmtId="164" fontId="1" fillId="0" borderId="0" xfId="0" applyNumberFormat="1" applyFont="1" applyAlignment="1">
      <alignment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1" fontId="1" fillId="0" borderId="0" xfId="0" applyNumberFormat="1" applyFont="1" applyAlignment="1">
      <alignment horizontal="center" vertical="center"/>
    </xf>
    <xf numFmtId="0" fontId="4" fillId="0" borderId="0" xfId="0" applyFont="1" applyAlignment="1">
      <alignment vertical="center"/>
    </xf>
    <xf numFmtId="2" fontId="4"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2" fontId="1" fillId="0" borderId="0" xfId="0" applyNumberFormat="1" applyFont="1" applyAlignment="1">
      <alignment horizontal="center" vertical="center"/>
    </xf>
    <xf numFmtId="0" fontId="4" fillId="0" borderId="0" xfId="0" applyFont="1" applyAlignment="1">
      <alignment horizontal="center" vertical="center" wrapText="1"/>
    </xf>
    <xf numFmtId="2" fontId="4" fillId="0" borderId="0" xfId="0" applyNumberFormat="1" applyFont="1" applyAlignment="1">
      <alignment horizontal="center" vertical="center" wrapText="1"/>
    </xf>
    <xf numFmtId="2" fontId="4" fillId="0" borderId="0" xfId="0" applyNumberFormat="1" applyFont="1" applyAlignment="1">
      <alignment horizontal="center" vertical="center"/>
    </xf>
    <xf numFmtId="0" fontId="1" fillId="0" borderId="10" xfId="0" applyFont="1" applyBorder="1" applyAlignment="1">
      <alignment vertical="center" wrapText="1"/>
    </xf>
    <xf numFmtId="0" fontId="1" fillId="0" borderId="10" xfId="0" applyFont="1" applyBorder="1" applyAlignment="1">
      <alignment horizontal="right" vertical="center" wrapText="1"/>
    </xf>
    <xf numFmtId="0" fontId="2" fillId="2" borderId="1" xfId="0" applyNumberFormat="1" applyFont="1" applyFill="1" applyBorder="1" applyAlignment="1" applyProtection="1">
      <alignment horizontal="center" vertical="center" wrapText="1"/>
    </xf>
    <xf numFmtId="164" fontId="1" fillId="0" borderId="0" xfId="0" applyNumberFormat="1" applyFont="1" applyAlignment="1">
      <alignment horizontal="center" vertical="center"/>
    </xf>
    <xf numFmtId="4" fontId="1" fillId="0" borderId="10" xfId="0" applyNumberFormat="1" applyFont="1" applyBorder="1" applyAlignment="1">
      <alignment horizontal="center" vertical="center" wrapText="1"/>
    </xf>
    <xf numFmtId="0" fontId="1" fillId="0" borderId="10" xfId="0" applyFont="1" applyBorder="1" applyAlignment="1">
      <alignment horizontal="center" vertical="center" wrapText="1"/>
    </xf>
    <xf numFmtId="0" fontId="4" fillId="0" borderId="0" xfId="0" applyFont="1" applyAlignment="1">
      <alignment horizontal="left" vertical="center"/>
    </xf>
    <xf numFmtId="3" fontId="1" fillId="0" borderId="0" xfId="0" applyNumberFormat="1" applyFont="1" applyAlignment="1">
      <alignment horizontal="left" vertical="center"/>
    </xf>
    <xf numFmtId="165" fontId="1" fillId="0" borderId="0" xfId="0" applyNumberFormat="1" applyFont="1" applyAlignment="1">
      <alignment horizontal="center" vertical="center"/>
    </xf>
    <xf numFmtId="2" fontId="4" fillId="3" borderId="10"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left" vertical="center" wrapText="1"/>
    </xf>
    <xf numFmtId="0" fontId="1" fillId="3" borderId="2" xfId="0" applyFont="1" applyFill="1" applyBorder="1" applyAlignment="1">
      <alignment horizontal="center" vertical="center"/>
    </xf>
    <xf numFmtId="0" fontId="1" fillId="0" borderId="0" xfId="0" applyFont="1" applyAlignment="1">
      <alignment horizontal="left"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0" xfId="0"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0" fillId="0" borderId="0" xfId="0" applyFont="1" applyAlignment="1">
      <alignment vertical="center"/>
    </xf>
    <xf numFmtId="166"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1" fillId="4" borderId="1" xfId="0" applyFont="1" applyFill="1" applyBorder="1" applyAlignment="1">
      <alignment horizontal="left" vertical="center"/>
    </xf>
    <xf numFmtId="1" fontId="11" fillId="4" borderId="1" xfId="0" applyNumberFormat="1" applyFont="1" applyFill="1" applyBorder="1" applyAlignment="1">
      <alignment horizontal="center" vertical="center"/>
    </xf>
    <xf numFmtId="166" fontId="11" fillId="4" borderId="1" xfId="0" applyNumberFormat="1" applyFont="1" applyFill="1" applyBorder="1" applyAlignment="1">
      <alignment horizontal="center" vertical="center"/>
    </xf>
    <xf numFmtId="0" fontId="11" fillId="4" borderId="6" xfId="0" applyFont="1" applyFill="1" applyBorder="1" applyAlignment="1">
      <alignment horizontal="center" vertical="center" wrapText="1"/>
    </xf>
    <xf numFmtId="0" fontId="1" fillId="4" borderId="1" xfId="0" applyFont="1" applyFill="1" applyBorder="1" applyAlignment="1">
      <alignment horizontal="left" vertical="center"/>
    </xf>
    <xf numFmtId="3" fontId="1" fillId="4" borderId="1" xfId="0" applyNumberFormat="1" applyFont="1" applyFill="1" applyBorder="1" applyAlignment="1">
      <alignment horizontal="center" vertical="center"/>
    </xf>
    <xf numFmtId="2" fontId="4" fillId="0" borderId="0" xfId="0" applyNumberFormat="1" applyFont="1" applyBorder="1" applyAlignment="1">
      <alignment horizontal="center" vertical="center"/>
    </xf>
    <xf numFmtId="1" fontId="4" fillId="0" borderId="0" xfId="0" applyNumberFormat="1" applyFont="1" applyBorder="1" applyAlignment="1">
      <alignment horizontal="center" vertical="center"/>
    </xf>
    <xf numFmtId="0" fontId="4" fillId="0" borderId="0" xfId="0" applyFont="1" applyBorder="1" applyAlignment="1">
      <alignment horizontal="center" vertical="center"/>
    </xf>
    <xf numFmtId="3" fontId="1" fillId="0" borderId="0" xfId="0" applyNumberFormat="1" applyFont="1" applyAlignment="1">
      <alignment vertical="center"/>
    </xf>
    <xf numFmtId="0" fontId="2" fillId="2" borderId="1" xfId="0" applyFont="1" applyFill="1" applyBorder="1" applyAlignment="1">
      <alignment horizontal="center" vertical="center" wrapText="1"/>
    </xf>
    <xf numFmtId="4" fontId="1" fillId="0" borderId="0" xfId="0" applyNumberFormat="1" applyFont="1" applyAlignment="1">
      <alignment vertical="center"/>
    </xf>
    <xf numFmtId="4" fontId="1" fillId="0" borderId="0" xfId="0" applyNumberFormat="1" applyFont="1" applyAlignment="1">
      <alignment horizontal="center" vertical="center"/>
    </xf>
    <xf numFmtId="0" fontId="4" fillId="3" borderId="2" xfId="0" applyFont="1" applyFill="1" applyBorder="1" applyAlignment="1">
      <alignment horizontal="center" vertical="center" wrapText="1"/>
    </xf>
    <xf numFmtId="4" fontId="4" fillId="3" borderId="2" xfId="0" applyNumberFormat="1" applyFont="1" applyFill="1" applyBorder="1" applyAlignment="1">
      <alignment horizontal="center" vertical="center" wrapText="1"/>
    </xf>
    <xf numFmtId="0" fontId="1" fillId="0" borderId="0" xfId="0" applyFont="1" applyFill="1" applyBorder="1" applyAlignment="1">
      <alignment vertical="center"/>
    </xf>
    <xf numFmtId="0" fontId="1" fillId="0" borderId="0" xfId="0" applyFont="1" applyFill="1" applyAlignment="1">
      <alignment vertical="center"/>
    </xf>
    <xf numFmtId="0" fontId="15" fillId="2" borderId="15" xfId="0" applyFont="1" applyFill="1" applyBorder="1" applyAlignment="1">
      <alignment horizontal="center" vertical="center" wrapText="1"/>
    </xf>
    <xf numFmtId="2" fontId="1" fillId="0" borderId="0" xfId="0" applyNumberFormat="1" applyFont="1" applyAlignment="1">
      <alignment horizontal="left" vertical="center"/>
    </xf>
    <xf numFmtId="0" fontId="1" fillId="0" borderId="0" xfId="0" applyFont="1" applyFill="1" applyAlignment="1">
      <alignment horizontal="left" vertical="center"/>
    </xf>
    <xf numFmtId="0" fontId="2" fillId="2" borderId="1" xfId="0" applyFont="1" applyFill="1" applyBorder="1" applyAlignment="1">
      <alignment horizontal="center" vertical="center"/>
    </xf>
    <xf numFmtId="0" fontId="2" fillId="2" borderId="1" xfId="0" applyNumberFormat="1" applyFont="1" applyFill="1" applyBorder="1" applyAlignment="1" applyProtection="1">
      <alignment horizontal="center" vertical="center" wrapText="1"/>
    </xf>
    <xf numFmtId="0" fontId="1" fillId="0" borderId="0" xfId="0" applyFont="1" applyAlignment="1">
      <alignment horizontal="center" vertical="center"/>
    </xf>
    <xf numFmtId="2" fontId="1" fillId="0" borderId="0" xfId="0" applyNumberFormat="1" applyFont="1" applyAlignment="1">
      <alignment vertical="center"/>
    </xf>
    <xf numFmtId="0" fontId="1" fillId="0" borderId="0" xfId="0" applyFont="1" applyAlignment="1">
      <alignment horizontal="right" vertical="center"/>
    </xf>
    <xf numFmtId="0" fontId="16" fillId="0" borderId="0" xfId="1"/>
    <xf numFmtId="0" fontId="2" fillId="2" borderId="15" xfId="0" applyFont="1" applyFill="1" applyBorder="1" applyAlignment="1">
      <alignment horizontal="center" vertical="center" wrapText="1"/>
    </xf>
    <xf numFmtId="167" fontId="1" fillId="0" borderId="0" xfId="0" applyNumberFormat="1" applyFont="1" applyAlignment="1">
      <alignment horizontal="center" vertical="center"/>
    </xf>
    <xf numFmtId="0" fontId="1" fillId="0" borderId="21" xfId="0" applyFont="1" applyBorder="1" applyAlignment="1">
      <alignment horizontal="left" vertical="center"/>
    </xf>
    <xf numFmtId="0" fontId="1" fillId="0" borderId="24" xfId="0" applyFont="1" applyBorder="1" applyAlignment="1">
      <alignment horizontal="left" vertical="center"/>
    </xf>
    <xf numFmtId="4" fontId="4" fillId="3" borderId="1" xfId="0" applyNumberFormat="1" applyFont="1" applyFill="1" applyBorder="1" applyAlignment="1">
      <alignment horizontal="center" vertical="center"/>
    </xf>
    <xf numFmtId="0" fontId="1" fillId="0" borderId="0" xfId="0" applyFont="1" applyBorder="1" applyAlignment="1">
      <alignment horizontal="left" vertical="center"/>
    </xf>
    <xf numFmtId="0" fontId="1" fillId="0" borderId="0" xfId="0" applyFont="1" applyAlignment="1">
      <alignment horizontal="left" vertical="center" wrapText="1"/>
    </xf>
    <xf numFmtId="0" fontId="2" fillId="2" borderId="15" xfId="0" applyFont="1" applyFill="1" applyBorder="1" applyAlignment="1">
      <alignment horizontal="center" vertical="center" wrapText="1"/>
    </xf>
    <xf numFmtId="0" fontId="17" fillId="0" borderId="0" xfId="0" applyFont="1" applyAlignment="1">
      <alignment vertical="center"/>
    </xf>
    <xf numFmtId="165" fontId="17" fillId="0" borderId="0" xfId="0" applyNumberFormat="1" applyFont="1" applyAlignment="1">
      <alignment horizontal="center" vertical="center"/>
    </xf>
    <xf numFmtId="2" fontId="17" fillId="0" borderId="0" xfId="0" applyNumberFormat="1" applyFont="1" applyAlignment="1">
      <alignment vertical="center"/>
    </xf>
    <xf numFmtId="0" fontId="16" fillId="0" borderId="0" xfId="1" applyAlignment="1">
      <alignment vertical="center"/>
    </xf>
    <xf numFmtId="168" fontId="1" fillId="0" borderId="0" xfId="0" applyNumberFormat="1" applyFont="1" applyAlignment="1">
      <alignment horizontal="center" vertical="center"/>
    </xf>
    <xf numFmtId="2" fontId="18" fillId="0" borderId="0" xfId="0" applyNumberFormat="1" applyFont="1" applyAlignment="1">
      <alignment horizontal="center" vertical="center"/>
    </xf>
    <xf numFmtId="0" fontId="11" fillId="0" borderId="0" xfId="0" applyFont="1" applyAlignment="1">
      <alignment vertical="center"/>
    </xf>
    <xf numFmtId="2" fontId="11" fillId="0" borderId="0" xfId="0" applyNumberFormat="1" applyFont="1" applyAlignment="1">
      <alignment horizontal="center" vertical="center"/>
    </xf>
    <xf numFmtId="169" fontId="1" fillId="0" borderId="0" xfId="0" applyNumberFormat="1" applyFont="1" applyAlignment="1">
      <alignment vertical="center"/>
    </xf>
    <xf numFmtId="169" fontId="4" fillId="0" borderId="0" xfId="0" applyNumberFormat="1" applyFont="1" applyAlignment="1">
      <alignment horizontal="center" vertical="center"/>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 fillId="0" borderId="9" xfId="0" applyFont="1" applyBorder="1" applyAlignment="1">
      <alignment horizontal="left" vertical="center"/>
    </xf>
    <xf numFmtId="0" fontId="1" fillId="0" borderId="0"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0" xfId="0" applyFont="1" applyAlignment="1">
      <alignment horizontal="left"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2" fillId="2" borderId="1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2" fontId="4" fillId="3" borderId="11" xfId="0" applyNumberFormat="1" applyFont="1" applyFill="1" applyBorder="1" applyAlignment="1">
      <alignment horizontal="center" vertical="center"/>
    </xf>
    <xf numFmtId="2" fontId="4" fillId="3" borderId="12" xfId="0" applyNumberFormat="1" applyFont="1" applyFill="1" applyBorder="1" applyAlignment="1">
      <alignment horizontal="center" vertical="center"/>
    </xf>
    <xf numFmtId="2" fontId="4" fillId="3" borderId="13"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NumberFormat="1" applyFont="1" applyFill="1" applyBorder="1" applyAlignment="1" applyProtection="1">
      <alignment horizontal="center" vertical="center" wrapText="1"/>
    </xf>
    <xf numFmtId="0" fontId="2" fillId="2" borderId="1" xfId="0" applyFont="1" applyFill="1" applyBorder="1" applyAlignment="1">
      <alignment horizontal="center" vertical="center" wrapText="1"/>
    </xf>
    <xf numFmtId="0" fontId="2" fillId="2" borderId="22" xfId="0" applyNumberFormat="1" applyFont="1" applyFill="1" applyBorder="1" applyAlignment="1" applyProtection="1">
      <alignment horizontal="center" vertical="center" wrapText="1"/>
    </xf>
    <xf numFmtId="0" fontId="2" fillId="2" borderId="23" xfId="0" applyNumberFormat="1" applyFont="1" applyFill="1" applyBorder="1" applyAlignment="1" applyProtection="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F20" sqref="F20"/>
    </sheetView>
  </sheetViews>
  <sheetFormatPr defaultRowHeight="15" customHeight="1" x14ac:dyDescent="0.25"/>
  <cols>
    <col min="1" max="1" width="8.5703125" style="2" customWidth="1"/>
    <col min="2" max="2" width="14.85546875" style="2" customWidth="1"/>
    <col min="3" max="5" width="9.140625" style="2"/>
    <col min="6" max="6" width="34.28515625" style="2" bestFit="1" customWidth="1"/>
    <col min="7" max="7" width="19.7109375" style="2" bestFit="1" customWidth="1"/>
    <col min="8" max="11" width="9.140625" style="2"/>
    <col min="12" max="12" width="29.42578125" style="2" bestFit="1" customWidth="1"/>
    <col min="13" max="13" width="19.7109375" style="2" bestFit="1" customWidth="1"/>
    <col min="14" max="16384" width="9.140625" style="2"/>
  </cols>
  <sheetData>
    <row r="1" spans="1:7" ht="15" customHeight="1" x14ac:dyDescent="0.25">
      <c r="A1" s="2" t="s">
        <v>113</v>
      </c>
      <c r="F1" s="53" t="s">
        <v>114</v>
      </c>
      <c r="G1" s="53" t="s">
        <v>166</v>
      </c>
    </row>
    <row r="2" spans="1:7" ht="15" customHeight="1" x14ac:dyDescent="0.25">
      <c r="A2" s="53" t="s">
        <v>112</v>
      </c>
      <c r="B2" s="53" t="s">
        <v>186</v>
      </c>
      <c r="F2" s="2" t="s">
        <v>115</v>
      </c>
      <c r="G2" s="55">
        <v>1244.6500000000001</v>
      </c>
    </row>
    <row r="3" spans="1:7" ht="15" customHeight="1" x14ac:dyDescent="0.25">
      <c r="A3" s="4" t="s">
        <v>98</v>
      </c>
      <c r="B3" s="5">
        <v>3068</v>
      </c>
      <c r="F3" s="2" t="s">
        <v>116</v>
      </c>
      <c r="G3" s="55">
        <v>3616.5</v>
      </c>
    </row>
    <row r="4" spans="1:7" ht="15" customHeight="1" x14ac:dyDescent="0.25">
      <c r="A4" s="4" t="s">
        <v>99</v>
      </c>
      <c r="B4" s="5">
        <v>1479</v>
      </c>
      <c r="F4" s="2" t="s">
        <v>117</v>
      </c>
      <c r="G4" s="55">
        <v>2514</v>
      </c>
    </row>
    <row r="5" spans="1:7" ht="15" customHeight="1" x14ac:dyDescent="0.25">
      <c r="A5" s="4" t="s">
        <v>100</v>
      </c>
      <c r="B5" s="5">
        <v>2918</v>
      </c>
      <c r="F5" s="2" t="s">
        <v>118</v>
      </c>
      <c r="G5" s="55">
        <v>30</v>
      </c>
    </row>
    <row r="6" spans="1:7" ht="15" customHeight="1" x14ac:dyDescent="0.25">
      <c r="A6" s="4" t="s">
        <v>101</v>
      </c>
      <c r="B6" s="5">
        <v>2497</v>
      </c>
      <c r="F6" s="2" t="s">
        <v>119</v>
      </c>
      <c r="G6" s="55">
        <v>2243.5234999999998</v>
      </c>
    </row>
    <row r="7" spans="1:7" ht="15" customHeight="1" x14ac:dyDescent="0.25">
      <c r="A7" s="4" t="s">
        <v>102</v>
      </c>
      <c r="B7" s="5">
        <v>1695</v>
      </c>
      <c r="F7" s="2" t="s">
        <v>120</v>
      </c>
      <c r="G7" s="55">
        <v>1548.8440000000001</v>
      </c>
    </row>
    <row r="8" spans="1:7" ht="15" customHeight="1" x14ac:dyDescent="0.25">
      <c r="A8" s="4" t="s">
        <v>103</v>
      </c>
      <c r="B8" s="5">
        <v>1785</v>
      </c>
      <c r="F8" s="2" t="s">
        <v>121</v>
      </c>
      <c r="G8" s="55">
        <v>12009.69</v>
      </c>
    </row>
    <row r="9" spans="1:7" ht="15" customHeight="1" x14ac:dyDescent="0.25">
      <c r="A9" s="4" t="s">
        <v>104</v>
      </c>
      <c r="B9" s="5">
        <v>2409</v>
      </c>
      <c r="F9" s="2" t="s">
        <v>122</v>
      </c>
      <c r="G9" s="55">
        <v>3418</v>
      </c>
    </row>
    <row r="10" spans="1:7" ht="15" customHeight="1" x14ac:dyDescent="0.25">
      <c r="A10" s="4" t="s">
        <v>105</v>
      </c>
      <c r="B10" s="5">
        <v>2412</v>
      </c>
      <c r="F10" s="2" t="s">
        <v>123</v>
      </c>
      <c r="G10" s="55">
        <v>269.75</v>
      </c>
    </row>
    <row r="11" spans="1:7" ht="15" customHeight="1" x14ac:dyDescent="0.25">
      <c r="A11" s="4" t="s">
        <v>106</v>
      </c>
      <c r="B11" s="5">
        <v>2662</v>
      </c>
      <c r="F11" s="2" t="s">
        <v>124</v>
      </c>
      <c r="G11" s="55">
        <v>529.23</v>
      </c>
    </row>
    <row r="12" spans="1:7" ht="15" customHeight="1" x14ac:dyDescent="0.25">
      <c r="A12" s="4" t="s">
        <v>107</v>
      </c>
      <c r="B12" s="5">
        <v>2299</v>
      </c>
      <c r="F12" s="56" t="s">
        <v>79</v>
      </c>
      <c r="G12" s="57">
        <f>SUM(G2:G11)</f>
        <v>27424.187499999996</v>
      </c>
    </row>
    <row r="13" spans="1:7" ht="15" customHeight="1" x14ac:dyDescent="0.25">
      <c r="A13" s="4" t="s">
        <v>108</v>
      </c>
      <c r="B13" s="5">
        <v>2803</v>
      </c>
    </row>
    <row r="14" spans="1:7" ht="15" customHeight="1" x14ac:dyDescent="0.25">
      <c r="A14" s="4" t="s">
        <v>109</v>
      </c>
      <c r="B14" s="5">
        <v>1322</v>
      </c>
    </row>
    <row r="15" spans="1:7" ht="15" customHeight="1" x14ac:dyDescent="0.25">
      <c r="A15" s="56" t="s">
        <v>79</v>
      </c>
      <c r="B15" s="57">
        <f>SUM(B3:B14)</f>
        <v>27349</v>
      </c>
    </row>
    <row r="16" spans="1:7" ht="15" customHeight="1" x14ac:dyDescent="0.25">
      <c r="A16" s="2" t="s">
        <v>110</v>
      </c>
    </row>
    <row r="17" spans="1:12" ht="15" customHeight="1" x14ac:dyDescent="0.25">
      <c r="A17" s="2" t="s">
        <v>111</v>
      </c>
    </row>
    <row r="20" spans="1:12" ht="15" customHeight="1" x14ac:dyDescent="0.25">
      <c r="L20" s="54"/>
    </row>
    <row r="21" spans="1:12" ht="15" customHeight="1" x14ac:dyDescent="0.25">
      <c r="G21" s="66"/>
      <c r="I21" s="54"/>
    </row>
  </sheetData>
  <sheetProtection password="B056" sheet="1" objects="1" scenarios="1"/>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workbookViewId="0">
      <selection activeCell="C22" sqref="C22"/>
    </sheetView>
  </sheetViews>
  <sheetFormatPr defaultRowHeight="15" customHeight="1" x14ac:dyDescent="0.2"/>
  <cols>
    <col min="1" max="1" width="15.85546875" style="1" customWidth="1"/>
    <col min="2" max="2" width="15" style="1" customWidth="1"/>
    <col min="3" max="3" width="17.140625" style="1" customWidth="1"/>
    <col min="4" max="4" width="14.7109375" style="1" customWidth="1"/>
    <col min="5" max="5" width="12.85546875" style="1" customWidth="1"/>
    <col min="6" max="6" width="12.7109375" style="1" customWidth="1"/>
    <col min="7" max="7" width="16.28515625" style="1" customWidth="1"/>
    <col min="8" max="8" width="14.7109375" style="1" customWidth="1"/>
    <col min="9" max="9" width="17.28515625" style="1" customWidth="1"/>
    <col min="10" max="10" width="15.5703125" style="1" customWidth="1"/>
    <col min="11" max="11" width="12.85546875" style="1" customWidth="1"/>
    <col min="12" max="12" width="13.5703125" style="1" customWidth="1"/>
    <col min="13" max="16384" width="9.140625" style="1"/>
  </cols>
  <sheetData>
    <row r="1" spans="1:10" s="39" customFormat="1" ht="15" customHeight="1" x14ac:dyDescent="0.25">
      <c r="A1" s="2" t="s">
        <v>82</v>
      </c>
      <c r="G1" s="2"/>
    </row>
    <row r="2" spans="1:10" s="39" customFormat="1" ht="18" customHeight="1" x14ac:dyDescent="0.25">
      <c r="A2" s="92" t="s">
        <v>83</v>
      </c>
      <c r="B2" s="93"/>
      <c r="C2" s="93"/>
      <c r="D2" s="93"/>
      <c r="E2" s="93"/>
      <c r="G2" s="41"/>
      <c r="H2" s="42"/>
      <c r="I2" s="40"/>
    </row>
    <row r="3" spans="1:10" s="39" customFormat="1" ht="15" customHeight="1" x14ac:dyDescent="0.25">
      <c r="A3" s="94" t="s">
        <v>18</v>
      </c>
      <c r="B3" s="97" t="s">
        <v>20</v>
      </c>
      <c r="C3" s="87" t="s">
        <v>17</v>
      </c>
      <c r="D3" s="88"/>
      <c r="E3" s="89"/>
      <c r="G3" s="41"/>
      <c r="H3" s="42"/>
      <c r="I3" s="40"/>
    </row>
    <row r="4" spans="1:10" s="39" customFormat="1" ht="22.5" customHeight="1" x14ac:dyDescent="0.25">
      <c r="A4" s="95"/>
      <c r="B4" s="98"/>
      <c r="C4" s="35" t="s">
        <v>84</v>
      </c>
      <c r="D4" s="35" t="s">
        <v>85</v>
      </c>
      <c r="E4" s="35" t="s">
        <v>86</v>
      </c>
      <c r="G4" s="41"/>
      <c r="H4" s="42"/>
      <c r="I4" s="41"/>
    </row>
    <row r="5" spans="1:10" s="39" customFormat="1" ht="15" customHeight="1" x14ac:dyDescent="0.25">
      <c r="A5" s="95"/>
      <c r="B5" s="43" t="s">
        <v>12</v>
      </c>
      <c r="C5" s="44">
        <v>100</v>
      </c>
      <c r="D5" s="45">
        <f>16*C5</f>
        <v>1600</v>
      </c>
      <c r="E5" s="7" t="s">
        <v>15</v>
      </c>
      <c r="G5" s="41"/>
      <c r="H5" s="40"/>
      <c r="I5" s="40"/>
    </row>
    <row r="6" spans="1:10" s="39" customFormat="1" ht="15" customHeight="1" x14ac:dyDescent="0.25">
      <c r="A6" s="96"/>
      <c r="B6" s="43" t="s">
        <v>13</v>
      </c>
      <c r="C6" s="44">
        <v>84</v>
      </c>
      <c r="D6" s="45">
        <f>16*C6</f>
        <v>1344</v>
      </c>
      <c r="E6" s="7" t="s">
        <v>15</v>
      </c>
      <c r="G6" s="41"/>
      <c r="H6" s="41"/>
      <c r="I6" s="40"/>
    </row>
    <row r="7" spans="1:10" s="39" customFormat="1" ht="15" customHeight="1" x14ac:dyDescent="0.25">
      <c r="A7" s="46"/>
      <c r="B7" s="43"/>
      <c r="C7" s="44"/>
      <c r="D7" s="45"/>
      <c r="E7" s="7"/>
      <c r="G7" s="47"/>
      <c r="H7" s="41"/>
      <c r="I7" s="40"/>
    </row>
    <row r="8" spans="1:10" s="39" customFormat="1" ht="15" customHeight="1" x14ac:dyDescent="0.25">
      <c r="A8" s="46"/>
      <c r="B8" s="43"/>
      <c r="C8" s="44"/>
      <c r="D8" s="45"/>
      <c r="E8" s="7"/>
      <c r="G8" s="41"/>
      <c r="H8" s="41"/>
      <c r="I8" s="40"/>
    </row>
    <row r="9" spans="1:10" s="39" customFormat="1" ht="18" customHeight="1" x14ac:dyDescent="0.25">
      <c r="A9" s="2" t="s">
        <v>82</v>
      </c>
      <c r="E9" s="7"/>
      <c r="G9" s="41"/>
      <c r="H9" s="42"/>
      <c r="I9" s="40"/>
    </row>
    <row r="10" spans="1:10" s="39" customFormat="1" ht="15" customHeight="1" x14ac:dyDescent="0.25">
      <c r="A10" s="99" t="s">
        <v>87</v>
      </c>
      <c r="B10" s="99"/>
      <c r="C10" s="99"/>
      <c r="D10" s="99"/>
      <c r="E10" s="7"/>
      <c r="G10" s="41"/>
      <c r="H10" s="42"/>
      <c r="I10" s="41"/>
    </row>
    <row r="11" spans="1:10" s="39" customFormat="1" ht="14.25" x14ac:dyDescent="0.25">
      <c r="A11" s="99"/>
      <c r="B11" s="99"/>
      <c r="C11" s="99"/>
      <c r="D11" s="99"/>
      <c r="E11" s="7"/>
      <c r="G11" s="41"/>
      <c r="H11" s="42"/>
      <c r="I11" s="40"/>
    </row>
    <row r="12" spans="1:10" s="39" customFormat="1" ht="22.5" x14ac:dyDescent="0.25">
      <c r="A12" s="35" t="s">
        <v>20</v>
      </c>
      <c r="B12" s="35" t="s">
        <v>88</v>
      </c>
      <c r="C12" s="35" t="s">
        <v>89</v>
      </c>
      <c r="D12" s="35" t="s">
        <v>86</v>
      </c>
      <c r="E12" s="7"/>
      <c r="G12" s="41"/>
      <c r="H12" s="48"/>
      <c r="I12" s="40"/>
    </row>
    <row r="13" spans="1:10" s="39" customFormat="1" ht="15" customHeight="1" x14ac:dyDescent="0.25">
      <c r="A13" s="47" t="s">
        <v>25</v>
      </c>
      <c r="B13" s="41">
        <v>0.6</v>
      </c>
      <c r="C13" s="40">
        <f t="shared" ref="C13:C15" si="0">16*B13</f>
        <v>9.6</v>
      </c>
      <c r="D13" s="4" t="s">
        <v>14</v>
      </c>
      <c r="E13" s="7"/>
      <c r="G13" s="41"/>
      <c r="H13" s="41"/>
    </row>
    <row r="14" spans="1:10" s="39" customFormat="1" ht="15" customHeight="1" x14ac:dyDescent="0.25">
      <c r="A14" s="47" t="s">
        <v>22</v>
      </c>
      <c r="B14" s="41">
        <v>5.5</v>
      </c>
      <c r="C14" s="40">
        <f t="shared" si="0"/>
        <v>88</v>
      </c>
      <c r="D14" s="4" t="s">
        <v>19</v>
      </c>
      <c r="E14" s="7"/>
    </row>
    <row r="15" spans="1:10" s="39" customFormat="1" ht="15" customHeight="1" x14ac:dyDescent="0.25">
      <c r="A15" s="47" t="s">
        <v>21</v>
      </c>
      <c r="B15" s="41">
        <v>7.6</v>
      </c>
      <c r="C15" s="40">
        <f t="shared" si="0"/>
        <v>121.6</v>
      </c>
      <c r="D15" s="4" t="s">
        <v>16</v>
      </c>
      <c r="E15" s="7"/>
    </row>
    <row r="16" spans="1:10" ht="15" customHeight="1" x14ac:dyDescent="0.2">
      <c r="I16" s="39"/>
      <c r="J16" s="39"/>
    </row>
    <row r="19" spans="1:14" ht="15" customHeight="1" x14ac:dyDescent="0.2">
      <c r="A19" s="2" t="s">
        <v>90</v>
      </c>
      <c r="B19" s="2"/>
      <c r="C19" s="2"/>
      <c r="D19" s="2"/>
      <c r="E19" s="2"/>
      <c r="F19" s="2"/>
      <c r="G19" s="2"/>
      <c r="H19" s="2"/>
      <c r="I19" s="2"/>
      <c r="J19" s="2"/>
      <c r="K19" s="2"/>
      <c r="L19" s="2"/>
      <c r="M19" s="2"/>
      <c r="N19" s="2"/>
    </row>
    <row r="20" spans="1:14" ht="33" customHeight="1" x14ac:dyDescent="0.2">
      <c r="A20" s="87" t="s">
        <v>44</v>
      </c>
      <c r="B20" s="88"/>
      <c r="C20" s="88"/>
      <c r="D20" s="89"/>
      <c r="E20" s="2"/>
      <c r="F20" s="2"/>
      <c r="G20" s="2"/>
      <c r="H20" s="2"/>
      <c r="I20" s="2"/>
      <c r="J20" s="2"/>
      <c r="K20" s="2"/>
      <c r="L20" s="2"/>
      <c r="M20" s="2"/>
      <c r="N20" s="2"/>
    </row>
    <row r="21" spans="1:14" ht="15" customHeight="1" x14ac:dyDescent="0.2">
      <c r="A21" s="90" t="s">
        <v>45</v>
      </c>
      <c r="B21" s="91"/>
      <c r="C21" s="91"/>
      <c r="D21" s="91"/>
      <c r="E21" s="2"/>
      <c r="F21" s="2"/>
      <c r="G21" s="2"/>
      <c r="H21" s="2"/>
      <c r="I21" s="2"/>
      <c r="J21" s="2"/>
      <c r="K21" s="2"/>
      <c r="L21" s="2"/>
      <c r="M21" s="2"/>
      <c r="N21" s="2"/>
    </row>
    <row r="22" spans="1:14" ht="28.5" customHeight="1" x14ac:dyDescent="0.2">
      <c r="A22" s="35" t="s">
        <v>46</v>
      </c>
      <c r="B22" s="35" t="s">
        <v>39</v>
      </c>
      <c r="C22" s="35" t="s">
        <v>40</v>
      </c>
      <c r="D22" s="35" t="s">
        <v>47</v>
      </c>
      <c r="E22" s="2"/>
      <c r="F22" s="2"/>
      <c r="G22" s="2"/>
      <c r="H22" s="2"/>
      <c r="I22" s="2"/>
      <c r="J22" s="2"/>
      <c r="K22" s="2"/>
      <c r="L22" s="2"/>
      <c r="M22" s="2"/>
      <c r="N22" s="2"/>
    </row>
    <row r="23" spans="1:14" ht="15" customHeight="1" x14ac:dyDescent="0.2">
      <c r="A23" s="8">
        <v>10</v>
      </c>
      <c r="B23" s="8">
        <v>50</v>
      </c>
      <c r="C23" s="19">
        <v>1</v>
      </c>
      <c r="D23" s="19">
        <f t="shared" ref="D23:D25" si="1">C23*0.12</f>
        <v>0.12</v>
      </c>
      <c r="E23" s="2"/>
      <c r="F23" s="2"/>
      <c r="G23" s="2"/>
      <c r="H23" s="2"/>
      <c r="I23" s="2"/>
      <c r="J23" s="2"/>
      <c r="K23" s="2"/>
      <c r="L23" s="2"/>
      <c r="M23" s="2"/>
      <c r="N23" s="2"/>
    </row>
    <row r="24" spans="1:14" ht="15" customHeight="1" x14ac:dyDescent="0.2">
      <c r="A24" s="8" t="s">
        <v>41</v>
      </c>
      <c r="B24" s="8">
        <v>12</v>
      </c>
      <c r="C24" s="19">
        <v>0.25</v>
      </c>
      <c r="D24" s="19">
        <f t="shared" si="1"/>
        <v>0.03</v>
      </c>
      <c r="E24" s="2"/>
      <c r="F24" s="2"/>
      <c r="G24" s="2"/>
      <c r="H24" s="2"/>
      <c r="I24" s="2"/>
      <c r="J24" s="2"/>
      <c r="K24" s="2"/>
      <c r="L24" s="2"/>
      <c r="M24" s="2"/>
      <c r="N24" s="2"/>
    </row>
    <row r="25" spans="1:14" ht="15" customHeight="1" x14ac:dyDescent="0.2">
      <c r="A25" s="8" t="s">
        <v>43</v>
      </c>
      <c r="B25" s="8">
        <v>100</v>
      </c>
      <c r="C25" s="19">
        <v>2</v>
      </c>
      <c r="D25" s="19">
        <f t="shared" si="1"/>
        <v>0.24</v>
      </c>
      <c r="E25" s="2"/>
      <c r="F25" s="2"/>
      <c r="G25" s="2"/>
      <c r="H25" s="2"/>
      <c r="I25" s="2"/>
      <c r="J25" s="2"/>
      <c r="K25" s="2"/>
      <c r="L25" s="2"/>
      <c r="M25" s="2"/>
      <c r="N25" s="2"/>
    </row>
    <row r="26" spans="1:14" ht="15" customHeight="1" x14ac:dyDescent="0.2">
      <c r="A26" s="2" t="s">
        <v>48</v>
      </c>
      <c r="B26" s="2"/>
      <c r="C26" s="2"/>
      <c r="D26" s="2"/>
      <c r="E26" s="2"/>
      <c r="F26" s="2"/>
      <c r="G26" s="2"/>
      <c r="H26" s="2"/>
      <c r="I26" s="2"/>
      <c r="J26" s="2"/>
      <c r="K26" s="2"/>
      <c r="L26" s="2"/>
      <c r="M26" s="2"/>
      <c r="N26" s="2"/>
    </row>
    <row r="27" spans="1:14" ht="15" customHeight="1" x14ac:dyDescent="0.2">
      <c r="A27" s="2"/>
      <c r="B27" s="2"/>
      <c r="C27" s="2"/>
      <c r="D27" s="2"/>
      <c r="E27" s="2"/>
      <c r="F27" s="2"/>
      <c r="G27" s="2"/>
      <c r="H27" s="2"/>
      <c r="I27" s="2"/>
      <c r="J27" s="2"/>
      <c r="K27" s="2"/>
      <c r="L27" s="2"/>
      <c r="M27" s="2"/>
      <c r="N27" s="2"/>
    </row>
    <row r="28" spans="1:14" ht="15" customHeight="1" x14ac:dyDescent="0.2">
      <c r="A28" s="2"/>
      <c r="B28" s="2"/>
      <c r="C28" s="2"/>
      <c r="D28" s="2"/>
      <c r="E28" s="2"/>
      <c r="F28" s="2"/>
      <c r="G28" s="2"/>
      <c r="H28" s="2"/>
      <c r="I28" s="2"/>
      <c r="J28" s="2"/>
      <c r="K28" s="2"/>
      <c r="L28" s="2"/>
      <c r="M28" s="2"/>
      <c r="N28" s="2"/>
    </row>
    <row r="29" spans="1:14" ht="15" customHeight="1" x14ac:dyDescent="0.2">
      <c r="A29" s="90" t="s">
        <v>23</v>
      </c>
      <c r="B29" s="91"/>
      <c r="C29" s="91"/>
      <c r="D29" s="91"/>
      <c r="E29" s="91"/>
      <c r="F29" s="91"/>
      <c r="G29" s="91"/>
      <c r="H29" s="91"/>
      <c r="I29" s="91"/>
      <c r="J29" s="91"/>
      <c r="K29" s="91"/>
      <c r="L29" s="91"/>
    </row>
    <row r="30" spans="1:14" ht="15" customHeight="1" x14ac:dyDescent="0.2">
      <c r="A30" s="107" t="s">
        <v>24</v>
      </c>
      <c r="B30" s="109" t="s">
        <v>25</v>
      </c>
      <c r="C30" s="110"/>
      <c r="D30" s="87" t="s">
        <v>26</v>
      </c>
      <c r="E30" s="88"/>
      <c r="F30" s="89"/>
      <c r="G30" s="87" t="s">
        <v>13</v>
      </c>
      <c r="H30" s="88"/>
      <c r="I30" s="89"/>
      <c r="J30" s="87" t="s">
        <v>27</v>
      </c>
      <c r="K30" s="88"/>
      <c r="L30" s="89"/>
    </row>
    <row r="31" spans="1:14" ht="33" customHeight="1" x14ac:dyDescent="0.2">
      <c r="A31" s="108"/>
      <c r="B31" s="34" t="s">
        <v>91</v>
      </c>
      <c r="C31" s="34" t="s">
        <v>29</v>
      </c>
      <c r="D31" s="34" t="s">
        <v>28</v>
      </c>
      <c r="E31" s="34" t="s">
        <v>30</v>
      </c>
      <c r="F31" s="34" t="s">
        <v>29</v>
      </c>
      <c r="G31" s="34" t="s">
        <v>28</v>
      </c>
      <c r="H31" s="34" t="s">
        <v>30</v>
      </c>
      <c r="I31" s="34" t="s">
        <v>29</v>
      </c>
      <c r="J31" s="34" t="s">
        <v>28</v>
      </c>
      <c r="K31" s="34" t="s">
        <v>30</v>
      </c>
      <c r="L31" s="34" t="s">
        <v>29</v>
      </c>
    </row>
    <row r="32" spans="1:14" ht="15" customHeight="1" x14ac:dyDescent="0.2">
      <c r="A32" s="102" t="s">
        <v>31</v>
      </c>
      <c r="B32" s="103"/>
      <c r="C32" s="103"/>
      <c r="D32" s="103"/>
      <c r="E32" s="103"/>
      <c r="F32" s="103"/>
      <c r="G32" s="103"/>
      <c r="H32" s="103"/>
      <c r="I32" s="103"/>
    </row>
    <row r="33" spans="1:14" ht="15" customHeight="1" x14ac:dyDescent="0.2">
      <c r="A33" s="13" t="s">
        <v>33</v>
      </c>
      <c r="B33" s="8" t="s">
        <v>32</v>
      </c>
      <c r="C33" s="14" t="s">
        <v>14</v>
      </c>
      <c r="D33" s="8">
        <v>20</v>
      </c>
      <c r="E33" s="15">
        <f t="shared" ref="E33" si="2">D33*0.12</f>
        <v>2.4</v>
      </c>
      <c r="F33" s="8" t="s">
        <v>14</v>
      </c>
      <c r="G33" s="9">
        <v>5</v>
      </c>
      <c r="H33" s="9">
        <f t="shared" ref="H33" si="3">G33*0.12</f>
        <v>0.6</v>
      </c>
      <c r="I33" s="14" t="s">
        <v>14</v>
      </c>
      <c r="J33" s="15">
        <v>2</v>
      </c>
      <c r="K33" s="14">
        <f t="shared" ref="K33" si="4">J33*0.12</f>
        <v>0.24</v>
      </c>
      <c r="L33" s="14" t="s">
        <v>14</v>
      </c>
    </row>
    <row r="34" spans="1:14" ht="15" customHeight="1" x14ac:dyDescent="0.2">
      <c r="A34" s="13"/>
      <c r="B34" s="8"/>
      <c r="C34" s="49"/>
      <c r="D34" s="8"/>
      <c r="E34" s="50"/>
      <c r="F34" s="8"/>
      <c r="G34" s="51"/>
      <c r="H34" s="51"/>
      <c r="I34" s="49"/>
      <c r="J34" s="50"/>
      <c r="K34" s="49"/>
      <c r="L34" s="49"/>
    </row>
    <row r="35" spans="1:14" ht="15" customHeight="1" x14ac:dyDescent="0.2">
      <c r="A35" s="2" t="s">
        <v>92</v>
      </c>
      <c r="B35" s="2"/>
      <c r="C35" s="2"/>
      <c r="D35" s="2"/>
      <c r="E35" s="2"/>
      <c r="F35" s="2"/>
      <c r="G35" s="2"/>
      <c r="H35" s="2"/>
      <c r="I35" s="2"/>
      <c r="J35" s="2"/>
      <c r="K35" s="2"/>
      <c r="L35" s="2"/>
      <c r="M35" s="2"/>
      <c r="N35" s="2"/>
    </row>
    <row r="36" spans="1:14" ht="15" customHeight="1" x14ac:dyDescent="0.2">
      <c r="A36" s="33" t="s">
        <v>93</v>
      </c>
      <c r="B36" s="31"/>
      <c r="C36" s="31"/>
      <c r="D36" s="31"/>
      <c r="E36" s="31"/>
      <c r="F36" s="31"/>
      <c r="G36" s="31"/>
      <c r="H36" s="31"/>
      <c r="I36" s="31"/>
      <c r="J36" s="31"/>
      <c r="K36" s="31"/>
      <c r="L36" s="31"/>
      <c r="M36" s="31"/>
      <c r="N36" s="31"/>
    </row>
    <row r="37" spans="1:14" ht="15.75" customHeight="1" x14ac:dyDescent="0.2">
      <c r="A37" s="104" t="s">
        <v>94</v>
      </c>
      <c r="B37" s="104"/>
      <c r="C37" s="104"/>
      <c r="D37" s="104"/>
      <c r="E37" s="104"/>
      <c r="F37" s="104"/>
      <c r="G37" s="2"/>
      <c r="H37" s="2"/>
      <c r="I37" s="2"/>
      <c r="J37" s="2"/>
      <c r="K37" s="2"/>
      <c r="L37" s="2"/>
      <c r="M37" s="2"/>
      <c r="N37" s="2"/>
    </row>
    <row r="38" spans="1:14" ht="23.25" customHeight="1" x14ac:dyDescent="0.2">
      <c r="A38" s="104"/>
      <c r="B38" s="104"/>
      <c r="C38" s="104"/>
      <c r="D38" s="104"/>
      <c r="E38" s="104"/>
      <c r="F38" s="104"/>
      <c r="G38" s="2"/>
      <c r="H38" s="2"/>
      <c r="I38" s="2"/>
      <c r="J38" s="2"/>
      <c r="K38" s="2"/>
      <c r="L38" s="2"/>
      <c r="M38" s="2"/>
      <c r="N38" s="2"/>
    </row>
    <row r="39" spans="1:14" ht="15" customHeight="1" x14ac:dyDescent="0.2">
      <c r="A39" s="31"/>
      <c r="B39" s="31"/>
      <c r="C39" s="31"/>
      <c r="D39" s="31"/>
      <c r="E39" s="31"/>
      <c r="F39" s="31"/>
      <c r="G39" s="2"/>
      <c r="H39" s="2"/>
      <c r="I39" s="2"/>
      <c r="J39" s="2"/>
      <c r="K39" s="2"/>
      <c r="L39" s="2"/>
      <c r="M39" s="2"/>
      <c r="N39" s="2"/>
    </row>
    <row r="40" spans="1:14" ht="15" customHeight="1" x14ac:dyDescent="0.2">
      <c r="A40" s="31"/>
      <c r="B40" s="31"/>
      <c r="C40" s="31"/>
      <c r="D40" s="31"/>
      <c r="E40" s="31"/>
      <c r="F40" s="31"/>
      <c r="G40" s="2"/>
      <c r="H40" s="2"/>
      <c r="I40" s="2"/>
      <c r="J40" s="2"/>
      <c r="K40" s="2"/>
      <c r="L40" s="2"/>
      <c r="M40" s="2"/>
      <c r="N40" s="2"/>
    </row>
    <row r="41" spans="1:14" ht="15" customHeight="1" x14ac:dyDescent="0.2">
      <c r="A41" s="2"/>
      <c r="B41" s="2"/>
      <c r="C41" s="2"/>
      <c r="D41" s="2"/>
      <c r="E41" s="2"/>
      <c r="F41" s="2"/>
      <c r="G41" s="2"/>
      <c r="H41" s="2"/>
      <c r="I41" s="2"/>
      <c r="J41" s="2"/>
      <c r="K41" s="2"/>
      <c r="L41" s="2"/>
      <c r="M41" s="2"/>
      <c r="N41" s="2"/>
    </row>
    <row r="42" spans="1:14" ht="39.75" customHeight="1" x14ac:dyDescent="0.2">
      <c r="A42" s="105" t="s">
        <v>34</v>
      </c>
      <c r="B42" s="106"/>
      <c r="C42" s="106"/>
      <c r="D42" s="2"/>
      <c r="E42" s="2"/>
      <c r="F42" s="2"/>
      <c r="G42" s="2"/>
      <c r="H42" s="2"/>
      <c r="I42" s="2"/>
      <c r="J42" s="2"/>
      <c r="K42" s="2"/>
      <c r="L42" s="2"/>
      <c r="M42" s="2"/>
      <c r="N42" s="2"/>
    </row>
    <row r="43" spans="1:14" ht="15" customHeight="1" x14ac:dyDescent="0.2">
      <c r="A43" s="109" t="s">
        <v>35</v>
      </c>
      <c r="B43" s="111"/>
      <c r="C43" s="111"/>
      <c r="D43" s="2"/>
      <c r="E43" s="2"/>
      <c r="F43" s="2"/>
      <c r="G43" s="2"/>
      <c r="H43" s="2"/>
      <c r="I43" s="2"/>
      <c r="J43" s="2"/>
      <c r="K43" s="2"/>
      <c r="L43" s="2"/>
      <c r="M43" s="2"/>
      <c r="N43" s="2"/>
    </row>
    <row r="44" spans="1:14" ht="23.25" customHeight="1" x14ac:dyDescent="0.2">
      <c r="A44" s="32" t="s">
        <v>24</v>
      </c>
      <c r="B44" s="35" t="s">
        <v>36</v>
      </c>
      <c r="C44" s="34" t="s">
        <v>37</v>
      </c>
      <c r="D44" s="2"/>
      <c r="E44" s="2"/>
      <c r="F44" s="2"/>
      <c r="G44" s="2"/>
      <c r="H44" s="2"/>
      <c r="I44" s="2"/>
      <c r="J44" s="2"/>
      <c r="K44" s="2"/>
      <c r="L44" s="2"/>
      <c r="M44" s="2"/>
      <c r="N44" s="2"/>
    </row>
    <row r="45" spans="1:14" ht="15" customHeight="1" x14ac:dyDescent="0.2">
      <c r="A45" s="100" t="s">
        <v>95</v>
      </c>
      <c r="B45" s="101"/>
      <c r="C45" s="101"/>
      <c r="D45" s="2"/>
      <c r="E45" s="2"/>
      <c r="F45" s="2"/>
      <c r="G45" s="2"/>
      <c r="H45" s="2"/>
      <c r="I45" s="2"/>
      <c r="J45" s="2"/>
      <c r="K45" s="2"/>
      <c r="L45" s="2"/>
      <c r="M45" s="2"/>
      <c r="N45" s="2"/>
    </row>
    <row r="46" spans="1:14" ht="15" customHeight="1" x14ac:dyDescent="0.2">
      <c r="A46" s="13" t="s">
        <v>33</v>
      </c>
      <c r="B46" s="17">
        <v>0.252</v>
      </c>
      <c r="C46" s="18">
        <f t="shared" ref="C46" si="5">B46*0.12</f>
        <v>3.024E-2</v>
      </c>
      <c r="D46" s="2"/>
      <c r="E46" s="2"/>
      <c r="F46" s="2"/>
      <c r="G46" s="2"/>
      <c r="H46" s="2"/>
      <c r="I46" s="2"/>
      <c r="J46" s="2"/>
      <c r="K46" s="2"/>
      <c r="L46" s="2"/>
      <c r="M46" s="2"/>
      <c r="N46" s="2"/>
    </row>
    <row r="47" spans="1:14" ht="15" customHeight="1" x14ac:dyDescent="0.2">
      <c r="A47" s="2" t="s">
        <v>38</v>
      </c>
      <c r="B47" s="2"/>
      <c r="C47" s="2"/>
      <c r="D47" s="11"/>
      <c r="E47" s="11"/>
      <c r="F47" s="11"/>
      <c r="G47" s="11"/>
      <c r="H47" s="2"/>
      <c r="I47" s="2"/>
      <c r="J47" s="2"/>
      <c r="K47" s="2"/>
      <c r="L47" s="2"/>
      <c r="M47" s="2"/>
      <c r="N47" s="2"/>
    </row>
  </sheetData>
  <sheetProtection password="B056" sheet="1" objects="1" scenarios="1"/>
  <mergeCells count="18">
    <mergeCell ref="A45:C45"/>
    <mergeCell ref="A29:L29"/>
    <mergeCell ref="J30:L30"/>
    <mergeCell ref="A32:I32"/>
    <mergeCell ref="A37:F38"/>
    <mergeCell ref="A42:C42"/>
    <mergeCell ref="A30:A31"/>
    <mergeCell ref="B30:C30"/>
    <mergeCell ref="D30:F30"/>
    <mergeCell ref="G30:I30"/>
    <mergeCell ref="A43:C43"/>
    <mergeCell ref="A20:D20"/>
    <mergeCell ref="A21:D21"/>
    <mergeCell ref="A2:E2"/>
    <mergeCell ref="A3:A6"/>
    <mergeCell ref="B3:B4"/>
    <mergeCell ref="C3:E3"/>
    <mergeCell ref="A10:D11"/>
  </mergeCell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J24" sqref="J24"/>
    </sheetView>
  </sheetViews>
  <sheetFormatPr defaultRowHeight="15" customHeight="1" x14ac:dyDescent="0.25"/>
  <cols>
    <col min="1" max="1" width="51" style="2" bestFit="1" customWidth="1"/>
    <col min="2" max="2" width="7.85546875" style="2" bestFit="1" customWidth="1"/>
    <col min="3" max="3" width="7.28515625" style="2" bestFit="1" customWidth="1"/>
    <col min="4" max="16384" width="9.140625" style="2"/>
  </cols>
  <sheetData>
    <row r="1" spans="1:3" ht="15" customHeight="1" x14ac:dyDescent="0.25">
      <c r="A1" s="2" t="s">
        <v>72</v>
      </c>
    </row>
    <row r="2" spans="1:3" ht="19.5" customHeight="1" x14ac:dyDescent="0.25">
      <c r="A2" s="6" t="s">
        <v>49</v>
      </c>
      <c r="B2" s="6" t="s">
        <v>50</v>
      </c>
      <c r="C2" s="6" t="s">
        <v>9</v>
      </c>
    </row>
    <row r="3" spans="1:3" ht="15" customHeight="1" x14ac:dyDescent="0.25">
      <c r="A3" s="20" t="s">
        <v>54</v>
      </c>
      <c r="B3" s="24">
        <v>12042.7</v>
      </c>
      <c r="C3" s="21" t="s">
        <v>65</v>
      </c>
    </row>
    <row r="4" spans="1:3" ht="15" customHeight="1" x14ac:dyDescent="0.25">
      <c r="A4" s="20" t="s">
        <v>55</v>
      </c>
      <c r="B4" s="25">
        <v>58.08</v>
      </c>
      <c r="C4" s="21" t="s">
        <v>66</v>
      </c>
    </row>
    <row r="5" spans="1:3" ht="15" customHeight="1" x14ac:dyDescent="0.25">
      <c r="A5" s="20" t="s">
        <v>56</v>
      </c>
      <c r="B5" s="24">
        <v>31206.9</v>
      </c>
      <c r="C5" s="21" t="s">
        <v>67</v>
      </c>
    </row>
    <row r="6" spans="1:3" ht="15" customHeight="1" x14ac:dyDescent="0.25">
      <c r="A6" s="20" t="s">
        <v>51</v>
      </c>
      <c r="B6" s="25">
        <v>33.6</v>
      </c>
      <c r="C6" s="21" t="s">
        <v>68</v>
      </c>
    </row>
    <row r="7" spans="1:3" ht="15" customHeight="1" x14ac:dyDescent="0.25">
      <c r="A7" s="20" t="s">
        <v>52</v>
      </c>
      <c r="B7" s="25">
        <v>149.19999999999999</v>
      </c>
      <c r="C7" s="21" t="s">
        <v>69</v>
      </c>
    </row>
    <row r="8" spans="1:3" ht="15" customHeight="1" x14ac:dyDescent="0.25">
      <c r="A8" s="20" t="s">
        <v>53</v>
      </c>
      <c r="B8" s="25">
        <v>7.97</v>
      </c>
      <c r="C8" s="21" t="s">
        <v>70</v>
      </c>
    </row>
    <row r="9" spans="1:3" ht="15" customHeight="1" x14ac:dyDescent="0.25">
      <c r="A9" s="20" t="s">
        <v>57</v>
      </c>
      <c r="B9" s="25">
        <v>0.25</v>
      </c>
      <c r="C9" s="21" t="s">
        <v>71</v>
      </c>
    </row>
    <row r="10" spans="1:3" ht="15" customHeight="1" x14ac:dyDescent="0.25">
      <c r="A10" s="36"/>
      <c r="B10" s="37"/>
      <c r="C10" s="38"/>
    </row>
    <row r="11" spans="1:3" ht="15" customHeight="1" x14ac:dyDescent="0.25">
      <c r="A11" s="2" t="s">
        <v>81</v>
      </c>
    </row>
    <row r="12" spans="1:3" ht="15" customHeight="1" x14ac:dyDescent="0.25">
      <c r="A12" s="26" t="s">
        <v>73</v>
      </c>
    </row>
    <row r="13" spans="1:3" ht="15" customHeight="1" x14ac:dyDescent="0.25">
      <c r="A13" s="26" t="s">
        <v>74</v>
      </c>
    </row>
    <row r="14" spans="1:3" ht="15" customHeight="1" x14ac:dyDescent="0.25">
      <c r="A14" s="13" t="s">
        <v>75</v>
      </c>
    </row>
  </sheetData>
  <sheetProtection password="B056" sheet="1" objects="1" scenarios="1"/>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
  <sheetViews>
    <sheetView topLeftCell="D1" workbookViewId="0">
      <selection activeCell="Q23" sqref="Q23"/>
    </sheetView>
  </sheetViews>
  <sheetFormatPr defaultRowHeight="15" customHeight="1" x14ac:dyDescent="0.25"/>
  <cols>
    <col min="1" max="1" width="30.5703125" style="2" customWidth="1"/>
    <col min="2" max="2" width="17.42578125" style="2" customWidth="1"/>
    <col min="3" max="4" width="12.42578125" style="2" customWidth="1"/>
    <col min="5" max="5" width="10" style="2" customWidth="1"/>
    <col min="6" max="6" width="9.7109375" style="2" customWidth="1"/>
    <col min="7" max="10" width="9.140625" style="2"/>
    <col min="11" max="11" width="9" style="2" customWidth="1"/>
    <col min="12" max="12" width="9.28515625" style="2" customWidth="1"/>
    <col min="13" max="13" width="10.140625" style="2" customWidth="1"/>
    <col min="14" max="14" width="11.85546875" style="2" bestFit="1" customWidth="1"/>
    <col min="15" max="15" width="11.28515625" style="2" customWidth="1"/>
    <col min="16" max="16" width="17.7109375" style="2" customWidth="1"/>
    <col min="17" max="17" width="17.85546875" style="2" customWidth="1"/>
    <col min="18" max="18" width="10.28515625" style="2" customWidth="1"/>
    <col min="19" max="19" width="14.5703125" style="2" customWidth="1"/>
    <col min="20" max="20" width="14" style="2" customWidth="1"/>
    <col min="21" max="21" width="15.140625" style="2" customWidth="1"/>
    <col min="22" max="16384" width="9.140625" style="2"/>
  </cols>
  <sheetData>
    <row r="1" spans="1:24" ht="15" customHeight="1" x14ac:dyDescent="0.25">
      <c r="A1" s="2" t="s">
        <v>150</v>
      </c>
      <c r="B1" s="62">
        <v>8.3454040000000003</v>
      </c>
    </row>
    <row r="2" spans="1:24" ht="15" customHeight="1" x14ac:dyDescent="0.25">
      <c r="A2" s="2" t="s">
        <v>151</v>
      </c>
      <c r="B2" s="61">
        <v>3.28084</v>
      </c>
    </row>
    <row r="3" spans="1:24" ht="15" customHeight="1" x14ac:dyDescent="0.25">
      <c r="A3" s="2" t="s">
        <v>152</v>
      </c>
      <c r="B3" s="61">
        <v>35.314700000000002</v>
      </c>
    </row>
    <row r="4" spans="1:24" ht="15" customHeight="1" x14ac:dyDescent="0.25">
      <c r="A4" s="2" t="s">
        <v>153</v>
      </c>
      <c r="B4" s="61">
        <v>264.17200000000003</v>
      </c>
    </row>
    <row r="7" spans="1:24" s="59" customFormat="1" ht="15" customHeight="1" x14ac:dyDescent="0.25">
      <c r="A7" s="114" t="s">
        <v>126</v>
      </c>
      <c r="B7" s="114" t="s">
        <v>127</v>
      </c>
      <c r="C7" s="114" t="s">
        <v>128</v>
      </c>
      <c r="D7" s="114" t="s">
        <v>129</v>
      </c>
      <c r="E7" s="116" t="s">
        <v>130</v>
      </c>
      <c r="F7" s="117"/>
      <c r="G7" s="114" t="s">
        <v>4</v>
      </c>
      <c r="H7" s="114" t="s">
        <v>131</v>
      </c>
      <c r="I7" s="114" t="s">
        <v>3</v>
      </c>
      <c r="J7" s="114" t="s">
        <v>132</v>
      </c>
      <c r="K7" s="114" t="s">
        <v>125</v>
      </c>
      <c r="L7" s="114" t="s">
        <v>133</v>
      </c>
      <c r="M7" s="114" t="s">
        <v>134</v>
      </c>
      <c r="N7" s="114" t="s">
        <v>135</v>
      </c>
      <c r="O7" s="114" t="s">
        <v>136</v>
      </c>
      <c r="P7" s="114" t="s">
        <v>137</v>
      </c>
      <c r="Q7" s="114" t="s">
        <v>138</v>
      </c>
      <c r="R7" s="114" t="s">
        <v>139</v>
      </c>
      <c r="S7" s="112" t="s">
        <v>140</v>
      </c>
      <c r="T7" s="112" t="s">
        <v>141</v>
      </c>
      <c r="U7" s="112" t="s">
        <v>142</v>
      </c>
      <c r="V7" s="58"/>
      <c r="W7" s="2"/>
      <c r="X7" s="54"/>
    </row>
    <row r="8" spans="1:24" s="59" customFormat="1" ht="15" customHeight="1" x14ac:dyDescent="0.25">
      <c r="A8" s="115"/>
      <c r="B8" s="115"/>
      <c r="C8" s="115"/>
      <c r="D8" s="115"/>
      <c r="E8" s="76" t="s">
        <v>143</v>
      </c>
      <c r="F8" s="76" t="s">
        <v>144</v>
      </c>
      <c r="G8" s="115"/>
      <c r="H8" s="115"/>
      <c r="I8" s="115"/>
      <c r="J8" s="115"/>
      <c r="K8" s="115"/>
      <c r="L8" s="115"/>
      <c r="M8" s="115"/>
      <c r="N8" s="115"/>
      <c r="O8" s="115"/>
      <c r="P8" s="115"/>
      <c r="Q8" s="115"/>
      <c r="R8" s="115"/>
      <c r="S8" s="113"/>
      <c r="T8" s="113"/>
      <c r="U8" s="113"/>
      <c r="V8" s="58"/>
      <c r="W8" s="2"/>
      <c r="X8" s="2"/>
    </row>
    <row r="9" spans="1:24" s="59" customFormat="1" ht="15" customHeight="1" x14ac:dyDescent="0.25">
      <c r="A9" s="2" t="s">
        <v>145</v>
      </c>
      <c r="B9" s="2" t="s">
        <v>148</v>
      </c>
      <c r="C9" s="2" t="s">
        <v>154</v>
      </c>
      <c r="D9" s="2" t="s">
        <v>149</v>
      </c>
      <c r="E9" s="2">
        <v>-20.175916999999998</v>
      </c>
      <c r="F9" s="2">
        <v>-40.229332999999997</v>
      </c>
      <c r="G9" s="55">
        <v>1.6</v>
      </c>
      <c r="H9" s="55">
        <f>G9*$B$2</f>
        <v>5.2493440000000007</v>
      </c>
      <c r="I9" s="55">
        <v>0.8</v>
      </c>
      <c r="J9" s="55">
        <f>I9*$B$2</f>
        <v>2.6246720000000003</v>
      </c>
      <c r="K9" s="55">
        <v>1</v>
      </c>
      <c r="L9" s="55">
        <f>K9*$B$3</f>
        <v>35.314700000000002</v>
      </c>
      <c r="M9" s="55">
        <f>K9*$B$4</f>
        <v>264.17200000000003</v>
      </c>
      <c r="N9" s="55">
        <v>0.85</v>
      </c>
      <c r="O9" s="55">
        <f>N9*$B$4</f>
        <v>224.54620000000003</v>
      </c>
      <c r="P9" s="55">
        <v>44.25</v>
      </c>
      <c r="Q9" s="55">
        <f>P9*8.45</f>
        <v>373.91249999999997</v>
      </c>
      <c r="R9" s="55">
        <f>(5.614*Q9)/L9</f>
        <v>59.441104554194133</v>
      </c>
      <c r="S9" s="55">
        <v>0.71</v>
      </c>
      <c r="T9" s="85">
        <f>S9*0.453592/8760</f>
        <v>3.6763735159817354E-5</v>
      </c>
      <c r="U9" s="85">
        <f>T9/1000*8760</f>
        <v>3.2205032000000002E-4</v>
      </c>
    </row>
    <row r="10" spans="1:24" s="59" customFormat="1" ht="15" customHeight="1" x14ac:dyDescent="0.25">
      <c r="A10" s="2" t="s">
        <v>146</v>
      </c>
      <c r="B10" s="2" t="s">
        <v>148</v>
      </c>
      <c r="C10" s="2" t="s">
        <v>155</v>
      </c>
      <c r="D10" s="2" t="s">
        <v>149</v>
      </c>
      <c r="E10" s="2">
        <v>-20.175889000000002</v>
      </c>
      <c r="F10" s="2">
        <v>-40.229388999999998</v>
      </c>
      <c r="G10" s="55">
        <v>3.5</v>
      </c>
      <c r="H10" s="55">
        <f t="shared" ref="H10:H11" si="0">G10*$B$2</f>
        <v>11.482939999999999</v>
      </c>
      <c r="I10" s="55">
        <v>1.9</v>
      </c>
      <c r="J10" s="55">
        <f t="shared" ref="J10:J11" si="1">I10*$B$2</f>
        <v>6.2335959999999995</v>
      </c>
      <c r="K10" s="55">
        <v>12</v>
      </c>
      <c r="L10" s="55">
        <f t="shared" ref="L10:L11" si="2">K10*$B$3</f>
        <v>423.77640000000002</v>
      </c>
      <c r="M10" s="55">
        <f t="shared" ref="M10:M11" si="3">K10*$B$4</f>
        <v>3170.0640000000003</v>
      </c>
      <c r="N10" s="55">
        <v>10.199999999999999</v>
      </c>
      <c r="O10" s="55">
        <f t="shared" ref="O10:O11" si="4">N10*$B$4</f>
        <v>2694.5544</v>
      </c>
      <c r="P10" s="55">
        <v>6</v>
      </c>
      <c r="Q10" s="55">
        <f>P10*8.45</f>
        <v>50.699999999999996</v>
      </c>
      <c r="R10" s="55">
        <f t="shared" ref="R10:R11" si="5">(5.614*Q10)/L10</f>
        <v>0.67165089891744789</v>
      </c>
      <c r="S10" s="55">
        <v>2.87</v>
      </c>
      <c r="T10" s="85">
        <f t="shared" ref="T10:T11" si="6">S10*0.453592/8760</f>
        <v>1.4860833789954339E-4</v>
      </c>
      <c r="U10" s="85">
        <f t="shared" ref="U10:U11" si="7">T10/1000*8760</f>
        <v>1.30180904E-3</v>
      </c>
    </row>
    <row r="11" spans="1:24" s="59" customFormat="1" ht="15" customHeight="1" x14ac:dyDescent="0.25">
      <c r="A11" s="2" t="s">
        <v>147</v>
      </c>
      <c r="B11" s="2" t="s">
        <v>148</v>
      </c>
      <c r="C11" s="2" t="s">
        <v>155</v>
      </c>
      <c r="D11" s="2" t="s">
        <v>149</v>
      </c>
      <c r="E11" s="2">
        <v>-20.175722</v>
      </c>
      <c r="F11" s="2">
        <v>-40.229444000000001</v>
      </c>
      <c r="G11" s="55">
        <v>3.5</v>
      </c>
      <c r="H11" s="55">
        <f t="shared" si="0"/>
        <v>11.482939999999999</v>
      </c>
      <c r="I11" s="55">
        <v>1.9</v>
      </c>
      <c r="J11" s="55">
        <f t="shared" si="1"/>
        <v>6.2335959999999995</v>
      </c>
      <c r="K11" s="55">
        <v>12</v>
      </c>
      <c r="L11" s="55">
        <f t="shared" si="2"/>
        <v>423.77640000000002</v>
      </c>
      <c r="M11" s="55">
        <f t="shared" si="3"/>
        <v>3170.0640000000003</v>
      </c>
      <c r="N11" s="55">
        <v>10.199999999999999</v>
      </c>
      <c r="O11" s="55">
        <f t="shared" si="4"/>
        <v>2694.5544</v>
      </c>
      <c r="P11" s="55">
        <v>6</v>
      </c>
      <c r="Q11" s="55">
        <f t="shared" ref="Q11" si="8">P11*8.45</f>
        <v>50.699999999999996</v>
      </c>
      <c r="R11" s="55">
        <f t="shared" si="5"/>
        <v>0.67165089891744789</v>
      </c>
      <c r="S11" s="55">
        <v>2.87</v>
      </c>
      <c r="T11" s="85">
        <f t="shared" si="6"/>
        <v>1.4860833789954339E-4</v>
      </c>
      <c r="U11" s="85">
        <f t="shared" si="7"/>
        <v>1.30180904E-3</v>
      </c>
    </row>
    <row r="12" spans="1:24" ht="15" customHeight="1" x14ac:dyDescent="0.25">
      <c r="G12" s="54"/>
      <c r="H12" s="54"/>
      <c r="I12" s="54"/>
      <c r="J12" s="54"/>
      <c r="K12" s="54"/>
      <c r="L12" s="54"/>
      <c r="M12" s="54"/>
      <c r="N12" s="54"/>
      <c r="O12" s="54"/>
      <c r="P12" s="54"/>
      <c r="Q12" s="54"/>
      <c r="R12" s="54"/>
      <c r="S12" s="54"/>
      <c r="T12" s="86">
        <f>SUM(T9:T11)</f>
        <v>3.3398041095890417E-4</v>
      </c>
      <c r="U12" s="86">
        <f>SUM(U9:U11)</f>
        <v>2.9256683999999999E-3</v>
      </c>
    </row>
  </sheetData>
  <sheetProtection password="B056" sheet="1" objects="1" scenarios="1"/>
  <mergeCells count="20">
    <mergeCell ref="E7:F7"/>
    <mergeCell ref="A7:A8"/>
    <mergeCell ref="B7:B8"/>
    <mergeCell ref="C7:C8"/>
    <mergeCell ref="D7:D8"/>
    <mergeCell ref="N7:N8"/>
    <mergeCell ref="G7:G8"/>
    <mergeCell ref="H7:H8"/>
    <mergeCell ref="I7:I8"/>
    <mergeCell ref="J7:J8"/>
    <mergeCell ref="K7:K8"/>
    <mergeCell ref="L7:L8"/>
    <mergeCell ref="M7:M8"/>
    <mergeCell ref="U7:U8"/>
    <mergeCell ref="S7:S8"/>
    <mergeCell ref="T7:T8"/>
    <mergeCell ref="O7:O8"/>
    <mergeCell ref="P7:P8"/>
    <mergeCell ref="Q7:Q8"/>
    <mergeCell ref="R7:R8"/>
  </mergeCells>
  <pageMargins left="0.511811024" right="0.511811024" top="0.78740157499999996" bottom="0.78740157499999996" header="0.31496062000000002" footer="0.31496062000000002"/>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E18" sqref="E18"/>
    </sheetView>
  </sheetViews>
  <sheetFormatPr defaultRowHeight="15" customHeight="1" x14ac:dyDescent="0.25"/>
  <cols>
    <col min="1" max="1" width="21.7109375" style="2" customWidth="1"/>
    <col min="2" max="2" width="10.7109375" style="2" customWidth="1"/>
    <col min="3" max="3" width="14.85546875" style="2" customWidth="1"/>
    <col min="4" max="4" width="15.28515625" style="2" customWidth="1"/>
    <col min="5" max="5" width="74.42578125" style="2" bestFit="1" customWidth="1"/>
    <col min="6" max="16384" width="9.140625" style="2"/>
  </cols>
  <sheetData>
    <row r="1" spans="1:5" ht="15" customHeight="1" x14ac:dyDescent="0.25">
      <c r="A1" s="67" t="s">
        <v>174</v>
      </c>
      <c r="B1" s="33">
        <v>0.453592</v>
      </c>
    </row>
    <row r="2" spans="1:5" ht="15" customHeight="1" x14ac:dyDescent="0.25">
      <c r="A2" s="67"/>
      <c r="B2" s="33"/>
    </row>
    <row r="3" spans="1:5" ht="15" customHeight="1" x14ac:dyDescent="0.25">
      <c r="A3" s="2" t="s">
        <v>194</v>
      </c>
    </row>
    <row r="4" spans="1:5" ht="25.5" customHeight="1" x14ac:dyDescent="0.25">
      <c r="A4" s="69" t="s">
        <v>156</v>
      </c>
      <c r="B4" s="69" t="s">
        <v>157</v>
      </c>
      <c r="C4" s="69" t="s">
        <v>175</v>
      </c>
      <c r="D4" s="69" t="s">
        <v>64</v>
      </c>
      <c r="E4" s="60" t="s">
        <v>162</v>
      </c>
    </row>
    <row r="5" spans="1:5" ht="15" customHeight="1" x14ac:dyDescent="0.25">
      <c r="A5" s="2" t="s">
        <v>158</v>
      </c>
      <c r="B5" s="5">
        <v>2000</v>
      </c>
      <c r="C5" s="28">
        <v>1.8E-3</v>
      </c>
      <c r="D5" s="16">
        <f>B5*C5*$B$1</f>
        <v>1.6329312</v>
      </c>
      <c r="E5" s="2" t="s">
        <v>163</v>
      </c>
    </row>
    <row r="6" spans="1:5" ht="15" customHeight="1" x14ac:dyDescent="0.25">
      <c r="A6" s="2" t="s">
        <v>167</v>
      </c>
      <c r="B6" s="5">
        <v>56</v>
      </c>
      <c r="C6" s="28">
        <v>4.7E-2</v>
      </c>
      <c r="D6" s="16">
        <f>B6*C6*$B$1</f>
        <v>1.1938541440000001</v>
      </c>
      <c r="E6" s="2" t="s">
        <v>187</v>
      </c>
    </row>
    <row r="7" spans="1:5" ht="15" customHeight="1" x14ac:dyDescent="0.25">
      <c r="A7" s="2" t="s">
        <v>159</v>
      </c>
      <c r="B7" s="5">
        <v>322</v>
      </c>
      <c r="C7" s="28">
        <v>5.1000000000000004E-4</v>
      </c>
      <c r="D7" s="16">
        <f>B7*C7*$B$1</f>
        <v>7.448887824E-2</v>
      </c>
      <c r="E7" s="2" t="s">
        <v>188</v>
      </c>
    </row>
    <row r="8" spans="1:5" ht="15" customHeight="1" x14ac:dyDescent="0.25">
      <c r="A8" s="2" t="s">
        <v>160</v>
      </c>
      <c r="B8" s="5">
        <v>62</v>
      </c>
      <c r="C8" s="28">
        <v>4.7E-2</v>
      </c>
      <c r="D8" s="16">
        <f>B8*C8*$B$1</f>
        <v>1.3217670880000001</v>
      </c>
      <c r="E8" s="2" t="s">
        <v>189</v>
      </c>
    </row>
    <row r="9" spans="1:5" ht="15" customHeight="1" x14ac:dyDescent="0.25">
      <c r="A9" s="2" t="s">
        <v>161</v>
      </c>
      <c r="B9" s="5">
        <v>3</v>
      </c>
      <c r="C9" s="28">
        <v>0.5</v>
      </c>
      <c r="D9" s="16">
        <f>B9*C9*$B$1</f>
        <v>0.68038799999999999</v>
      </c>
      <c r="E9" s="2" t="s">
        <v>164</v>
      </c>
    </row>
    <row r="10" spans="1:5" ht="15" customHeight="1" x14ac:dyDescent="0.25">
      <c r="A10" s="118" t="s">
        <v>79</v>
      </c>
      <c r="B10" s="119"/>
      <c r="C10" s="120"/>
      <c r="D10" s="29">
        <f>SUM(D5:D9)</f>
        <v>4.9034293102399999</v>
      </c>
      <c r="E10" s="29"/>
    </row>
    <row r="12" spans="1:5" s="77" customFormat="1" ht="15" customHeight="1" x14ac:dyDescent="0.25"/>
    <row r="13" spans="1:5" s="77" customFormat="1" ht="15" customHeight="1" x14ac:dyDescent="0.25">
      <c r="A13" s="80"/>
    </row>
    <row r="14" spans="1:5" s="77" customFormat="1" ht="15" customHeight="1" x14ac:dyDescent="0.25"/>
    <row r="15" spans="1:5" s="77" customFormat="1" ht="15" customHeight="1" x14ac:dyDescent="0.25">
      <c r="A15" s="80"/>
    </row>
    <row r="16" spans="1:5" s="77" customFormat="1" ht="15" customHeight="1" x14ac:dyDescent="0.25"/>
    <row r="17" spans="1:5" s="77" customFormat="1" ht="15" customHeight="1" x14ac:dyDescent="0.25"/>
    <row r="18" spans="1:5" s="77" customFormat="1" ht="15" customHeight="1" x14ac:dyDescent="0.25">
      <c r="A18" s="80"/>
      <c r="C18" s="78"/>
      <c r="E18" s="79"/>
    </row>
  </sheetData>
  <sheetProtection password="B056" sheet="1" objects="1" scenarios="1"/>
  <mergeCells count="1">
    <mergeCell ref="A10:C10"/>
  </mergeCells>
  <pageMargins left="0.511811024" right="0.511811024" top="0.78740157499999996" bottom="0.78740157499999996" header="0.31496062000000002" footer="0.31496062000000002"/>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
  <sheetViews>
    <sheetView workbookViewId="0">
      <selection activeCell="A2" sqref="A2"/>
    </sheetView>
  </sheetViews>
  <sheetFormatPr defaultRowHeight="15" customHeight="1" x14ac:dyDescent="0.25"/>
  <cols>
    <col min="1" max="1" width="25.85546875" style="2" customWidth="1"/>
    <col min="2" max="2" width="12.28515625" style="2" customWidth="1"/>
    <col min="3" max="3" width="15.28515625" style="2" customWidth="1"/>
    <col min="4" max="4" width="15.140625" style="2" customWidth="1"/>
    <col min="5" max="5" width="13.85546875" style="2" customWidth="1"/>
    <col min="6" max="16384" width="9.140625" style="2"/>
  </cols>
  <sheetData>
    <row r="1" spans="1:7" ht="15" customHeight="1" x14ac:dyDescent="0.25">
      <c r="A1" s="2" t="s">
        <v>195</v>
      </c>
    </row>
    <row r="2" spans="1:7" ht="30.75" customHeight="1" x14ac:dyDescent="0.25">
      <c r="A2" s="64" t="s">
        <v>196</v>
      </c>
      <c r="B2" s="64" t="s">
        <v>165</v>
      </c>
      <c r="C2" s="64" t="s">
        <v>176</v>
      </c>
      <c r="D2" s="64" t="s">
        <v>177</v>
      </c>
    </row>
    <row r="3" spans="1:7" ht="15" customHeight="1" x14ac:dyDescent="0.25">
      <c r="A3" s="11" t="s">
        <v>173</v>
      </c>
      <c r="B3" s="16">
        <f>Plan1!G12/8760</f>
        <v>3.1306150114155247</v>
      </c>
      <c r="C3" s="2">
        <v>0.1</v>
      </c>
      <c r="D3" s="16">
        <f>C3*B3</f>
        <v>0.31306150114155251</v>
      </c>
    </row>
    <row r="4" spans="1:7" ht="15" customHeight="1" x14ac:dyDescent="0.25">
      <c r="A4" s="83" t="s">
        <v>168</v>
      </c>
      <c r="B4" s="84"/>
      <c r="C4" s="83">
        <v>0.04</v>
      </c>
      <c r="D4" s="82"/>
      <c r="E4" s="104" t="s">
        <v>191</v>
      </c>
      <c r="F4" s="104"/>
      <c r="G4" s="104"/>
    </row>
    <row r="5" spans="1:7" ht="15" customHeight="1" x14ac:dyDescent="0.25">
      <c r="A5" s="83" t="s">
        <v>169</v>
      </c>
      <c r="B5" s="84"/>
      <c r="C5" s="83">
        <v>5.0000000000000001E-3</v>
      </c>
      <c r="D5" s="82"/>
      <c r="E5" s="104"/>
      <c r="F5" s="104"/>
      <c r="G5" s="104"/>
    </row>
    <row r="6" spans="1:7" ht="15" customHeight="1" x14ac:dyDescent="0.25">
      <c r="A6" s="83" t="s">
        <v>170</v>
      </c>
      <c r="B6" s="84"/>
      <c r="C6" s="83">
        <v>3.4</v>
      </c>
      <c r="D6" s="82"/>
      <c r="E6" s="104"/>
      <c r="F6" s="104"/>
      <c r="G6" s="104"/>
    </row>
    <row r="7" spans="1:7" ht="15" customHeight="1" x14ac:dyDescent="0.25">
      <c r="A7" s="83" t="s">
        <v>171</v>
      </c>
      <c r="B7" s="84"/>
      <c r="C7" s="83">
        <v>0.2</v>
      </c>
      <c r="D7" s="82"/>
      <c r="E7" s="104"/>
      <c r="F7" s="104"/>
      <c r="G7" s="104"/>
    </row>
    <row r="8" spans="1:7" ht="15" customHeight="1" x14ac:dyDescent="0.25">
      <c r="A8" s="2" t="s">
        <v>172</v>
      </c>
      <c r="B8" s="16">
        <f>Plan1!G2/8760</f>
        <v>0.14208333333333334</v>
      </c>
      <c r="C8" s="2">
        <v>8.9999999999999998E-4</v>
      </c>
      <c r="D8" s="23">
        <f t="shared" ref="D8" si="0">C8*B8</f>
        <v>1.27875E-4</v>
      </c>
    </row>
    <row r="9" spans="1:7" ht="15" customHeight="1" x14ac:dyDescent="0.25">
      <c r="A9" s="118" t="s">
        <v>79</v>
      </c>
      <c r="B9" s="119"/>
      <c r="C9" s="120"/>
      <c r="D9" s="29">
        <f>SUM(D3,D8)</f>
        <v>0.31318937614155251</v>
      </c>
    </row>
    <row r="12" spans="1:7" ht="15" customHeight="1" x14ac:dyDescent="0.25">
      <c r="A12" s="2" t="s">
        <v>192</v>
      </c>
    </row>
    <row r="13" spans="1:7" ht="30" customHeight="1" x14ac:dyDescent="0.25">
      <c r="A13" s="64" t="s">
        <v>197</v>
      </c>
      <c r="B13" s="64" t="s">
        <v>193</v>
      </c>
      <c r="C13" s="64" t="s">
        <v>185</v>
      </c>
      <c r="D13" s="64" t="s">
        <v>177</v>
      </c>
    </row>
    <row r="14" spans="1:7" ht="21" customHeight="1" x14ac:dyDescent="0.25">
      <c r="A14" s="75" t="s">
        <v>184</v>
      </c>
      <c r="B14" s="65">
        <f>(4+7)/2</f>
        <v>5.5</v>
      </c>
      <c r="C14" s="16">
        <f>(((Plan1!B15)*0.2/8760)*0.5)*1000</f>
        <v>312.20319634703196</v>
      </c>
      <c r="D14" s="19">
        <f>C14*(B14/100)</f>
        <v>17.171175799086758</v>
      </c>
    </row>
    <row r="16" spans="1:7" ht="15" customHeight="1" x14ac:dyDescent="0.25">
      <c r="A16" s="68"/>
    </row>
  </sheetData>
  <sheetProtection password="B056" sheet="1" objects="1" scenarios="1"/>
  <mergeCells count="2">
    <mergeCell ref="A9:C9"/>
    <mergeCell ref="E4:G7"/>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6"/>
  <sheetViews>
    <sheetView topLeftCell="B1" workbookViewId="0">
      <selection activeCell="K17" sqref="K17"/>
    </sheetView>
  </sheetViews>
  <sheetFormatPr defaultRowHeight="15" customHeight="1" x14ac:dyDescent="0.25"/>
  <cols>
    <col min="1" max="1" width="22.7109375" style="2" customWidth="1"/>
    <col min="2" max="2" width="10" style="2" customWidth="1"/>
    <col min="3" max="3" width="9.140625" style="2"/>
    <col min="4" max="4" width="10.140625" style="2" customWidth="1"/>
    <col min="5" max="5" width="9.140625" style="2"/>
    <col min="6" max="6" width="10.28515625" style="2" customWidth="1"/>
    <col min="7" max="7" width="11.28515625" style="2" bestFit="1" customWidth="1"/>
    <col min="8" max="8" width="11.28515625" style="2" customWidth="1"/>
    <col min="9" max="9" width="9.5703125" style="2" customWidth="1"/>
    <col min="10" max="16384" width="9.140625" style="2"/>
  </cols>
  <sheetData>
    <row r="1" spans="1:23" ht="15" customHeight="1" x14ac:dyDescent="0.25">
      <c r="A1" s="2" t="s">
        <v>78</v>
      </c>
      <c r="B1" s="27">
        <v>999318</v>
      </c>
    </row>
    <row r="2" spans="1:23" ht="15" customHeight="1" x14ac:dyDescent="0.25">
      <c r="A2" s="2" t="s">
        <v>76</v>
      </c>
      <c r="B2" s="27">
        <v>47657</v>
      </c>
    </row>
    <row r="3" spans="1:23" ht="15" customHeight="1" x14ac:dyDescent="0.25">
      <c r="A3" s="2" t="s">
        <v>97</v>
      </c>
      <c r="B3" s="10">
        <v>0.18</v>
      </c>
    </row>
    <row r="4" spans="1:23" ht="15" customHeight="1" x14ac:dyDescent="0.25">
      <c r="B4" s="33"/>
    </row>
    <row r="6" spans="1:23" ht="15" customHeight="1" x14ac:dyDescent="0.25">
      <c r="A6" s="123" t="s">
        <v>0</v>
      </c>
      <c r="B6" s="123" t="s">
        <v>1</v>
      </c>
      <c r="C6" s="123" t="s">
        <v>2</v>
      </c>
      <c r="D6" s="123" t="s">
        <v>3</v>
      </c>
      <c r="E6" s="123" t="s">
        <v>4</v>
      </c>
      <c r="F6" s="123" t="s">
        <v>10</v>
      </c>
      <c r="G6" s="123" t="s">
        <v>11</v>
      </c>
      <c r="H6" s="123" t="s">
        <v>6</v>
      </c>
      <c r="I6" s="123" t="s">
        <v>77</v>
      </c>
      <c r="J6" s="122" t="s">
        <v>96</v>
      </c>
      <c r="K6" s="122"/>
      <c r="L6" s="122"/>
      <c r="M6" s="122"/>
      <c r="N6" s="122"/>
      <c r="O6" s="122"/>
      <c r="P6" s="122"/>
      <c r="Q6" s="121" t="s">
        <v>64</v>
      </c>
      <c r="R6" s="121"/>
      <c r="S6" s="121"/>
      <c r="T6" s="121"/>
      <c r="U6" s="121"/>
      <c r="V6" s="121"/>
      <c r="W6" s="121"/>
    </row>
    <row r="7" spans="1:23" ht="15" customHeight="1" x14ac:dyDescent="0.25">
      <c r="A7" s="123"/>
      <c r="B7" s="123"/>
      <c r="C7" s="123"/>
      <c r="D7" s="123"/>
      <c r="E7" s="123"/>
      <c r="F7" s="123"/>
      <c r="G7" s="123"/>
      <c r="H7" s="123"/>
      <c r="I7" s="123"/>
      <c r="J7" s="22" t="s">
        <v>58</v>
      </c>
      <c r="K7" s="22" t="s">
        <v>59</v>
      </c>
      <c r="L7" s="22" t="s">
        <v>60</v>
      </c>
      <c r="M7" s="30" t="s">
        <v>61</v>
      </c>
      <c r="N7" s="30" t="s">
        <v>62</v>
      </c>
      <c r="O7" s="30" t="s">
        <v>13</v>
      </c>
      <c r="P7" s="30" t="s">
        <v>63</v>
      </c>
      <c r="Q7" s="22" t="s">
        <v>58</v>
      </c>
      <c r="R7" s="22" t="s">
        <v>59</v>
      </c>
      <c r="S7" s="22" t="s">
        <v>60</v>
      </c>
      <c r="T7" s="30" t="s">
        <v>61</v>
      </c>
      <c r="U7" s="30" t="s">
        <v>62</v>
      </c>
      <c r="V7" s="30" t="s">
        <v>13</v>
      </c>
      <c r="W7" s="30" t="s">
        <v>63</v>
      </c>
    </row>
    <row r="8" spans="1:23" ht="15" customHeight="1" x14ac:dyDescent="0.25">
      <c r="A8" s="2" t="s">
        <v>80</v>
      </c>
      <c r="B8" s="81">
        <v>-20.175909999999998</v>
      </c>
      <c r="C8" s="4">
        <v>-40.229506999999998</v>
      </c>
      <c r="D8" s="4">
        <f>500/1000</f>
        <v>0.5</v>
      </c>
      <c r="E8" s="4">
        <v>14</v>
      </c>
      <c r="F8" s="4">
        <v>150</v>
      </c>
      <c r="G8" s="4">
        <v>300</v>
      </c>
      <c r="H8" s="2" t="s">
        <v>8</v>
      </c>
      <c r="I8" s="5">
        <f>999318/8760</f>
        <v>114.07739726027397</v>
      </c>
      <c r="J8" s="5">
        <f>'FE - Combustão'!C15</f>
        <v>121.6</v>
      </c>
      <c r="K8" s="4" t="s">
        <v>42</v>
      </c>
      <c r="L8" s="4" t="s">
        <v>42</v>
      </c>
      <c r="M8" s="5">
        <f>'FE - Combustão'!D5</f>
        <v>1600</v>
      </c>
      <c r="N8" s="5">
        <f>'FE - Combustão'!C13</f>
        <v>9.6</v>
      </c>
      <c r="O8" s="5">
        <f>'FE - Combustão'!D6</f>
        <v>1344</v>
      </c>
      <c r="P8" s="5">
        <f>'FE - Combustão'!C14</f>
        <v>88</v>
      </c>
      <c r="Q8" s="23">
        <f>(J8*I8)/10^6</f>
        <v>1.3871811506849314E-2</v>
      </c>
      <c r="R8" s="23">
        <f>Q8</f>
        <v>1.3871811506849314E-2</v>
      </c>
      <c r="S8" s="23">
        <f>Q8</f>
        <v>1.3871811506849314E-2</v>
      </c>
      <c r="T8" s="23">
        <f>(M8*I8)/10^6</f>
        <v>0.18252383561643837</v>
      </c>
      <c r="U8" s="23">
        <f>(N8*I8)/10^6</f>
        <v>1.0951430136986301E-3</v>
      </c>
      <c r="V8" s="23">
        <f>(O8*I8)/10^6</f>
        <v>0.15332002191780822</v>
      </c>
      <c r="W8" s="23">
        <f>Monitoramento!B9</f>
        <v>0.25</v>
      </c>
    </row>
    <row r="9" spans="1:23" ht="15" customHeight="1" x14ac:dyDescent="0.25">
      <c r="A9" s="2" t="s">
        <v>5</v>
      </c>
      <c r="B9" s="4">
        <v>-20.176493000000001</v>
      </c>
      <c r="C9" s="4">
        <v>-40.229624999999999</v>
      </c>
      <c r="D9" s="16">
        <f>152.4/1000</f>
        <v>0.15240000000000001</v>
      </c>
      <c r="E9" s="4">
        <v>8</v>
      </c>
      <c r="F9" s="4">
        <v>0.08</v>
      </c>
      <c r="H9" s="2" t="s">
        <v>7</v>
      </c>
      <c r="I9" s="28">
        <f>(B2/1000)/8760</f>
        <v>5.4402968036529678E-3</v>
      </c>
      <c r="J9" s="16">
        <f>'FE - Combustão'!K33</f>
        <v>0.24</v>
      </c>
      <c r="K9" s="16">
        <f>'FE - Combustão'!D23</f>
        <v>0.12</v>
      </c>
      <c r="L9" s="16">
        <f>'FE - Combustão'!D24</f>
        <v>0.03</v>
      </c>
      <c r="M9" s="12">
        <f>'FE - Combustão'!E33</f>
        <v>2.4</v>
      </c>
      <c r="N9" s="4" t="str">
        <f>'FE - Combustão'!B33</f>
        <v>142S</v>
      </c>
      <c r="O9" s="4">
        <f>'FE - Combustão'!H33</f>
        <v>0.6</v>
      </c>
      <c r="P9" s="16">
        <f>'FE - Combustão'!C46</f>
        <v>3.024E-2</v>
      </c>
      <c r="Q9" s="23">
        <f>J9*I9</f>
        <v>1.3056712328767123E-3</v>
      </c>
      <c r="R9" s="23">
        <f>K9*I9</f>
        <v>6.5283561643835614E-4</v>
      </c>
      <c r="S9" s="23">
        <f>L9*I9</f>
        <v>1.6320890410958903E-4</v>
      </c>
      <c r="T9" s="23">
        <f>M9*I9</f>
        <v>1.3056712328767123E-2</v>
      </c>
      <c r="U9" s="23">
        <f>142*B3*0.12*I9</f>
        <v>1.668647835616438E-2</v>
      </c>
      <c r="V9" s="23">
        <f>O9*I9</f>
        <v>3.2641780821917807E-3</v>
      </c>
      <c r="W9" s="23">
        <f>P9*I9</f>
        <v>1.6451457534246574E-4</v>
      </c>
    </row>
    <row r="10" spans="1:23" ht="15" customHeight="1" x14ac:dyDescent="0.25">
      <c r="A10" s="118" t="s">
        <v>79</v>
      </c>
      <c r="B10" s="119"/>
      <c r="C10" s="119"/>
      <c r="D10" s="119"/>
      <c r="E10" s="119"/>
      <c r="F10" s="119"/>
      <c r="G10" s="119"/>
      <c r="H10" s="119"/>
      <c r="I10" s="119"/>
      <c r="J10" s="119"/>
      <c r="K10" s="119"/>
      <c r="L10" s="119"/>
      <c r="M10" s="119"/>
      <c r="N10" s="119"/>
      <c r="O10" s="119"/>
      <c r="P10" s="120"/>
      <c r="Q10" s="29">
        <f t="shared" ref="Q10:W10" si="0">SUM(Q8:Q9)</f>
        <v>1.5177482739726026E-2</v>
      </c>
      <c r="R10" s="29">
        <f t="shared" si="0"/>
        <v>1.452464712328767E-2</v>
      </c>
      <c r="S10" s="29">
        <f t="shared" si="0"/>
        <v>1.4035020410958903E-2</v>
      </c>
      <c r="T10" s="29">
        <f t="shared" si="0"/>
        <v>0.19558054794520549</v>
      </c>
      <c r="U10" s="29">
        <f t="shared" si="0"/>
        <v>1.7781621369863009E-2</v>
      </c>
      <c r="V10" s="29">
        <f t="shared" si="0"/>
        <v>0.15658420000000001</v>
      </c>
      <c r="W10" s="29">
        <f t="shared" si="0"/>
        <v>0.25016451457534244</v>
      </c>
    </row>
    <row r="24" spans="5:12" ht="15" customHeight="1" x14ac:dyDescent="0.25">
      <c r="E24" s="4"/>
      <c r="F24" s="4"/>
    </row>
    <row r="25" spans="5:12" ht="15" customHeight="1" x14ac:dyDescent="0.25">
      <c r="E25" s="4"/>
      <c r="F25" s="4"/>
      <c r="L25" s="3"/>
    </row>
    <row r="26" spans="5:12" ht="15" customHeight="1" x14ac:dyDescent="0.25">
      <c r="E26" s="52"/>
    </row>
  </sheetData>
  <sheetProtection password="B056" sheet="1" objects="1" scenarios="1"/>
  <mergeCells count="12">
    <mergeCell ref="Q6:W6"/>
    <mergeCell ref="A10:P10"/>
    <mergeCell ref="J6:P6"/>
    <mergeCell ref="A6:A7"/>
    <mergeCell ref="B6:B7"/>
    <mergeCell ref="C6:C7"/>
    <mergeCell ref="D6:D7"/>
    <mergeCell ref="E6:E7"/>
    <mergeCell ref="F6:F7"/>
    <mergeCell ref="G6:G7"/>
    <mergeCell ref="H6:H7"/>
    <mergeCell ref="I6:I7"/>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abSelected="1" workbookViewId="0">
      <selection activeCell="F22" sqref="F22"/>
    </sheetView>
  </sheetViews>
  <sheetFormatPr defaultRowHeight="15" customHeight="1" x14ac:dyDescent="0.25"/>
  <cols>
    <col min="1" max="1" width="30.42578125" style="2" bestFit="1" customWidth="1"/>
    <col min="2" max="2" width="9.140625" style="2" customWidth="1"/>
    <col min="3" max="16384" width="9.140625" style="2"/>
  </cols>
  <sheetData>
    <row r="1" spans="1:12" ht="15" customHeight="1" x14ac:dyDescent="0.25">
      <c r="A1" s="124" t="s">
        <v>178</v>
      </c>
      <c r="B1" s="121" t="s">
        <v>64</v>
      </c>
      <c r="C1" s="121"/>
      <c r="D1" s="121"/>
      <c r="E1" s="121"/>
      <c r="F1" s="121"/>
      <c r="G1" s="121"/>
      <c r="H1" s="121"/>
    </row>
    <row r="2" spans="1:12" ht="15" customHeight="1" x14ac:dyDescent="0.25">
      <c r="A2" s="125"/>
      <c r="B2" s="63" t="s">
        <v>58</v>
      </c>
      <c r="C2" s="63" t="s">
        <v>59</v>
      </c>
      <c r="D2" s="63" t="s">
        <v>179</v>
      </c>
      <c r="E2" s="63" t="s">
        <v>61</v>
      </c>
      <c r="F2" s="63" t="s">
        <v>62</v>
      </c>
      <c r="G2" s="63" t="s">
        <v>13</v>
      </c>
      <c r="H2" s="63" t="s">
        <v>63</v>
      </c>
    </row>
    <row r="3" spans="1:12" ht="15" customHeight="1" x14ac:dyDescent="0.25">
      <c r="A3" s="71" t="s">
        <v>181</v>
      </c>
      <c r="B3" s="55" t="s">
        <v>42</v>
      </c>
      <c r="C3" s="55" t="s">
        <v>42</v>
      </c>
      <c r="D3" s="55" t="s">
        <v>42</v>
      </c>
      <c r="E3" s="55" t="s">
        <v>42</v>
      </c>
      <c r="F3" s="55" t="s">
        <v>42</v>
      </c>
      <c r="G3" s="55" t="s">
        <v>42</v>
      </c>
      <c r="H3" s="70">
        <f>Tanques!T12</f>
        <v>3.3398041095890417E-4</v>
      </c>
    </row>
    <row r="4" spans="1:12" ht="15" customHeight="1" x14ac:dyDescent="0.25">
      <c r="A4" s="72" t="s">
        <v>182</v>
      </c>
      <c r="B4" s="55" t="s">
        <v>42</v>
      </c>
      <c r="C4" s="55" t="s">
        <v>42</v>
      </c>
      <c r="D4" s="55" t="s">
        <v>42</v>
      </c>
      <c r="E4" s="55" t="s">
        <v>42</v>
      </c>
      <c r="F4" s="55" t="s">
        <v>42</v>
      </c>
      <c r="G4" s="55" t="s">
        <v>42</v>
      </c>
      <c r="H4" s="55">
        <f>Flanges!D10</f>
        <v>4.9034293102399999</v>
      </c>
    </row>
    <row r="5" spans="1:12" ht="15" customHeight="1" x14ac:dyDescent="0.25">
      <c r="A5" s="72" t="s">
        <v>198</v>
      </c>
      <c r="B5" s="55" t="s">
        <v>42</v>
      </c>
      <c r="C5" s="55" t="s">
        <v>42</v>
      </c>
      <c r="D5" s="55" t="s">
        <v>42</v>
      </c>
      <c r="E5" s="55" t="s">
        <v>42</v>
      </c>
      <c r="F5" s="55" t="s">
        <v>42</v>
      </c>
      <c r="G5" s="55" t="s">
        <v>42</v>
      </c>
      <c r="H5" s="55">
        <f>'Emissão Produção'!D9</f>
        <v>0.31318937614155251</v>
      </c>
    </row>
    <row r="6" spans="1:12" ht="15" customHeight="1" x14ac:dyDescent="0.25">
      <c r="A6" s="74" t="s">
        <v>190</v>
      </c>
      <c r="B6" s="55"/>
      <c r="C6" s="55"/>
      <c r="D6" s="55"/>
      <c r="E6" s="55"/>
      <c r="F6" s="55"/>
      <c r="G6" s="55"/>
      <c r="H6" s="55">
        <f>'Emissão Produção'!D14</f>
        <v>17.171175799086758</v>
      </c>
    </row>
    <row r="7" spans="1:12" ht="15" customHeight="1" x14ac:dyDescent="0.25">
      <c r="A7" s="2" t="s">
        <v>183</v>
      </c>
      <c r="B7" s="55">
        <f>'Emissão Chaminés'!Q10</f>
        <v>1.5177482739726026E-2</v>
      </c>
      <c r="C7" s="55">
        <f>'Emissão Chaminés'!R10</f>
        <v>1.452464712328767E-2</v>
      </c>
      <c r="D7" s="55">
        <f>'Emissão Chaminés'!S10</f>
        <v>1.4035020410958903E-2</v>
      </c>
      <c r="E7" s="55">
        <f>'Emissão Chaminés'!T10</f>
        <v>0.19558054794520549</v>
      </c>
      <c r="F7" s="55">
        <f>'Emissão Chaminés'!U10</f>
        <v>1.7781621369863009E-2</v>
      </c>
      <c r="G7" s="55">
        <f>'Emissão Chaminés'!V10</f>
        <v>0.15658420000000001</v>
      </c>
      <c r="H7" s="55">
        <f>'Emissão Chaminés'!W10</f>
        <v>0.25016451457534244</v>
      </c>
    </row>
    <row r="8" spans="1:12" ht="15" customHeight="1" x14ac:dyDescent="0.25">
      <c r="A8" s="73" t="s">
        <v>79</v>
      </c>
      <c r="B8" s="73">
        <f t="shared" ref="B8:H8" si="0">SUM(B3:B7)</f>
        <v>1.5177482739726026E-2</v>
      </c>
      <c r="C8" s="73">
        <f t="shared" si="0"/>
        <v>1.452464712328767E-2</v>
      </c>
      <c r="D8" s="73">
        <f t="shared" si="0"/>
        <v>1.4035020410958903E-2</v>
      </c>
      <c r="E8" s="73">
        <f t="shared" si="0"/>
        <v>0.19558054794520549</v>
      </c>
      <c r="F8" s="73">
        <f t="shared" si="0"/>
        <v>1.7781621369863009E-2</v>
      </c>
      <c r="G8" s="73">
        <f t="shared" si="0"/>
        <v>0.15658420000000001</v>
      </c>
      <c r="H8" s="73">
        <f t="shared" si="0"/>
        <v>22.638292980454612</v>
      </c>
    </row>
    <row r="12" spans="1:12" ht="15" customHeight="1" x14ac:dyDescent="0.25">
      <c r="B12" s="55"/>
    </row>
    <row r="15" spans="1:12" ht="15" customHeight="1" x14ac:dyDescent="0.25">
      <c r="L15" s="2" t="s">
        <v>180</v>
      </c>
    </row>
  </sheetData>
  <sheetProtection password="B056" sheet="1" objects="1" scenarios="1"/>
  <mergeCells count="2">
    <mergeCell ref="A1:A2"/>
    <mergeCell ref="B1:H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Plan1</vt:lpstr>
      <vt:lpstr>FE - Combustão</vt:lpstr>
      <vt:lpstr>Monitoramento</vt:lpstr>
      <vt:lpstr>Tanques</vt:lpstr>
      <vt:lpstr>Flanges</vt:lpstr>
      <vt:lpstr>Emissão Produção</vt:lpstr>
      <vt:lpstr>Emissão Chaminés</vt:lpstr>
      <vt:lpstr>Resumo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Tatiane Jardim Morais</dc:creator>
  <cp:lastModifiedBy>Vanessa Brusco Filete</cp:lastModifiedBy>
  <dcterms:created xsi:type="dcterms:W3CDTF">2018-12-12T16:35:49Z</dcterms:created>
  <dcterms:modified xsi:type="dcterms:W3CDTF">2019-06-06T20:46:08Z</dcterms:modified>
</cp:coreProperties>
</file>