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Oiltanking\"/>
    </mc:Choice>
  </mc:AlternateContent>
  <bookViews>
    <workbookView xWindow="240" yWindow="165" windowWidth="17235" windowHeight="6150" activeTab="4"/>
  </bookViews>
  <sheets>
    <sheet name="Ofício" sheetId="8" r:id="rId1"/>
    <sheet name="Considerações_TQ-01-602" sheetId="3" r:id="rId2"/>
    <sheet name="Tanques" sheetId="1" r:id="rId3"/>
    <sheet name="Emissão Plataforma" sheetId="7" r:id="rId4"/>
    <sheet name="Resumo" sheetId="9" r:id="rId5"/>
  </sheets>
  <calcPr calcId="152511"/>
</workbook>
</file>

<file path=xl/calcChain.xml><?xml version="1.0" encoding="utf-8"?>
<calcChain xmlns="http://schemas.openxmlformats.org/spreadsheetml/2006/main">
  <c r="AE12" i="1" l="1"/>
  <c r="AE35" i="1"/>
  <c r="W33" i="1" l="1"/>
  <c r="R33" i="1"/>
  <c r="AE34" i="1" l="1"/>
  <c r="AE33" i="1"/>
  <c r="AE32" i="1"/>
  <c r="AE31" i="1"/>
  <c r="AE29" i="1"/>
  <c r="AE27" i="1"/>
  <c r="AE26" i="1"/>
  <c r="AE25" i="1"/>
  <c r="AE24" i="1"/>
  <c r="B1" i="1" l="1"/>
  <c r="H17" i="7" l="1"/>
  <c r="H16" i="7"/>
  <c r="H15" i="7"/>
  <c r="H14" i="7"/>
  <c r="H13" i="7"/>
  <c r="H12" i="7"/>
  <c r="W12" i="1" l="1"/>
  <c r="V12" i="1"/>
  <c r="AD35" i="1" l="1"/>
  <c r="AE13" i="1" l="1"/>
  <c r="AE14" i="1"/>
  <c r="AE15" i="1"/>
  <c r="AE16" i="1"/>
  <c r="AE17" i="1"/>
  <c r="AE18" i="1"/>
  <c r="AE19" i="1"/>
  <c r="AE20" i="1"/>
  <c r="AE21" i="1"/>
  <c r="AE22" i="1"/>
  <c r="AE23" i="1"/>
  <c r="AE28" i="1"/>
  <c r="AE30" i="1"/>
  <c r="B3" i="9" l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12" i="1"/>
  <c r="G2" i="7"/>
  <c r="I2" i="7"/>
  <c r="H2" i="7"/>
  <c r="AF35" i="1" l="1"/>
  <c r="J2" i="7"/>
  <c r="I3" i="7" s="1"/>
  <c r="F16" i="7" s="1"/>
  <c r="G16" i="7" s="1"/>
  <c r="I16" i="7" s="1"/>
  <c r="J16" i="7" s="1"/>
  <c r="V17" i="1"/>
  <c r="D4" i="7"/>
  <c r="D3" i="7"/>
  <c r="D2" i="7"/>
  <c r="G3" i="7" l="1"/>
  <c r="H3" i="7"/>
  <c r="F13" i="7"/>
  <c r="G13" i="7" s="1"/>
  <c r="I13" i="7" s="1"/>
  <c r="J13" i="7" s="1"/>
  <c r="F14" i="7" l="1"/>
  <c r="G14" i="7" s="1"/>
  <c r="I14" i="7" s="1"/>
  <c r="J14" i="7" s="1"/>
  <c r="F17" i="7"/>
  <c r="G17" i="7" s="1"/>
  <c r="I17" i="7" s="1"/>
  <c r="J17" i="7" s="1"/>
  <c r="B23" i="7" s="1"/>
  <c r="F12" i="7"/>
  <c r="G12" i="7" s="1"/>
  <c r="I12" i="7" s="1"/>
  <c r="J12" i="7" s="1"/>
  <c r="K12" i="7" s="1"/>
  <c r="F15" i="7"/>
  <c r="G15" i="7" s="1"/>
  <c r="I15" i="7" s="1"/>
  <c r="J15" i="7" s="1"/>
  <c r="B24" i="7"/>
  <c r="J3" i="7"/>
  <c r="K15" i="7" l="1"/>
  <c r="F18" i="7"/>
  <c r="L15" i="7"/>
  <c r="G18" i="7"/>
  <c r="I18" i="7" l="1"/>
  <c r="B22" i="7" l="1"/>
  <c r="B25" i="7" s="1"/>
  <c r="J18" i="7"/>
  <c r="K18" i="7" l="1"/>
  <c r="B4" i="9" s="1"/>
  <c r="B5" i="9" s="1"/>
  <c r="L12" i="7"/>
  <c r="L18" i="7" s="1"/>
  <c r="B2" i="1"/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2" i="1"/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2" i="1"/>
  <c r="V13" i="1"/>
  <c r="V14" i="1"/>
  <c r="V15" i="1"/>
  <c r="V16" i="1"/>
  <c r="V18" i="1"/>
  <c r="W18" i="1" s="1"/>
  <c r="V19" i="1"/>
  <c r="V20" i="1"/>
  <c r="V21" i="1"/>
  <c r="W21" i="1" s="1"/>
  <c r="V22" i="1"/>
  <c r="W22" i="1" s="1"/>
  <c r="V23" i="1"/>
  <c r="V24" i="1"/>
  <c r="V25" i="1"/>
  <c r="W25" i="1" s="1"/>
  <c r="V26" i="1"/>
  <c r="V27" i="1"/>
  <c r="V28" i="1"/>
  <c r="V29" i="1"/>
  <c r="V30" i="1"/>
  <c r="W30" i="1" s="1"/>
  <c r="V31" i="1"/>
  <c r="V32" i="1"/>
  <c r="V33" i="1"/>
  <c r="V34" i="1"/>
  <c r="W34" i="1" s="1"/>
  <c r="W28" i="1" l="1"/>
  <c r="W24" i="1"/>
  <c r="W16" i="1"/>
  <c r="W32" i="1"/>
  <c r="W20" i="1"/>
  <c r="W31" i="1"/>
  <c r="W27" i="1"/>
  <c r="W23" i="1"/>
  <c r="W19" i="1"/>
  <c r="W15" i="1"/>
  <c r="W29" i="1"/>
  <c r="W26" i="1"/>
  <c r="W17" i="1"/>
  <c r="W14" i="1"/>
  <c r="W13" i="1"/>
  <c r="T14" i="1" l="1"/>
  <c r="T13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2" i="1"/>
  <c r="I29" i="1"/>
  <c r="I30" i="1"/>
  <c r="I31" i="1"/>
  <c r="I32" i="1"/>
  <c r="I33" i="1"/>
  <c r="I34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2" i="1"/>
</calcChain>
</file>

<file path=xl/comments1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http://www.br.com.br/wcm/connect/8ec93cef-af8a-4ec6-b576-c642f581e39a/fispq-comb-oleodiesel-auto-oleodiesel-s500.pdf?MOD=AJPERES&amp;CVID=lLFHMYr
</t>
        </r>
      </text>
    </comment>
    <comment ref="V10" authorId="0" shapeId="0">
      <text>
        <r>
          <rPr>
            <sz val="9"/>
            <color indexed="81"/>
            <rFont val="Segoe UI"/>
            <family val="2"/>
          </rPr>
          <t>Conversão de t/ano para bbl/ano:
http://www.portalnaval.com.br/media/tabela/conversao_petroleo_gas_1.pdf</t>
        </r>
      </text>
    </comment>
    <comment ref="X10" authorId="0" shapeId="0">
      <text>
        <r>
          <rPr>
            <sz val="9"/>
            <color indexed="81"/>
            <rFont val="Segoe UI"/>
            <family val="2"/>
          </rPr>
          <t>Informações repassadas pela empresa</t>
        </r>
      </text>
    </comment>
    <comment ref="Y10" authorId="0" shapeId="0">
      <text>
        <r>
          <rPr>
            <sz val="9"/>
            <color indexed="81"/>
            <rFont val="Segoe UI"/>
            <family val="2"/>
          </rPr>
          <t xml:space="preserve">Considerações para cálculo do tanque
</t>
        </r>
      </text>
    </comment>
    <comment ref="Z10" authorId="0" shapeId="0">
      <text>
        <r>
          <rPr>
            <sz val="9"/>
            <color indexed="81"/>
            <rFont val="Segoe UI"/>
            <family val="2"/>
          </rPr>
          <t xml:space="preserve">Informações repassadas pela empresa
</t>
        </r>
      </text>
    </comment>
    <comment ref="AA10" authorId="0" shapeId="0">
      <text>
        <r>
          <rPr>
            <sz val="9"/>
            <color indexed="81"/>
            <rFont val="Segoe UI"/>
            <family val="2"/>
          </rPr>
          <t xml:space="preserve">Informações repassadas pela empresa
</t>
        </r>
      </text>
    </comment>
    <comment ref="AB10" authorId="0" shapeId="0">
      <text>
        <r>
          <rPr>
            <sz val="9"/>
            <color indexed="81"/>
            <rFont val="Segoe UI"/>
            <family val="2"/>
          </rPr>
          <t xml:space="preserve">Informações repassadas pela empresa
</t>
        </r>
      </text>
    </comment>
    <comment ref="AC10" authorId="0" shapeId="0">
      <text>
        <r>
          <rPr>
            <sz val="9"/>
            <color indexed="81"/>
            <rFont val="Segoe UI"/>
            <family val="2"/>
          </rPr>
          <t xml:space="preserve">Considerações para cálculo do tanque
</t>
        </r>
      </text>
    </comment>
    <comment ref="C14" authorId="0" shapeId="0">
      <text>
        <r>
          <rPr>
            <sz val="9"/>
            <color indexed="81"/>
            <rFont val="Segoe UI"/>
            <family val="2"/>
          </rPr>
          <t>Será usado o diesel de petróleo.
O biodiesel possui características similares ao diesel de petróleo em praticamente todas as propriedades (KNOTHE et al, 2006)
http://www.conhecer.org.br/enciclop/2010c/obtencao.pdf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</authors>
  <commentList>
    <comment ref="B1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  <comment ref="C1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  <comment ref="D1" authorId="0" shapeId="0">
      <text>
        <r>
          <rPr>
            <sz val="9"/>
            <color indexed="81"/>
            <rFont val="Segoe UI"/>
            <family val="2"/>
          </rPr>
          <t xml:space="preserve">Base de dados do Software Tanks
</t>
        </r>
      </text>
    </comment>
    <comment ref="F3" authorId="0" shapeId="0">
      <text>
        <r>
          <rPr>
            <sz val="9"/>
            <color indexed="81"/>
            <rFont val="Segoe UI"/>
            <family val="2"/>
          </rPr>
          <t xml:space="preserve">Não foi especificado o tipo de combustível movimentado nas platarformas, por isso foi utilizado um rateamento percentual considerando o volume total especifico de cada combustível.
</t>
        </r>
      </text>
    </comment>
  </commentList>
</comments>
</file>

<file path=xl/sharedStrings.xml><?xml version="1.0" encoding="utf-8"?>
<sst xmlns="http://schemas.openxmlformats.org/spreadsheetml/2006/main" count="296" uniqueCount="145">
  <si>
    <t>Identificação do Tanque</t>
  </si>
  <si>
    <t>Cor da Pintura de Tanque</t>
  </si>
  <si>
    <t>Combustivel Utilizado</t>
  </si>
  <si>
    <t>BRANCO</t>
  </si>
  <si>
    <t>Biodiesel</t>
  </si>
  <si>
    <t>Gasolina</t>
  </si>
  <si>
    <t>Diesel Marítimo</t>
  </si>
  <si>
    <t>Diesel S500</t>
  </si>
  <si>
    <t>Álcool Hidratado</t>
  </si>
  <si>
    <t>Álcool Anidro</t>
  </si>
  <si>
    <t>Diesel S10</t>
  </si>
  <si>
    <t>Diesel S500 / Diesel S10</t>
  </si>
  <si>
    <t>Diesel S10 / Gasolina</t>
  </si>
  <si>
    <t>Diesel S500 / Diesel S10 / Gasolina</t>
  </si>
  <si>
    <t>Diesel S500 / Diesel S10 / Álcool Anidro / Gasolina</t>
  </si>
  <si>
    <t>TQ-01-601</t>
  </si>
  <si>
    <t>TQ-01-602</t>
  </si>
  <si>
    <t>TQ-02-1001</t>
  </si>
  <si>
    <t>TQ-02-1002</t>
  </si>
  <si>
    <t>TQ-02-1003</t>
  </si>
  <si>
    <t>TQ-02-1004</t>
  </si>
  <si>
    <t>TQ-02-1501</t>
  </si>
  <si>
    <t>TQ-02-1502</t>
  </si>
  <si>
    <t>TQ-01-2001</t>
  </si>
  <si>
    <t>TQ-01-2002</t>
  </si>
  <si>
    <t>TQ-02-2003</t>
  </si>
  <si>
    <t>TQ-02-3001</t>
  </si>
  <si>
    <t>TQ-02-3002</t>
  </si>
  <si>
    <t>TQ-02-4001</t>
  </si>
  <si>
    <t>TQ-02-4002</t>
  </si>
  <si>
    <t>TQ-02-4003</t>
  </si>
  <si>
    <t>TQ-01-5001</t>
  </si>
  <si>
    <t>TQ-01-5002</t>
  </si>
  <si>
    <t>TQ-01-5003</t>
  </si>
  <si>
    <t>TQ-01-5004</t>
  </si>
  <si>
    <t>TQ-01-5005</t>
  </si>
  <si>
    <t>TQ-01-5006</t>
  </si>
  <si>
    <t>TQ-02-5007</t>
  </si>
  <si>
    <t>Disturbios por ano</t>
  </si>
  <si>
    <t>Teto Fixo (Domo)</t>
  </si>
  <si>
    <t>Teto Fixo com Membrana interna flutuante (Domo)</t>
  </si>
  <si>
    <t>sim</t>
  </si>
  <si>
    <t>Condição da casca interna</t>
  </si>
  <si>
    <t>ferrugem leve</t>
  </si>
  <si>
    <t>Selo primário</t>
  </si>
  <si>
    <t>montado em líquido</t>
  </si>
  <si>
    <t>Selo secundário</t>
  </si>
  <si>
    <t>Nenhum</t>
  </si>
  <si>
    <t>Tipo de convés</t>
  </si>
  <si>
    <t>soldado</t>
  </si>
  <si>
    <t>Categoria de Montagem no Convés</t>
  </si>
  <si>
    <t>http://www.br.com.br/wcm/connect/24d79401-33bb-4e0d-ad03-cd8344b9b483/fispq-comb-gaso-auto-gasolina-comum-c.pdf?MOD=AJPERES&amp;CVID=mbkUGmd</t>
  </si>
  <si>
    <t>Foi considerado que o líquido armazenado é a Gasolina</t>
  </si>
  <si>
    <t>a pressão de vapor é de 79 kpa a 37,8ºC</t>
  </si>
  <si>
    <t>Analisando os produtos disponiveis no Tanks temos:</t>
  </si>
  <si>
    <t>ou seja:  11,458 psia a 69,8 ºF</t>
  </si>
  <si>
    <t>Valor mais próximo da Gasolina da Oil Tanking</t>
  </si>
  <si>
    <t>Combustivel Utilizado no Tanks</t>
  </si>
  <si>
    <t>Distillate fuel oil no. 2 (diesel)</t>
  </si>
  <si>
    <t>Gasoline (RPV 15.0)</t>
  </si>
  <si>
    <t>Ethyl Alcohol</t>
  </si>
  <si>
    <t xml:space="preserve">Segundo a especificação técnica da gasolina </t>
  </si>
  <si>
    <t>Tipico</t>
  </si>
  <si>
    <t>Telhado Auto-Suportado</t>
  </si>
  <si>
    <t>Conversão kg/L para lb/gal:</t>
  </si>
  <si>
    <t>Conversão metro para pés:</t>
  </si>
  <si>
    <t>Conversão metro cúbico para pés cúbicos:</t>
  </si>
  <si>
    <t>Conversão metro cúbico para galão:</t>
  </si>
  <si>
    <t>Total</t>
  </si>
  <si>
    <t>Combustível</t>
  </si>
  <si>
    <t>Etanol</t>
  </si>
  <si>
    <t>Diesel</t>
  </si>
  <si>
    <t>Pressão de Vapor (psia)</t>
  </si>
  <si>
    <t>Peso Molecular de Vapor (lb / lb-mole)</t>
  </si>
  <si>
    <t>Table 5.2-1  Saturation (S) Factors For Calculating Petroleum Liquid Loading Losses</t>
  </si>
  <si>
    <t>Cargo Carrier</t>
  </si>
  <si>
    <t>Mode Of Operation</t>
  </si>
  <si>
    <t>S Factor</t>
  </si>
  <si>
    <t>Tank trucks and rail tank cars</t>
  </si>
  <si>
    <t>Submerged loading: dedicated normal service</t>
  </si>
  <si>
    <t>Fonte Emissora</t>
  </si>
  <si>
    <t>Modo de Operação</t>
  </si>
  <si>
    <t>Tipo Combustível</t>
  </si>
  <si>
    <t>Total [t/ano]</t>
  </si>
  <si>
    <t>Gasolina C</t>
  </si>
  <si>
    <t>Etanol Hidratado</t>
  </si>
  <si>
    <t>Protudo</t>
  </si>
  <si>
    <t>Taxa de Emissão (t/ano)</t>
  </si>
  <si>
    <t>Óleo Diesel</t>
  </si>
  <si>
    <t>Plataforma 1</t>
  </si>
  <si>
    <t>Plataforma 2</t>
  </si>
  <si>
    <t>submerged</t>
  </si>
  <si>
    <t>diesel</t>
  </si>
  <si>
    <t>alcool</t>
  </si>
  <si>
    <t>t/ano</t>
  </si>
  <si>
    <t>%</t>
  </si>
  <si>
    <t xml:space="preserve">Óleo Diesel </t>
  </si>
  <si>
    <t xml:space="preserve">Gasolina </t>
  </si>
  <si>
    <t>Álcool</t>
  </si>
  <si>
    <t>Volume de Combustível:</t>
  </si>
  <si>
    <t>DADOS DAS 02 PLATAFORMAS</t>
  </si>
  <si>
    <t xml:space="preserve">Tipo de Carregamento: </t>
  </si>
  <si>
    <t xml:space="preserve">Número de Bombas: </t>
  </si>
  <si>
    <t>unid</t>
  </si>
  <si>
    <t xml:space="preserve">Número de Bicos: </t>
  </si>
  <si>
    <t>Vazão de carregamento:</t>
  </si>
  <si>
    <r>
      <t>m</t>
    </r>
    <r>
      <rPr>
        <vertAlign val="superscript"/>
        <sz val="8"/>
        <color theme="1"/>
        <rFont val="Arial"/>
        <family val="2"/>
      </rPr>
      <t>3</t>
    </r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</si>
  <si>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/s</t>
    </r>
  </si>
  <si>
    <t>Movimentação [m³/ano]</t>
  </si>
  <si>
    <t>Movimentação [gal/h]</t>
  </si>
  <si>
    <t>Temperatura do Líquido ° R (° F + 460)</t>
  </si>
  <si>
    <r>
      <t>L</t>
    </r>
    <r>
      <rPr>
        <b/>
        <vertAlign val="subscript"/>
        <sz val="8"/>
        <color theme="0"/>
        <rFont val="Arial"/>
        <family val="2"/>
      </rPr>
      <t>L</t>
    </r>
    <r>
      <rPr>
        <b/>
        <sz val="8"/>
        <color theme="0"/>
        <rFont val="Arial"/>
        <family val="2"/>
      </rPr>
      <t xml:space="preserve"> 
[lb/10</t>
    </r>
    <r>
      <rPr>
        <b/>
        <vertAlign val="superscript"/>
        <sz val="8"/>
        <color theme="0"/>
        <rFont val="Arial"/>
        <family val="2"/>
      </rPr>
      <t>3</t>
    </r>
    <r>
      <rPr>
        <b/>
        <sz val="8"/>
        <color theme="0"/>
        <rFont val="Arial"/>
        <family val="2"/>
      </rPr>
      <t xml:space="preserve"> gal]</t>
    </r>
  </si>
  <si>
    <t>Total por Plataforma [kg/h]</t>
  </si>
  <si>
    <t xml:space="preserve">Densidade Óleo Diesel (kg/L): </t>
  </si>
  <si>
    <t xml:space="preserve">Densidade Óleo Diesel (lb/gal): </t>
  </si>
  <si>
    <t>Inventário de Emissões Atmosféricas da Oil Tanking</t>
  </si>
  <si>
    <t>Em Resposta ao Ofício Nº 0563/2016 - DP/IEMA</t>
  </si>
  <si>
    <t xml:space="preserve">Tanques </t>
  </si>
  <si>
    <t>Plataformas</t>
  </si>
  <si>
    <t>Tipo de Tanque [Teto fixo ou flutuante]</t>
  </si>
  <si>
    <t>Altura [m]</t>
  </si>
  <si>
    <t>Altura [ft]</t>
  </si>
  <si>
    <t>Diâmetro [m]</t>
  </si>
  <si>
    <t>Diâmetro [ft]</t>
  </si>
  <si>
    <t>Altura Máxima do Produto [m]</t>
  </si>
  <si>
    <t>Altura Máxima do Produto [ft]</t>
  </si>
  <si>
    <t>Altura Média do Liquido [m]</t>
  </si>
  <si>
    <t>Altura Média do Liquido [ft]</t>
  </si>
  <si>
    <t>Volume Total [m³]</t>
  </si>
  <si>
    <t>Volume Total [ft³]</t>
  </si>
  <si>
    <t>Volume Total [gal]</t>
  </si>
  <si>
    <t>Volume Ùtil [m³]</t>
  </si>
  <si>
    <t>Volume Ùtil [gal]</t>
  </si>
  <si>
    <t>Volume Armazenado [t/ano]</t>
  </si>
  <si>
    <t>Volume Armazenado [bbl/ano]</t>
  </si>
  <si>
    <t>Taxa de Emissão [lb/ano]</t>
  </si>
  <si>
    <t>Taxa de Emissão [kg/h]</t>
  </si>
  <si>
    <t>Taxa de Emissão [t/ano]</t>
  </si>
  <si>
    <t>TOTAL</t>
  </si>
  <si>
    <t>Fonte: Informações enviadas pelo empreendimento através do Ofício IEMA N° 0563/2016</t>
  </si>
  <si>
    <t>VOC</t>
  </si>
  <si>
    <t>TE de VOC [lb/h]</t>
  </si>
  <si>
    <t>TE de VOC [kg/h]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</si>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</sst>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00"/>
    <numFmt numFmtId="165" formatCode="0.0000"/>
    <numFmt numFmtId="166" formatCode="[&gt;=0.005]\ #,##0.00;[&lt;0.005]&quot;&lt;0,01&quot;"/>
    <numFmt numFmtId="167" formatCode="0.000"/>
    <numFmt numFmtId="168" formatCode="#,##0.00000"/>
    <numFmt numFmtId="169" formatCode="#,##0.000"/>
    <numFmt numFmtId="170" formatCode="#,##0.0000"/>
    <numFmt numFmtId="171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9"/>
      <color indexed="81"/>
      <name val="Segoe UI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vertAlign val="superscript"/>
      <sz val="8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4" fontId="4" fillId="0" borderId="2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2" fontId="2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" fontId="2" fillId="0" borderId="5" xfId="0" applyNumberFormat="1" applyFont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4" fontId="0" fillId="0" borderId="0" xfId="0" applyNumberFormat="1"/>
    <xf numFmtId="170" fontId="2" fillId="0" borderId="0" xfId="0" applyNumberFormat="1" applyFont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69" fontId="4" fillId="0" borderId="2" xfId="1" applyNumberFormat="1" applyFont="1" applyFill="1" applyBorder="1" applyAlignment="1">
      <alignment horizontal="center" vertical="center"/>
    </xf>
    <xf numFmtId="4" fontId="4" fillId="3" borderId="13" xfId="0" applyNumberFormat="1" applyFont="1" applyFill="1" applyBorder="1" applyAlignment="1">
      <alignment horizontal="center" vertical="center"/>
    </xf>
    <xf numFmtId="171" fontId="4" fillId="3" borderId="13" xfId="0" applyNumberFormat="1" applyFont="1" applyFill="1" applyBorder="1" applyAlignment="1">
      <alignment horizontal="center" vertical="center"/>
    </xf>
    <xf numFmtId="164" fontId="4" fillId="3" borderId="1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8" fillId="2" borderId="16" xfId="0" applyNumberFormat="1" applyFont="1" applyFill="1" applyBorder="1" applyAlignment="1" applyProtection="1">
      <alignment horizontal="center" vertical="center" wrapText="1"/>
    </xf>
    <xf numFmtId="0" fontId="8" fillId="2" borderId="17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9</xdr:col>
      <xdr:colOff>114300</xdr:colOff>
      <xdr:row>30</xdr:row>
      <xdr:rowOff>9525</xdr:rowOff>
    </xdr:to>
    <xdr:grpSp>
      <xdr:nvGrpSpPr>
        <xdr:cNvPr id="5" name="Grupo 4"/>
        <xdr:cNvGrpSpPr/>
      </xdr:nvGrpSpPr>
      <xdr:grpSpPr>
        <a:xfrm>
          <a:off x="0" y="1457325"/>
          <a:ext cx="5600700" cy="4267200"/>
          <a:chOff x="0" y="1352550"/>
          <a:chExt cx="5600700" cy="4267200"/>
        </a:xfrm>
      </xdr:grpSpPr>
      <xdr:pic>
        <xdr:nvPicPr>
          <xdr:cNvPr id="2" name="Imagem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352550"/>
            <a:ext cx="5600700" cy="4267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Retângulo 2"/>
          <xdr:cNvSpPr/>
        </xdr:nvSpPr>
        <xdr:spPr>
          <a:xfrm>
            <a:off x="1038224" y="3648075"/>
            <a:ext cx="1514475" cy="1714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showGridLines="0" workbookViewId="0">
      <selection activeCell="D9" sqref="D9"/>
    </sheetView>
  </sheetViews>
  <sheetFormatPr defaultRowHeight="15" customHeight="1" x14ac:dyDescent="0.25"/>
  <cols>
    <col min="1" max="16384" width="9.140625" style="51"/>
  </cols>
  <sheetData>
    <row r="2" spans="1:1" ht="15" customHeight="1" x14ac:dyDescent="0.25">
      <c r="A2" s="51" t="s">
        <v>115</v>
      </c>
    </row>
    <row r="3" spans="1:1" ht="15" customHeight="1" x14ac:dyDescent="0.25">
      <c r="A3" s="51" t="s">
        <v>116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7" sqref="M17"/>
    </sheetView>
  </sheetViews>
  <sheetFormatPr defaultRowHeight="15" customHeight="1" x14ac:dyDescent="0.25"/>
  <cols>
    <col min="1" max="16384" width="9.140625" style="1"/>
  </cols>
  <sheetData>
    <row r="1" spans="1:6" ht="15" customHeight="1" x14ac:dyDescent="0.25">
      <c r="A1" s="1" t="s">
        <v>52</v>
      </c>
    </row>
    <row r="3" spans="1:6" ht="15" customHeight="1" x14ac:dyDescent="0.25">
      <c r="A3" s="1" t="s">
        <v>61</v>
      </c>
      <c r="E3" s="3" t="s">
        <v>51</v>
      </c>
    </row>
    <row r="4" spans="1:6" ht="15" customHeight="1" x14ac:dyDescent="0.25">
      <c r="A4" s="1" t="s">
        <v>53</v>
      </c>
    </row>
    <row r="5" spans="1:6" ht="15" customHeight="1" x14ac:dyDescent="0.25">
      <c r="A5" s="1" t="s">
        <v>55</v>
      </c>
    </row>
    <row r="7" spans="1:6" ht="15" customHeight="1" x14ac:dyDescent="0.25">
      <c r="A7" s="1" t="s">
        <v>54</v>
      </c>
      <c r="F7" s="1" t="s">
        <v>56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8"/>
  <sheetViews>
    <sheetView workbookViewId="0">
      <pane xSplit="2" ySplit="11" topLeftCell="C30" activePane="bottomRight" state="frozen"/>
      <selection pane="topRight" activeCell="C1" sqref="C1"/>
      <selection pane="bottomLeft" activeCell="A3" sqref="A3"/>
      <selection pane="bottomRight" activeCell="C40" sqref="C40"/>
    </sheetView>
  </sheetViews>
  <sheetFormatPr defaultRowHeight="15" customHeight="1" x14ac:dyDescent="0.25"/>
  <cols>
    <col min="1" max="1" width="30.42578125" style="8" customWidth="1"/>
    <col min="2" max="2" width="35.5703125" style="8" customWidth="1"/>
    <col min="3" max="3" width="37.28515625" style="8" customWidth="1"/>
    <col min="4" max="4" width="24.85546875" style="8" customWidth="1"/>
    <col min="5" max="5" width="12.140625" style="8" customWidth="1"/>
    <col min="6" max="6" width="13.140625" style="8" customWidth="1"/>
    <col min="7" max="7" width="11.85546875" style="8" customWidth="1"/>
    <col min="8" max="8" width="8.85546875" style="8" customWidth="1"/>
    <col min="9" max="9" width="9.28515625" style="8" customWidth="1"/>
    <col min="10" max="10" width="7.85546875" style="8" customWidth="1"/>
    <col min="11" max="11" width="8" style="8" customWidth="1"/>
    <col min="12" max="13" width="13" style="8" customWidth="1"/>
    <col min="14" max="14" width="12.140625" style="8" customWidth="1"/>
    <col min="15" max="15" width="13.28515625" style="8" customWidth="1"/>
    <col min="16" max="17" width="10.5703125" style="8" customWidth="1"/>
    <col min="18" max="18" width="13.5703125" style="8" customWidth="1"/>
    <col min="19" max="19" width="9.7109375" style="8" customWidth="1"/>
    <col min="20" max="20" width="15" style="8" customWidth="1"/>
    <col min="21" max="21" width="16.5703125" style="8" customWidth="1"/>
    <col min="22" max="22" width="18.42578125" style="8" customWidth="1"/>
    <col min="23" max="23" width="10.140625" style="8" customWidth="1"/>
    <col min="24" max="24" width="13.7109375" style="8" customWidth="1"/>
    <col min="25" max="26" width="14.140625" style="8" customWidth="1"/>
    <col min="27" max="27" width="11" style="8" customWidth="1"/>
    <col min="28" max="28" width="9.42578125" style="8" customWidth="1"/>
    <col min="29" max="29" width="18.7109375" style="8" customWidth="1"/>
    <col min="30" max="30" width="17.140625" style="8" customWidth="1"/>
    <col min="31" max="31" width="14.85546875" style="8" customWidth="1"/>
    <col min="32" max="32" width="14.42578125" style="8" customWidth="1"/>
    <col min="33" max="33" width="9.140625" style="8"/>
    <col min="34" max="34" width="14.5703125" style="8" bestFit="1" customWidth="1"/>
    <col min="35" max="16384" width="9.140625" style="8"/>
  </cols>
  <sheetData>
    <row r="1" spans="1:35" ht="15" customHeight="1" x14ac:dyDescent="0.25">
      <c r="A1" s="1" t="s">
        <v>113</v>
      </c>
      <c r="B1" s="52">
        <f>(0.82+0.865)/2</f>
        <v>0.84250000000000003</v>
      </c>
    </row>
    <row r="2" spans="1:35" ht="15" customHeight="1" x14ac:dyDescent="0.25">
      <c r="A2" s="8" t="s">
        <v>114</v>
      </c>
      <c r="B2" s="45">
        <f>B1*B3</f>
        <v>7.03100287</v>
      </c>
    </row>
    <row r="3" spans="1:35" ht="15" customHeight="1" x14ac:dyDescent="0.25">
      <c r="A3" s="1" t="s">
        <v>64</v>
      </c>
      <c r="B3" s="55">
        <v>8.3454040000000003</v>
      </c>
    </row>
    <row r="4" spans="1:35" ht="15" customHeight="1" x14ac:dyDescent="0.25">
      <c r="A4" s="1" t="s">
        <v>65</v>
      </c>
      <c r="B4" s="45">
        <v>3.28084</v>
      </c>
      <c r="AH4"/>
      <c r="AI4"/>
    </row>
    <row r="5" spans="1:35" ht="15" customHeight="1" x14ac:dyDescent="0.25">
      <c r="A5" s="1" t="s">
        <v>66</v>
      </c>
      <c r="B5" s="45">
        <v>35.314700000000002</v>
      </c>
      <c r="AH5"/>
      <c r="AI5" s="48"/>
    </row>
    <row r="6" spans="1:35" ht="15" customHeight="1" x14ac:dyDescent="0.25">
      <c r="A6" s="1" t="s">
        <v>67</v>
      </c>
      <c r="B6" s="45">
        <v>264.17200000000003</v>
      </c>
      <c r="AH6"/>
      <c r="AI6"/>
    </row>
    <row r="7" spans="1:35" ht="15" customHeight="1" x14ac:dyDescent="0.25">
      <c r="Z7"/>
      <c r="AA7"/>
      <c r="AB7"/>
      <c r="AH7"/>
      <c r="AI7" s="48"/>
    </row>
    <row r="8" spans="1:35" ht="15" customHeight="1" x14ac:dyDescent="0.25">
      <c r="Z8"/>
      <c r="AA8"/>
      <c r="AB8"/>
      <c r="AH8"/>
      <c r="AI8" s="48"/>
    </row>
    <row r="9" spans="1:35" ht="15" customHeight="1" x14ac:dyDescent="0.25">
      <c r="A9" s="1" t="s">
        <v>139</v>
      </c>
      <c r="Z9" s="9"/>
      <c r="AA9" s="9"/>
      <c r="AB9" s="9"/>
      <c r="AH9"/>
      <c r="AI9" s="48"/>
    </row>
    <row r="10" spans="1:35" ht="15" customHeight="1" x14ac:dyDescent="0.25">
      <c r="A10" s="65" t="s">
        <v>0</v>
      </c>
      <c r="B10" s="65" t="s">
        <v>119</v>
      </c>
      <c r="C10" s="65" t="s">
        <v>2</v>
      </c>
      <c r="D10" s="65" t="s">
        <v>57</v>
      </c>
      <c r="E10" s="65" t="s">
        <v>1</v>
      </c>
      <c r="F10" s="65" t="s">
        <v>143</v>
      </c>
      <c r="G10" s="65" t="s">
        <v>144</v>
      </c>
      <c r="H10" s="65" t="s">
        <v>120</v>
      </c>
      <c r="I10" s="65" t="s">
        <v>121</v>
      </c>
      <c r="J10" s="65" t="s">
        <v>122</v>
      </c>
      <c r="K10" s="65" t="s">
        <v>123</v>
      </c>
      <c r="L10" s="65" t="s">
        <v>124</v>
      </c>
      <c r="M10" s="65" t="s">
        <v>125</v>
      </c>
      <c r="N10" s="65" t="s">
        <v>126</v>
      </c>
      <c r="O10" s="65" t="s">
        <v>127</v>
      </c>
      <c r="P10" s="65" t="s">
        <v>128</v>
      </c>
      <c r="Q10" s="65" t="s">
        <v>129</v>
      </c>
      <c r="R10" s="65" t="s">
        <v>130</v>
      </c>
      <c r="S10" s="65" t="s">
        <v>131</v>
      </c>
      <c r="T10" s="65" t="s">
        <v>132</v>
      </c>
      <c r="U10" s="65" t="s">
        <v>133</v>
      </c>
      <c r="V10" s="65" t="s">
        <v>134</v>
      </c>
      <c r="W10" s="65" t="s">
        <v>38</v>
      </c>
      <c r="X10" s="65" t="s">
        <v>63</v>
      </c>
      <c r="Y10" s="65" t="s">
        <v>42</v>
      </c>
      <c r="Z10" s="65" t="s">
        <v>44</v>
      </c>
      <c r="AA10" s="65" t="s">
        <v>46</v>
      </c>
      <c r="AB10" s="65" t="s">
        <v>48</v>
      </c>
      <c r="AC10" s="65" t="s">
        <v>50</v>
      </c>
      <c r="AD10" s="69" t="s">
        <v>135</v>
      </c>
      <c r="AE10" s="69" t="s">
        <v>136</v>
      </c>
      <c r="AF10" s="69" t="s">
        <v>137</v>
      </c>
      <c r="AG10" s="9"/>
      <c r="AH10"/>
      <c r="AI10" s="48"/>
    </row>
    <row r="11" spans="1:35" ht="19.5" customHeight="1" x14ac:dyDescent="0.25">
      <c r="A11" s="68"/>
      <c r="B11" s="68"/>
      <c r="C11" s="68"/>
      <c r="D11" s="66"/>
      <c r="E11" s="68"/>
      <c r="F11" s="66"/>
      <c r="G11" s="66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70"/>
      <c r="AE11" s="70"/>
      <c r="AF11" s="70"/>
      <c r="AG11" s="9"/>
      <c r="AH11"/>
      <c r="AI11"/>
    </row>
    <row r="12" spans="1:35" s="11" customFormat="1" ht="15" customHeight="1" x14ac:dyDescent="0.25">
      <c r="A12" s="4" t="s">
        <v>15</v>
      </c>
      <c r="B12" s="13" t="s">
        <v>39</v>
      </c>
      <c r="C12" s="18" t="s">
        <v>11</v>
      </c>
      <c r="D12" s="18" t="s">
        <v>58</v>
      </c>
      <c r="E12" s="5" t="s">
        <v>3</v>
      </c>
      <c r="F12" s="17">
        <v>-20.327729999999999</v>
      </c>
      <c r="G12" s="25">
        <v>-40.34789</v>
      </c>
      <c r="H12" s="6">
        <v>13.2</v>
      </c>
      <c r="I12" s="6">
        <f t="shared" ref="I12:I34" si="0">H12*$B$4</f>
        <v>43.307088</v>
      </c>
      <c r="J12" s="6">
        <v>7.63</v>
      </c>
      <c r="K12" s="6">
        <f t="shared" ref="K12:K34" si="1">J12*$B$4</f>
        <v>25.032809199999999</v>
      </c>
      <c r="L12" s="6">
        <v>12.17</v>
      </c>
      <c r="M12" s="6">
        <f t="shared" ref="M12:M34" si="2">L12*$B$4</f>
        <v>39.927822800000001</v>
      </c>
      <c r="N12" s="6">
        <v>6.62</v>
      </c>
      <c r="O12" s="6">
        <f t="shared" ref="O12:O34" si="3">N12*$B$4</f>
        <v>21.719160800000001</v>
      </c>
      <c r="P12" s="19">
        <v>603.54949167074631</v>
      </c>
      <c r="Q12" s="19">
        <f t="shared" ref="Q12:Q34" si="4">P12*$B$5</f>
        <v>21314.169233504905</v>
      </c>
      <c r="R12" s="19">
        <f t="shared" ref="R12:R34" si="5">P12*$B$6</f>
        <v>159440.8763136444</v>
      </c>
      <c r="S12" s="19">
        <v>562</v>
      </c>
      <c r="T12" s="19">
        <f t="shared" ref="T12:T34" si="6">S12*$B$6</f>
        <v>148464.66400000002</v>
      </c>
      <c r="U12" s="19">
        <v>5323.1916219491077</v>
      </c>
      <c r="V12" s="19">
        <f>U12*8.45</f>
        <v>44980.969205469955</v>
      </c>
      <c r="W12" s="7">
        <f>(5.614*V12)/Q12</f>
        <v>11.847666139506549</v>
      </c>
      <c r="X12" s="7"/>
      <c r="Y12" s="7"/>
      <c r="Z12" s="7"/>
      <c r="AA12" s="7"/>
      <c r="AB12" s="7"/>
      <c r="AC12" s="7"/>
      <c r="AD12" s="19">
        <v>90.46</v>
      </c>
      <c r="AE12" s="56">
        <f>AD12*0.453592/8760</f>
        <v>4.6840105388127849E-3</v>
      </c>
      <c r="AF12" s="19">
        <f>AE12/1000*8760</f>
        <v>4.1031932319999999E-2</v>
      </c>
      <c r="AG12" s="10"/>
      <c r="AH12"/>
      <c r="AI12"/>
    </row>
    <row r="13" spans="1:35" s="11" customFormat="1" ht="15" customHeight="1" x14ac:dyDescent="0.25">
      <c r="A13" s="4" t="s">
        <v>16</v>
      </c>
      <c r="B13" s="16" t="s">
        <v>40</v>
      </c>
      <c r="C13" s="18" t="s">
        <v>13</v>
      </c>
      <c r="D13" s="18" t="s">
        <v>59</v>
      </c>
      <c r="E13" s="5" t="s">
        <v>3</v>
      </c>
      <c r="F13" s="17">
        <v>-20.327694999999999</v>
      </c>
      <c r="G13" s="17">
        <v>-40.347763999999998</v>
      </c>
      <c r="H13" s="6">
        <v>13.2</v>
      </c>
      <c r="I13" s="6">
        <f t="shared" si="0"/>
        <v>43.307088</v>
      </c>
      <c r="J13" s="6">
        <v>7.63</v>
      </c>
      <c r="K13" s="6">
        <f t="shared" si="1"/>
        <v>25.032809199999999</v>
      </c>
      <c r="L13" s="6">
        <v>12.17</v>
      </c>
      <c r="M13" s="6">
        <f t="shared" si="2"/>
        <v>39.927822800000001</v>
      </c>
      <c r="N13" s="6">
        <v>6.62</v>
      </c>
      <c r="O13" s="6">
        <f t="shared" si="3"/>
        <v>21.719160800000001</v>
      </c>
      <c r="P13" s="19">
        <v>603.54949167074631</v>
      </c>
      <c r="Q13" s="19">
        <f t="shared" si="4"/>
        <v>21314.169233504905</v>
      </c>
      <c r="R13" s="19">
        <f t="shared" si="5"/>
        <v>159440.8763136444</v>
      </c>
      <c r="S13" s="19">
        <v>561</v>
      </c>
      <c r="T13" s="19">
        <f t="shared" si="6"/>
        <v>148200.49200000003</v>
      </c>
      <c r="U13" s="19">
        <v>6709.3634508269906</v>
      </c>
      <c r="V13" s="19">
        <f t="shared" ref="V13:V34" si="7">U13*8.45</f>
        <v>56694.121159488066</v>
      </c>
      <c r="W13" s="7">
        <f t="shared" ref="W13:W34" si="8">(5.614*V13)/Q13</f>
        <v>14.932826736171499</v>
      </c>
      <c r="X13" s="7" t="s">
        <v>41</v>
      </c>
      <c r="Y13" s="7" t="s">
        <v>43</v>
      </c>
      <c r="Z13" s="7" t="s">
        <v>45</v>
      </c>
      <c r="AA13" s="7" t="s">
        <v>47</v>
      </c>
      <c r="AB13" s="7" t="s">
        <v>49</v>
      </c>
      <c r="AC13" s="7" t="s">
        <v>62</v>
      </c>
      <c r="AD13" s="19">
        <v>4024.07</v>
      </c>
      <c r="AE13" s="19">
        <f t="shared" ref="AE13:AE30" si="9">AD13*0.453592/8760</f>
        <v>0.20836597710502283</v>
      </c>
      <c r="AF13" s="19">
        <f t="shared" ref="AF13:AF34" si="10">AE13/1000*8760</f>
        <v>1.8252859594399999</v>
      </c>
      <c r="AG13" s="10"/>
      <c r="AH13"/>
      <c r="AI13"/>
    </row>
    <row r="14" spans="1:35" s="15" customFormat="1" ht="15" customHeight="1" x14ac:dyDescent="0.25">
      <c r="A14" s="4" t="s">
        <v>17</v>
      </c>
      <c r="B14" s="13" t="s">
        <v>39</v>
      </c>
      <c r="C14" s="18" t="s">
        <v>4</v>
      </c>
      <c r="D14" s="18" t="s">
        <v>58</v>
      </c>
      <c r="E14" s="5" t="s">
        <v>3</v>
      </c>
      <c r="F14" s="17">
        <v>-20.327435000000001</v>
      </c>
      <c r="G14" s="17">
        <v>-40.347180000000002</v>
      </c>
      <c r="H14" s="6">
        <v>19.2</v>
      </c>
      <c r="I14" s="6">
        <f t="shared" si="0"/>
        <v>62.992127999999994</v>
      </c>
      <c r="J14" s="6">
        <v>8.4</v>
      </c>
      <c r="K14" s="6">
        <f t="shared" si="1"/>
        <v>27.559056000000002</v>
      </c>
      <c r="L14" s="6">
        <v>18.18</v>
      </c>
      <c r="M14" s="6">
        <f t="shared" si="2"/>
        <v>59.645671199999995</v>
      </c>
      <c r="N14" s="6">
        <v>9.89</v>
      </c>
      <c r="O14" s="6">
        <f t="shared" si="3"/>
        <v>32.447507600000002</v>
      </c>
      <c r="P14" s="19">
        <v>1064.0197326590198</v>
      </c>
      <c r="Q14" s="19">
        <f t="shared" si="4"/>
        <v>37575.53765293349</v>
      </c>
      <c r="R14" s="19">
        <f t="shared" si="5"/>
        <v>281084.22081599862</v>
      </c>
      <c r="S14" s="19">
        <v>1013</v>
      </c>
      <c r="T14" s="19">
        <f t="shared" si="6"/>
        <v>267606.23600000003</v>
      </c>
      <c r="U14" s="19">
        <v>23392</v>
      </c>
      <c r="V14" s="19">
        <f t="shared" si="7"/>
        <v>197662.4</v>
      </c>
      <c r="W14" s="7">
        <f t="shared" si="8"/>
        <v>29.531891834776406</v>
      </c>
      <c r="X14" s="7"/>
      <c r="Y14" s="7"/>
      <c r="Z14" s="7"/>
      <c r="AA14" s="7"/>
      <c r="AB14" s="7"/>
      <c r="AC14" s="7"/>
      <c r="AD14" s="19">
        <v>338</v>
      </c>
      <c r="AE14" s="19">
        <f t="shared" si="9"/>
        <v>1.7501609132420094E-2</v>
      </c>
      <c r="AF14" s="19">
        <f t="shared" si="10"/>
        <v>0.15331409600000001</v>
      </c>
      <c r="AG14" s="14"/>
      <c r="AH14"/>
      <c r="AI14"/>
    </row>
    <row r="15" spans="1:35" s="11" customFormat="1" ht="15" customHeight="1" x14ac:dyDescent="0.25">
      <c r="A15" s="4" t="s">
        <v>18</v>
      </c>
      <c r="B15" s="16" t="s">
        <v>40</v>
      </c>
      <c r="C15" s="18" t="s">
        <v>14</v>
      </c>
      <c r="D15" s="18" t="s">
        <v>59</v>
      </c>
      <c r="E15" s="5" t="s">
        <v>3</v>
      </c>
      <c r="F15" s="17">
        <v>-20.327390999999999</v>
      </c>
      <c r="G15" s="17">
        <v>-40.347054999999997</v>
      </c>
      <c r="H15" s="6">
        <v>19.2</v>
      </c>
      <c r="I15" s="6">
        <f t="shared" si="0"/>
        <v>62.992127999999994</v>
      </c>
      <c r="J15" s="6">
        <v>8.4</v>
      </c>
      <c r="K15" s="6">
        <f t="shared" si="1"/>
        <v>27.559056000000002</v>
      </c>
      <c r="L15" s="6">
        <v>17.88</v>
      </c>
      <c r="M15" s="6">
        <f t="shared" si="2"/>
        <v>58.661419199999997</v>
      </c>
      <c r="N15" s="6">
        <v>9.73</v>
      </c>
      <c r="O15" s="6">
        <f t="shared" si="3"/>
        <v>31.922573200000002</v>
      </c>
      <c r="P15" s="19">
        <v>1064.0197326590198</v>
      </c>
      <c r="Q15" s="19">
        <f t="shared" si="4"/>
        <v>37575.53765293349</v>
      </c>
      <c r="R15" s="19">
        <f t="shared" si="5"/>
        <v>281084.22081599862</v>
      </c>
      <c r="S15" s="19">
        <v>993</v>
      </c>
      <c r="T15" s="19">
        <f t="shared" si="6"/>
        <v>262322.79600000003</v>
      </c>
      <c r="U15" s="19">
        <v>11875.932097453124</v>
      </c>
      <c r="V15" s="19">
        <f t="shared" si="7"/>
        <v>100351.62622347889</v>
      </c>
      <c r="W15" s="7">
        <f t="shared" si="8"/>
        <v>14.993106281597766</v>
      </c>
      <c r="X15" s="7" t="s">
        <v>41</v>
      </c>
      <c r="Y15" s="7" t="s">
        <v>43</v>
      </c>
      <c r="Z15" s="7" t="s">
        <v>45</v>
      </c>
      <c r="AA15" s="7" t="s">
        <v>47</v>
      </c>
      <c r="AB15" s="7" t="s">
        <v>49</v>
      </c>
      <c r="AC15" s="7" t="s">
        <v>62</v>
      </c>
      <c r="AD15" s="19">
        <v>4301.71</v>
      </c>
      <c r="AE15" s="19">
        <f t="shared" si="9"/>
        <v>0.22274215094977171</v>
      </c>
      <c r="AF15" s="19">
        <f t="shared" si="10"/>
        <v>1.9512212423200002</v>
      </c>
      <c r="AG15" s="10"/>
      <c r="AH15"/>
      <c r="AI15" s="48"/>
    </row>
    <row r="16" spans="1:35" s="11" customFormat="1" ht="15" customHeight="1" x14ac:dyDescent="0.25">
      <c r="A16" s="4" t="s">
        <v>19</v>
      </c>
      <c r="B16" s="16" t="s">
        <v>40</v>
      </c>
      <c r="C16" s="18" t="s">
        <v>5</v>
      </c>
      <c r="D16" s="18" t="s">
        <v>59</v>
      </c>
      <c r="E16" s="5" t="s">
        <v>3</v>
      </c>
      <c r="F16" s="17">
        <v>-20.327372</v>
      </c>
      <c r="G16" s="17">
        <v>-40.346946000000003</v>
      </c>
      <c r="H16" s="6">
        <v>19.2</v>
      </c>
      <c r="I16" s="6">
        <f t="shared" si="0"/>
        <v>62.992127999999994</v>
      </c>
      <c r="J16" s="6">
        <v>8.4</v>
      </c>
      <c r="K16" s="6">
        <f t="shared" si="1"/>
        <v>27.559056000000002</v>
      </c>
      <c r="L16" s="6">
        <v>17.88</v>
      </c>
      <c r="M16" s="6">
        <f t="shared" si="2"/>
        <v>58.661419199999997</v>
      </c>
      <c r="N16" s="6">
        <v>9.73</v>
      </c>
      <c r="O16" s="6">
        <f t="shared" si="3"/>
        <v>31.922573200000002</v>
      </c>
      <c r="P16" s="19">
        <v>1064.0197326590198</v>
      </c>
      <c r="Q16" s="19">
        <f t="shared" si="4"/>
        <v>37575.53765293349</v>
      </c>
      <c r="R16" s="19">
        <f t="shared" si="5"/>
        <v>281084.22081599862</v>
      </c>
      <c r="S16" s="19">
        <v>993</v>
      </c>
      <c r="T16" s="19">
        <f t="shared" si="6"/>
        <v>262322.79600000003</v>
      </c>
      <c r="U16" s="19">
        <v>11875.932097453124</v>
      </c>
      <c r="V16" s="19">
        <f t="shared" si="7"/>
        <v>100351.62622347889</v>
      </c>
      <c r="W16" s="7">
        <f t="shared" si="8"/>
        <v>14.993106281597766</v>
      </c>
      <c r="X16" s="7" t="s">
        <v>41</v>
      </c>
      <c r="Y16" s="7" t="s">
        <v>43</v>
      </c>
      <c r="Z16" s="7" t="s">
        <v>45</v>
      </c>
      <c r="AA16" s="7" t="s">
        <v>47</v>
      </c>
      <c r="AB16" s="7" t="s">
        <v>49</v>
      </c>
      <c r="AC16" s="7" t="s">
        <v>62</v>
      </c>
      <c r="AD16" s="19">
        <v>4301.71</v>
      </c>
      <c r="AE16" s="19">
        <f t="shared" si="9"/>
        <v>0.22274215094977171</v>
      </c>
      <c r="AF16" s="19">
        <f t="shared" si="10"/>
        <v>1.9512212423200002</v>
      </c>
      <c r="AG16" s="10"/>
      <c r="AH16"/>
      <c r="AI16"/>
    </row>
    <row r="17" spans="1:35" s="11" customFormat="1" ht="15" customHeight="1" x14ac:dyDescent="0.25">
      <c r="A17" s="4" t="s">
        <v>20</v>
      </c>
      <c r="B17" s="13" t="s">
        <v>39</v>
      </c>
      <c r="C17" s="18" t="s">
        <v>6</v>
      </c>
      <c r="D17" s="18" t="s">
        <v>58</v>
      </c>
      <c r="E17" s="5" t="s">
        <v>3</v>
      </c>
      <c r="F17" s="17">
        <v>-20.327259999999999</v>
      </c>
      <c r="G17" s="17">
        <v>-40.346981999999997</v>
      </c>
      <c r="H17" s="6">
        <v>19.2</v>
      </c>
      <c r="I17" s="6">
        <f t="shared" si="0"/>
        <v>62.992127999999994</v>
      </c>
      <c r="J17" s="6">
        <v>8.4</v>
      </c>
      <c r="K17" s="6">
        <f t="shared" si="1"/>
        <v>27.559056000000002</v>
      </c>
      <c r="L17" s="6">
        <v>18.18</v>
      </c>
      <c r="M17" s="6">
        <f t="shared" si="2"/>
        <v>59.645671199999995</v>
      </c>
      <c r="N17" s="6">
        <v>9.89</v>
      </c>
      <c r="O17" s="6">
        <f t="shared" si="3"/>
        <v>32.447507600000002</v>
      </c>
      <c r="P17" s="19">
        <v>1064.0197326590198</v>
      </c>
      <c r="Q17" s="19">
        <f t="shared" si="4"/>
        <v>37575.53765293349</v>
      </c>
      <c r="R17" s="19">
        <f t="shared" si="5"/>
        <v>281084.22081599862</v>
      </c>
      <c r="S17" s="19">
        <v>1015</v>
      </c>
      <c r="T17" s="19">
        <f t="shared" si="6"/>
        <v>268134.58</v>
      </c>
      <c r="U17" s="19">
        <v>11088</v>
      </c>
      <c r="V17" s="19">
        <f>U17*8.45</f>
        <v>93693.599999999991</v>
      </c>
      <c r="W17" s="7">
        <f t="shared" si="8"/>
        <v>13.998359125513028</v>
      </c>
      <c r="X17" s="7"/>
      <c r="Y17" s="7"/>
      <c r="Z17" s="7"/>
      <c r="AA17" s="7"/>
      <c r="AB17" s="7"/>
      <c r="AC17" s="7"/>
      <c r="AD17" s="19">
        <v>181.93</v>
      </c>
      <c r="AE17" s="19">
        <f t="shared" si="9"/>
        <v>9.4203187853881282E-3</v>
      </c>
      <c r="AF17" s="19">
        <f t="shared" si="10"/>
        <v>8.2521992560000007E-2</v>
      </c>
      <c r="AG17" s="10"/>
      <c r="AH17"/>
      <c r="AI17"/>
    </row>
    <row r="18" spans="1:35" s="11" customFormat="1" ht="15" customHeight="1" x14ac:dyDescent="0.25">
      <c r="A18" s="4" t="s">
        <v>21</v>
      </c>
      <c r="B18" s="13" t="s">
        <v>39</v>
      </c>
      <c r="C18" s="18" t="s">
        <v>7</v>
      </c>
      <c r="D18" s="18" t="s">
        <v>58</v>
      </c>
      <c r="E18" s="5" t="s">
        <v>3</v>
      </c>
      <c r="F18" s="17">
        <v>-20.327521999999998</v>
      </c>
      <c r="G18" s="17">
        <v>-40.347127</v>
      </c>
      <c r="H18" s="6">
        <v>19.2</v>
      </c>
      <c r="I18" s="6">
        <f t="shared" si="0"/>
        <v>62.992127999999994</v>
      </c>
      <c r="J18" s="6">
        <v>10.15</v>
      </c>
      <c r="K18" s="6">
        <f t="shared" si="1"/>
        <v>33.300525999999998</v>
      </c>
      <c r="L18" s="6">
        <v>18.399999999999999</v>
      </c>
      <c r="M18" s="6">
        <f t="shared" si="2"/>
        <v>60.367455999999997</v>
      </c>
      <c r="N18" s="6">
        <v>10.01</v>
      </c>
      <c r="O18" s="6">
        <f t="shared" si="3"/>
        <v>32.841208399999999</v>
      </c>
      <c r="P18" s="19">
        <v>1553.5426999413817</v>
      </c>
      <c r="Q18" s="19">
        <f t="shared" si="4"/>
        <v>54862.894385619911</v>
      </c>
      <c r="R18" s="19">
        <f t="shared" si="5"/>
        <v>410402.48212891474</v>
      </c>
      <c r="S18" s="19">
        <v>1494</v>
      </c>
      <c r="T18" s="19">
        <f t="shared" si="6"/>
        <v>394672.96800000005</v>
      </c>
      <c r="U18" s="19">
        <v>14891.849597135184</v>
      </c>
      <c r="V18" s="19">
        <f t="shared" si="7"/>
        <v>125836.12909579229</v>
      </c>
      <c r="W18" s="7">
        <f t="shared" si="8"/>
        <v>12.876535892881066</v>
      </c>
      <c r="X18" s="7"/>
      <c r="Y18" s="7"/>
      <c r="Z18" s="7"/>
      <c r="AA18" s="7"/>
      <c r="AB18" s="7"/>
      <c r="AC18" s="7"/>
      <c r="AD18" s="19">
        <v>250.68</v>
      </c>
      <c r="AE18" s="19">
        <f t="shared" si="9"/>
        <v>1.2980187506849315E-2</v>
      </c>
      <c r="AF18" s="19">
        <f t="shared" si="10"/>
        <v>0.11370644256000001</v>
      </c>
      <c r="AG18" s="10"/>
      <c r="AH18"/>
      <c r="AI18"/>
    </row>
    <row r="19" spans="1:35" s="11" customFormat="1" ht="15" customHeight="1" x14ac:dyDescent="0.25">
      <c r="A19" s="4" t="s">
        <v>22</v>
      </c>
      <c r="B19" s="16" t="s">
        <v>40</v>
      </c>
      <c r="C19" s="18" t="s">
        <v>8</v>
      </c>
      <c r="D19" s="18" t="s">
        <v>60</v>
      </c>
      <c r="E19" s="5" t="s">
        <v>3</v>
      </c>
      <c r="F19" s="17">
        <v>-20.327493</v>
      </c>
      <c r="G19" s="17">
        <v>-40.346997999999999</v>
      </c>
      <c r="H19" s="6">
        <v>19.2</v>
      </c>
      <c r="I19" s="6">
        <f t="shared" si="0"/>
        <v>62.992127999999994</v>
      </c>
      <c r="J19" s="6">
        <v>10.15</v>
      </c>
      <c r="K19" s="6">
        <f t="shared" si="1"/>
        <v>33.300525999999998</v>
      </c>
      <c r="L19" s="6">
        <v>17.75</v>
      </c>
      <c r="M19" s="6">
        <f t="shared" si="2"/>
        <v>58.234909999999999</v>
      </c>
      <c r="N19" s="6">
        <v>9.65</v>
      </c>
      <c r="O19" s="6">
        <f t="shared" si="3"/>
        <v>31.660106000000003</v>
      </c>
      <c r="P19" s="19">
        <v>1553.5426999413817</v>
      </c>
      <c r="Q19" s="19">
        <f t="shared" si="4"/>
        <v>54862.894385619911</v>
      </c>
      <c r="R19" s="19">
        <f t="shared" si="5"/>
        <v>410402.48212891474</v>
      </c>
      <c r="S19" s="19">
        <v>1439</v>
      </c>
      <c r="T19" s="19">
        <f t="shared" si="6"/>
        <v>380143.50800000003</v>
      </c>
      <c r="U19" s="19">
        <v>23425</v>
      </c>
      <c r="V19" s="19">
        <f t="shared" si="7"/>
        <v>197941.24999999997</v>
      </c>
      <c r="W19" s="7">
        <f t="shared" si="8"/>
        <v>20.254895224617734</v>
      </c>
      <c r="X19" s="7" t="s">
        <v>41</v>
      </c>
      <c r="Y19" s="7" t="s">
        <v>43</v>
      </c>
      <c r="Z19" s="7" t="s">
        <v>45</v>
      </c>
      <c r="AA19" s="7" t="s">
        <v>47</v>
      </c>
      <c r="AB19" s="7" t="s">
        <v>49</v>
      </c>
      <c r="AC19" s="7" t="s">
        <v>62</v>
      </c>
      <c r="AD19" s="19">
        <v>274.26</v>
      </c>
      <c r="AE19" s="19">
        <f t="shared" si="9"/>
        <v>1.4201157753424657E-2</v>
      </c>
      <c r="AF19" s="19">
        <f t="shared" si="10"/>
        <v>0.12440214192</v>
      </c>
      <c r="AG19" s="10"/>
      <c r="AH19"/>
      <c r="AI19" s="48"/>
    </row>
    <row r="20" spans="1:35" s="11" customFormat="1" ht="15" customHeight="1" x14ac:dyDescent="0.25">
      <c r="A20" s="4" t="s">
        <v>23</v>
      </c>
      <c r="B20" s="16" t="s">
        <v>40</v>
      </c>
      <c r="C20" s="18" t="s">
        <v>9</v>
      </c>
      <c r="D20" s="18" t="s">
        <v>60</v>
      </c>
      <c r="E20" s="5" t="s">
        <v>3</v>
      </c>
      <c r="F20" s="17">
        <v>-20.327772</v>
      </c>
      <c r="G20" s="17">
        <v>-40.348100000000002</v>
      </c>
      <c r="H20" s="6">
        <v>17.48</v>
      </c>
      <c r="I20" s="6">
        <f t="shared" si="0"/>
        <v>57.349083200000003</v>
      </c>
      <c r="J20" s="6">
        <v>12.41</v>
      </c>
      <c r="K20" s="6">
        <f t="shared" si="1"/>
        <v>40.715224399999997</v>
      </c>
      <c r="L20" s="6">
        <v>16.37</v>
      </c>
      <c r="M20" s="6">
        <f t="shared" si="2"/>
        <v>53.7073508</v>
      </c>
      <c r="N20" s="6">
        <v>8.9</v>
      </c>
      <c r="O20" s="6">
        <f t="shared" si="3"/>
        <v>29.199476000000001</v>
      </c>
      <c r="P20" s="19">
        <v>2114.3402269680182</v>
      </c>
      <c r="Q20" s="19">
        <f t="shared" si="4"/>
        <v>74667.290813307482</v>
      </c>
      <c r="R20" s="19">
        <f t="shared" si="5"/>
        <v>558549.48643859534</v>
      </c>
      <c r="S20" s="19">
        <v>1990</v>
      </c>
      <c r="T20" s="19">
        <f t="shared" si="6"/>
        <v>525702.28</v>
      </c>
      <c r="U20" s="19">
        <v>93020</v>
      </c>
      <c r="V20" s="19">
        <f t="shared" si="7"/>
        <v>786018.99999999988</v>
      </c>
      <c r="W20" s="7">
        <f t="shared" si="8"/>
        <v>59.098309553418936</v>
      </c>
      <c r="X20" s="7" t="s">
        <v>41</v>
      </c>
      <c r="Y20" s="7" t="s">
        <v>43</v>
      </c>
      <c r="Z20" s="7" t="s">
        <v>45</v>
      </c>
      <c r="AA20" s="7" t="s">
        <v>47</v>
      </c>
      <c r="AB20" s="7" t="s">
        <v>49</v>
      </c>
      <c r="AC20" s="7" t="s">
        <v>62</v>
      </c>
      <c r="AD20" s="19">
        <v>419.93</v>
      </c>
      <c r="AE20" s="19">
        <f t="shared" si="9"/>
        <v>2.1743937050228309E-2</v>
      </c>
      <c r="AF20" s="19">
        <f t="shared" si="10"/>
        <v>0.19047688856</v>
      </c>
      <c r="AG20" s="10"/>
      <c r="AH20"/>
      <c r="AI20"/>
    </row>
    <row r="21" spans="1:35" s="11" customFormat="1" ht="15" customHeight="1" x14ac:dyDescent="0.25">
      <c r="A21" s="4" t="s">
        <v>24</v>
      </c>
      <c r="B21" s="16" t="s">
        <v>40</v>
      </c>
      <c r="C21" s="18" t="s">
        <v>13</v>
      </c>
      <c r="D21" s="18" t="s">
        <v>59</v>
      </c>
      <c r="E21" s="5" t="s">
        <v>3</v>
      </c>
      <c r="F21" s="17">
        <v>-20.32761</v>
      </c>
      <c r="G21" s="17">
        <v>-40.348078999999998</v>
      </c>
      <c r="H21" s="6">
        <v>17.48</v>
      </c>
      <c r="I21" s="6">
        <f t="shared" si="0"/>
        <v>57.349083200000003</v>
      </c>
      <c r="J21" s="6">
        <v>12.41</v>
      </c>
      <c r="K21" s="6">
        <f t="shared" si="1"/>
        <v>40.715224399999997</v>
      </c>
      <c r="L21" s="6">
        <v>16.37</v>
      </c>
      <c r="M21" s="6">
        <f t="shared" si="2"/>
        <v>53.7073508</v>
      </c>
      <c r="N21" s="6">
        <v>8.9</v>
      </c>
      <c r="O21" s="6">
        <f t="shared" si="3"/>
        <v>29.199476000000001</v>
      </c>
      <c r="P21" s="19">
        <v>2114.3402269680182</v>
      </c>
      <c r="Q21" s="19">
        <f t="shared" si="4"/>
        <v>74667.290813307482</v>
      </c>
      <c r="R21" s="19">
        <f t="shared" si="5"/>
        <v>558549.48643859534</v>
      </c>
      <c r="S21" s="19">
        <v>1994</v>
      </c>
      <c r="T21" s="19">
        <f t="shared" si="6"/>
        <v>526758.96799999999</v>
      </c>
      <c r="U21" s="19">
        <v>23847.541392065988</v>
      </c>
      <c r="V21" s="19">
        <f t="shared" si="7"/>
        <v>201511.72476295757</v>
      </c>
      <c r="W21" s="7">
        <f t="shared" si="8"/>
        <v>15.151036156485562</v>
      </c>
      <c r="X21" s="7" t="s">
        <v>41</v>
      </c>
      <c r="Y21" s="7" t="s">
        <v>43</v>
      </c>
      <c r="Z21" s="7" t="s">
        <v>45</v>
      </c>
      <c r="AA21" s="7" t="s">
        <v>47</v>
      </c>
      <c r="AB21" s="7" t="s">
        <v>49</v>
      </c>
      <c r="AC21" s="7" t="s">
        <v>62</v>
      </c>
      <c r="AD21" s="19">
        <v>5135.18</v>
      </c>
      <c r="AE21" s="19">
        <f t="shared" si="9"/>
        <v>0.26589915143378995</v>
      </c>
      <c r="AF21" s="19">
        <f t="shared" si="10"/>
        <v>2.3292765665599999</v>
      </c>
      <c r="AG21" s="10"/>
      <c r="AH21"/>
      <c r="AI21"/>
    </row>
    <row r="22" spans="1:35" s="11" customFormat="1" ht="15" customHeight="1" x14ac:dyDescent="0.25">
      <c r="A22" s="4" t="s">
        <v>25</v>
      </c>
      <c r="B22" s="13" t="s">
        <v>39</v>
      </c>
      <c r="C22" s="18" t="s">
        <v>11</v>
      </c>
      <c r="D22" s="18" t="s">
        <v>58</v>
      </c>
      <c r="E22" s="5" t="s">
        <v>3</v>
      </c>
      <c r="F22" s="17">
        <v>-20.327234000000001</v>
      </c>
      <c r="G22" s="17">
        <v>-40.346012000000002</v>
      </c>
      <c r="H22" s="6">
        <v>19.2</v>
      </c>
      <c r="I22" s="6">
        <f t="shared" si="0"/>
        <v>62.992127999999994</v>
      </c>
      <c r="J22" s="6">
        <v>11.7</v>
      </c>
      <c r="K22" s="6">
        <f t="shared" si="1"/>
        <v>38.385827999999997</v>
      </c>
      <c r="L22" s="6">
        <v>18.14</v>
      </c>
      <c r="M22" s="6">
        <f t="shared" si="2"/>
        <v>59.514437600000001</v>
      </c>
      <c r="N22" s="6">
        <v>9.8699999999999992</v>
      </c>
      <c r="O22" s="6">
        <f t="shared" si="3"/>
        <v>32.381890800000001</v>
      </c>
      <c r="P22" s="19">
        <v>2064.252568079552</v>
      </c>
      <c r="Q22" s="19">
        <f t="shared" si="4"/>
        <v>72898.460165958953</v>
      </c>
      <c r="R22" s="19">
        <f t="shared" si="5"/>
        <v>545317.72941471147</v>
      </c>
      <c r="S22" s="19">
        <v>1968</v>
      </c>
      <c r="T22" s="19">
        <f t="shared" si="6"/>
        <v>519890.49600000004</v>
      </c>
      <c r="U22" s="19">
        <v>19616.57296329454</v>
      </c>
      <c r="V22" s="19">
        <f t="shared" si="7"/>
        <v>165760.04153983886</v>
      </c>
      <c r="W22" s="7">
        <f t="shared" si="8"/>
        <v>12.765384496272288</v>
      </c>
      <c r="X22" s="7"/>
      <c r="Y22" s="7"/>
      <c r="Z22" s="7"/>
      <c r="AA22" s="7"/>
      <c r="AB22" s="7"/>
      <c r="AC22" s="7"/>
      <c r="AD22" s="19">
        <v>330.68</v>
      </c>
      <c r="AE22" s="19">
        <f t="shared" si="9"/>
        <v>1.7122580200913243E-2</v>
      </c>
      <c r="AF22" s="19">
        <f t="shared" si="10"/>
        <v>0.14999380256</v>
      </c>
      <c r="AG22" s="10"/>
      <c r="AH22"/>
      <c r="AI22"/>
    </row>
    <row r="23" spans="1:35" s="11" customFormat="1" ht="15" customHeight="1" x14ac:dyDescent="0.25">
      <c r="A23" s="4" t="s">
        <v>26</v>
      </c>
      <c r="B23" s="13" t="s">
        <v>39</v>
      </c>
      <c r="C23" s="18" t="s">
        <v>10</v>
      </c>
      <c r="D23" s="18" t="s">
        <v>58</v>
      </c>
      <c r="E23" s="5" t="s">
        <v>3</v>
      </c>
      <c r="F23" s="17">
        <v>-20.327273999999999</v>
      </c>
      <c r="G23" s="17">
        <v>-40.346806000000001</v>
      </c>
      <c r="H23" s="6">
        <v>19.2</v>
      </c>
      <c r="I23" s="6">
        <f t="shared" si="0"/>
        <v>62.992127999999994</v>
      </c>
      <c r="J23" s="6">
        <v>14.35</v>
      </c>
      <c r="K23" s="6">
        <f t="shared" si="1"/>
        <v>47.080053999999997</v>
      </c>
      <c r="L23" s="6">
        <v>18.34</v>
      </c>
      <c r="M23" s="6">
        <f t="shared" si="2"/>
        <v>60.170605600000002</v>
      </c>
      <c r="N23" s="6">
        <v>9.98</v>
      </c>
      <c r="O23" s="6">
        <f t="shared" si="3"/>
        <v>32.742783199999998</v>
      </c>
      <c r="P23" s="19">
        <v>3105.2381434024514</v>
      </c>
      <c r="Q23" s="19">
        <f t="shared" si="4"/>
        <v>109660.55346281455</v>
      </c>
      <c r="R23" s="19">
        <f t="shared" si="5"/>
        <v>820316.97081891249</v>
      </c>
      <c r="S23" s="19">
        <v>2984</v>
      </c>
      <c r="T23" s="19">
        <f t="shared" si="6"/>
        <v>788289.24800000002</v>
      </c>
      <c r="U23" s="19">
        <v>28264.063700882809</v>
      </c>
      <c r="V23" s="19">
        <f t="shared" si="7"/>
        <v>238831.33827245972</v>
      </c>
      <c r="W23" s="7">
        <f t="shared" si="8"/>
        <v>12.226813477794895</v>
      </c>
      <c r="X23" s="7"/>
      <c r="Y23" s="7"/>
      <c r="Z23" s="7"/>
      <c r="AA23" s="7"/>
      <c r="AB23" s="7"/>
      <c r="AC23" s="7"/>
      <c r="AD23" s="19">
        <v>485.25</v>
      </c>
      <c r="AE23" s="19">
        <f t="shared" si="9"/>
        <v>2.5126200684931505E-2</v>
      </c>
      <c r="AF23" s="19">
        <f t="shared" si="10"/>
        <v>0.220105518</v>
      </c>
      <c r="AH23"/>
      <c r="AI23"/>
    </row>
    <row r="24" spans="1:35" s="11" customFormat="1" ht="15" customHeight="1" x14ac:dyDescent="0.25">
      <c r="A24" s="4" t="s">
        <v>27</v>
      </c>
      <c r="B24" s="13" t="s">
        <v>39</v>
      </c>
      <c r="C24" s="18" t="s">
        <v>11</v>
      </c>
      <c r="D24" s="18" t="s">
        <v>58</v>
      </c>
      <c r="E24" s="5" t="s">
        <v>3</v>
      </c>
      <c r="F24" s="17">
        <v>-20.327445000000001</v>
      </c>
      <c r="G24" s="17">
        <v>-40.346822000000003</v>
      </c>
      <c r="H24" s="6">
        <v>19.2</v>
      </c>
      <c r="I24" s="6">
        <f t="shared" si="0"/>
        <v>62.992127999999994</v>
      </c>
      <c r="J24" s="6">
        <v>14.35</v>
      </c>
      <c r="K24" s="6">
        <f t="shared" si="1"/>
        <v>47.080053999999997</v>
      </c>
      <c r="L24" s="6">
        <v>18.34</v>
      </c>
      <c r="M24" s="6">
        <f t="shared" si="2"/>
        <v>60.170605600000002</v>
      </c>
      <c r="N24" s="6">
        <v>9.98</v>
      </c>
      <c r="O24" s="6">
        <f t="shared" si="3"/>
        <v>32.742783199999998</v>
      </c>
      <c r="P24" s="19">
        <v>3105.2381434024514</v>
      </c>
      <c r="Q24" s="19">
        <f t="shared" si="4"/>
        <v>109660.55346281455</v>
      </c>
      <c r="R24" s="19">
        <f t="shared" si="5"/>
        <v>820316.97081891249</v>
      </c>
      <c r="S24" s="19">
        <v>2992</v>
      </c>
      <c r="T24" s="19">
        <f t="shared" si="6"/>
        <v>790402.62400000007</v>
      </c>
      <c r="U24" s="19">
        <v>28339.83867059027</v>
      </c>
      <c r="V24" s="19">
        <f t="shared" si="7"/>
        <v>239471.63676648776</v>
      </c>
      <c r="W24" s="7">
        <f t="shared" si="8"/>
        <v>12.259593138593274</v>
      </c>
      <c r="X24" s="7"/>
      <c r="Y24" s="7"/>
      <c r="Z24" s="7"/>
      <c r="AA24" s="7"/>
      <c r="AB24" s="7"/>
      <c r="AC24" s="7"/>
      <c r="AD24" s="19">
        <v>487.12</v>
      </c>
      <c r="AE24" s="19">
        <f>AD24*0.453592/8760</f>
        <v>2.5223029114155252E-2</v>
      </c>
      <c r="AF24" s="19">
        <f t="shared" si="10"/>
        <v>0.22095373504000002</v>
      </c>
      <c r="AH24"/>
      <c r="AI24"/>
    </row>
    <row r="25" spans="1:35" ht="15" customHeight="1" x14ac:dyDescent="0.25">
      <c r="A25" s="4" t="s">
        <v>28</v>
      </c>
      <c r="B25" s="16" t="s">
        <v>40</v>
      </c>
      <c r="C25" s="18" t="s">
        <v>5</v>
      </c>
      <c r="D25" s="18" t="s">
        <v>59</v>
      </c>
      <c r="E25" s="5" t="s">
        <v>3</v>
      </c>
      <c r="F25" s="17">
        <v>-20.327255999999998</v>
      </c>
      <c r="G25" s="17">
        <v>-40.347195999999997</v>
      </c>
      <c r="H25" s="6">
        <v>19.2</v>
      </c>
      <c r="I25" s="6">
        <f t="shared" si="0"/>
        <v>62.992127999999994</v>
      </c>
      <c r="J25" s="6">
        <v>16.600000000000001</v>
      </c>
      <c r="K25" s="6">
        <f t="shared" si="1"/>
        <v>54.461944000000003</v>
      </c>
      <c r="L25" s="6">
        <v>18.13</v>
      </c>
      <c r="M25" s="6">
        <f t="shared" si="2"/>
        <v>59.481629199999993</v>
      </c>
      <c r="N25" s="6">
        <v>9.86</v>
      </c>
      <c r="O25" s="6">
        <f t="shared" si="3"/>
        <v>32.3490824</v>
      </c>
      <c r="P25" s="19">
        <v>4155.3469037913774</v>
      </c>
      <c r="Q25" s="19">
        <f t="shared" si="4"/>
        <v>146744.82930332137</v>
      </c>
      <c r="R25" s="19">
        <f t="shared" si="5"/>
        <v>1097726.3022683759</v>
      </c>
      <c r="S25" s="19">
        <v>3929</v>
      </c>
      <c r="T25" s="19">
        <f t="shared" si="6"/>
        <v>1037931.7880000001</v>
      </c>
      <c r="U25" s="19">
        <v>46989.463455078876</v>
      </c>
      <c r="V25" s="19">
        <f t="shared" si="7"/>
        <v>397060.96619541646</v>
      </c>
      <c r="W25" s="7">
        <f t="shared" si="8"/>
        <v>15.190315562080356</v>
      </c>
      <c r="X25" s="7" t="s">
        <v>41</v>
      </c>
      <c r="Y25" s="7" t="s">
        <v>43</v>
      </c>
      <c r="Z25" s="7" t="s">
        <v>45</v>
      </c>
      <c r="AA25" s="7" t="s">
        <v>47</v>
      </c>
      <c r="AB25" s="7" t="s">
        <v>49</v>
      </c>
      <c r="AC25" s="7" t="s">
        <v>62</v>
      </c>
      <c r="AD25" s="19">
        <v>6350.85</v>
      </c>
      <c r="AE25" s="19">
        <f>AD25*0.453592/8760</f>
        <v>0.32884643301369865</v>
      </c>
      <c r="AF25" s="19">
        <f t="shared" si="10"/>
        <v>2.8806947532000002</v>
      </c>
      <c r="AH25"/>
      <c r="AI25" s="48"/>
    </row>
    <row r="26" spans="1:35" s="11" customFormat="1" ht="15" customHeight="1" x14ac:dyDescent="0.25">
      <c r="A26" s="4" t="s">
        <v>29</v>
      </c>
      <c r="B26" s="13" t="s">
        <v>39</v>
      </c>
      <c r="C26" s="18" t="s">
        <v>7</v>
      </c>
      <c r="D26" s="18" t="s">
        <v>58</v>
      </c>
      <c r="E26" s="5" t="s">
        <v>3</v>
      </c>
      <c r="F26" s="17">
        <v>-20.327352999999999</v>
      </c>
      <c r="G26" s="17">
        <v>-40.346625000000003</v>
      </c>
      <c r="H26" s="6">
        <v>19.2</v>
      </c>
      <c r="I26" s="6">
        <f t="shared" si="0"/>
        <v>62.992127999999994</v>
      </c>
      <c r="J26" s="6">
        <v>16.600000000000001</v>
      </c>
      <c r="K26" s="6">
        <f t="shared" si="1"/>
        <v>54.461944000000003</v>
      </c>
      <c r="L26" s="6">
        <v>18.43</v>
      </c>
      <c r="M26" s="6">
        <f t="shared" si="2"/>
        <v>60.465881199999998</v>
      </c>
      <c r="N26" s="6">
        <v>10.029999999999999</v>
      </c>
      <c r="O26" s="6">
        <f t="shared" si="3"/>
        <v>32.9068252</v>
      </c>
      <c r="P26" s="19">
        <v>4155.3469037913774</v>
      </c>
      <c r="Q26" s="19">
        <f t="shared" si="4"/>
        <v>146744.82930332137</v>
      </c>
      <c r="R26" s="19">
        <f t="shared" si="5"/>
        <v>1097726.3022683759</v>
      </c>
      <c r="S26" s="19">
        <v>4029</v>
      </c>
      <c r="T26" s="19">
        <f t="shared" si="6"/>
        <v>1064348.9880000001</v>
      </c>
      <c r="U26" s="19">
        <v>40160.148612354518</v>
      </c>
      <c r="V26" s="19">
        <f t="shared" si="7"/>
        <v>339353.25577439566</v>
      </c>
      <c r="W26" s="7">
        <f t="shared" si="8"/>
        <v>12.98259834409264</v>
      </c>
      <c r="X26" s="7"/>
      <c r="Y26" s="7"/>
      <c r="Z26" s="7"/>
      <c r="AA26" s="7"/>
      <c r="AB26" s="7"/>
      <c r="AC26" s="7"/>
      <c r="AD26" s="19">
        <v>685.39</v>
      </c>
      <c r="AE26" s="19">
        <f>AD26*0.453592/8760</f>
        <v>3.5489431607305937E-2</v>
      </c>
      <c r="AF26" s="19">
        <f t="shared" si="10"/>
        <v>0.31088742087999999</v>
      </c>
      <c r="AH26"/>
      <c r="AI26" s="48"/>
    </row>
    <row r="27" spans="1:35" s="11" customFormat="1" ht="15" customHeight="1" x14ac:dyDescent="0.25">
      <c r="A27" s="4" t="s">
        <v>30</v>
      </c>
      <c r="B27" s="13" t="s">
        <v>39</v>
      </c>
      <c r="C27" s="18" t="s">
        <v>11</v>
      </c>
      <c r="D27" s="18" t="s">
        <v>58</v>
      </c>
      <c r="E27" s="5" t="s">
        <v>3</v>
      </c>
      <c r="F27" s="17">
        <v>-20.327266000000002</v>
      </c>
      <c r="G27" s="17">
        <v>-40.346169000000003</v>
      </c>
      <c r="H27" s="6">
        <v>19.2</v>
      </c>
      <c r="I27" s="6">
        <f t="shared" si="0"/>
        <v>62.992127999999994</v>
      </c>
      <c r="J27" s="6">
        <v>16.600000000000001</v>
      </c>
      <c r="K27" s="6">
        <f t="shared" si="1"/>
        <v>54.461944000000003</v>
      </c>
      <c r="L27" s="6">
        <v>18.43</v>
      </c>
      <c r="M27" s="6">
        <f t="shared" si="2"/>
        <v>60.465881199999998</v>
      </c>
      <c r="N27" s="6">
        <v>10.029999999999999</v>
      </c>
      <c r="O27" s="6">
        <f t="shared" si="3"/>
        <v>32.9068252</v>
      </c>
      <c r="P27" s="19">
        <v>4155.3469037913774</v>
      </c>
      <c r="Q27" s="19">
        <f t="shared" si="4"/>
        <v>146744.82930332137</v>
      </c>
      <c r="R27" s="19">
        <f t="shared" si="5"/>
        <v>1097726.3022683759</v>
      </c>
      <c r="S27" s="19">
        <v>4033</v>
      </c>
      <c r="T27" s="19">
        <f t="shared" si="6"/>
        <v>1065405.6760000002</v>
      </c>
      <c r="U27" s="19">
        <v>40200.019695613249</v>
      </c>
      <c r="V27" s="19">
        <f t="shared" si="7"/>
        <v>339690.16642793192</v>
      </c>
      <c r="W27" s="7">
        <f t="shared" si="8"/>
        <v>12.99548749608479</v>
      </c>
      <c r="X27" s="7"/>
      <c r="Y27" s="7"/>
      <c r="Z27" s="7"/>
      <c r="AA27" s="7"/>
      <c r="AB27" s="7"/>
      <c r="AC27" s="7"/>
      <c r="AD27" s="19">
        <v>686.71</v>
      </c>
      <c r="AE27" s="19">
        <f>AD27*0.453592/8760</f>
        <v>3.5557781086757993E-2</v>
      </c>
      <c r="AF27" s="19">
        <f t="shared" si="10"/>
        <v>0.31148616232000004</v>
      </c>
      <c r="AH27"/>
      <c r="AI27" s="48"/>
    </row>
    <row r="28" spans="1:35" ht="15" customHeight="1" x14ac:dyDescent="0.25">
      <c r="A28" s="4" t="s">
        <v>31</v>
      </c>
      <c r="B28" s="13" t="s">
        <v>39</v>
      </c>
      <c r="C28" s="18" t="s">
        <v>11</v>
      </c>
      <c r="D28" s="18" t="s">
        <v>58</v>
      </c>
      <c r="E28" s="5" t="s">
        <v>3</v>
      </c>
      <c r="F28" s="17">
        <v>-20.327942</v>
      </c>
      <c r="G28" s="17">
        <v>-40.349322999999998</v>
      </c>
      <c r="H28" s="6">
        <v>18.54</v>
      </c>
      <c r="I28" s="6">
        <f t="shared" si="0"/>
        <v>60.826773599999996</v>
      </c>
      <c r="J28" s="6">
        <v>19.09</v>
      </c>
      <c r="K28" s="6">
        <f t="shared" si="1"/>
        <v>62.631235599999997</v>
      </c>
      <c r="L28" s="6">
        <v>17.71</v>
      </c>
      <c r="M28" s="6">
        <f t="shared" si="2"/>
        <v>58.103676400000005</v>
      </c>
      <c r="N28" s="6">
        <v>9.65</v>
      </c>
      <c r="O28" s="6">
        <f t="shared" si="3"/>
        <v>31.660106000000003</v>
      </c>
      <c r="P28" s="19">
        <v>5306.5403143800168</v>
      </c>
      <c r="Q28" s="19">
        <f t="shared" si="4"/>
        <v>187398.87924023598</v>
      </c>
      <c r="R28" s="19">
        <f t="shared" si="5"/>
        <v>1401839.3679303979</v>
      </c>
      <c r="S28" s="19">
        <v>5124</v>
      </c>
      <c r="T28" s="19">
        <f t="shared" si="6"/>
        <v>1353617.3280000002</v>
      </c>
      <c r="U28" s="19">
        <v>51074.857654431515</v>
      </c>
      <c r="V28" s="19">
        <f t="shared" si="7"/>
        <v>431582.54717994627</v>
      </c>
      <c r="W28" s="7">
        <f>(5.614*V28)/Q28</f>
        <v>12.929129724208094</v>
      </c>
      <c r="X28" s="7"/>
      <c r="Y28" s="7"/>
      <c r="Z28" s="7"/>
      <c r="AA28" s="7"/>
      <c r="AB28" s="7"/>
      <c r="AC28" s="7"/>
      <c r="AD28" s="19">
        <v>875.25</v>
      </c>
      <c r="AE28" s="19">
        <f t="shared" si="9"/>
        <v>4.532036506849315E-2</v>
      </c>
      <c r="AF28" s="19">
        <f t="shared" si="10"/>
        <v>0.39700639799999998</v>
      </c>
      <c r="AH28"/>
      <c r="AI28"/>
    </row>
    <row r="29" spans="1:35" ht="15" customHeight="1" x14ac:dyDescent="0.25">
      <c r="A29" s="4" t="s">
        <v>32</v>
      </c>
      <c r="B29" s="13" t="s">
        <v>39</v>
      </c>
      <c r="C29" s="18" t="s">
        <v>11</v>
      </c>
      <c r="D29" s="18" t="s">
        <v>58</v>
      </c>
      <c r="E29" s="5" t="s">
        <v>3</v>
      </c>
      <c r="F29" s="17">
        <v>-20.327957000000001</v>
      </c>
      <c r="G29" s="17">
        <v>-40.349046999999999</v>
      </c>
      <c r="H29" s="6">
        <v>18.54</v>
      </c>
      <c r="I29" s="6">
        <f t="shared" si="0"/>
        <v>60.826773599999996</v>
      </c>
      <c r="J29" s="6">
        <v>19.09</v>
      </c>
      <c r="K29" s="6">
        <f t="shared" si="1"/>
        <v>62.631235599999997</v>
      </c>
      <c r="L29" s="6">
        <v>17.71</v>
      </c>
      <c r="M29" s="6">
        <f t="shared" si="2"/>
        <v>58.103676400000005</v>
      </c>
      <c r="N29" s="6">
        <v>9.65</v>
      </c>
      <c r="O29" s="6">
        <f t="shared" si="3"/>
        <v>31.660106000000003</v>
      </c>
      <c r="P29" s="19">
        <v>5306.5403143800168</v>
      </c>
      <c r="Q29" s="19">
        <f t="shared" si="4"/>
        <v>187398.87924023598</v>
      </c>
      <c r="R29" s="19">
        <f t="shared" si="5"/>
        <v>1401839.3679303979</v>
      </c>
      <c r="S29" s="19">
        <v>5134</v>
      </c>
      <c r="T29" s="19">
        <f t="shared" si="6"/>
        <v>1356259.0480000002</v>
      </c>
      <c r="U29" s="19">
        <v>51174.535362578339</v>
      </c>
      <c r="V29" s="19">
        <f t="shared" si="7"/>
        <v>432424.8238137869</v>
      </c>
      <c r="W29" s="7">
        <f t="shared" si="8"/>
        <v>12.954362217815058</v>
      </c>
      <c r="X29" s="7"/>
      <c r="Y29" s="7"/>
      <c r="Z29" s="7"/>
      <c r="AA29" s="7"/>
      <c r="AB29" s="7"/>
      <c r="AC29" s="7"/>
      <c r="AD29" s="19">
        <v>899.76</v>
      </c>
      <c r="AE29" s="19">
        <f>AD29*0.453592/8760</f>
        <v>4.6589490630136988E-2</v>
      </c>
      <c r="AF29" s="19">
        <f t="shared" si="10"/>
        <v>0.40812393792000001</v>
      </c>
    </row>
    <row r="30" spans="1:35" ht="15" customHeight="1" x14ac:dyDescent="0.25">
      <c r="A30" s="4" t="s">
        <v>33</v>
      </c>
      <c r="B30" s="16" t="s">
        <v>40</v>
      </c>
      <c r="C30" s="18" t="s">
        <v>12</v>
      </c>
      <c r="D30" s="18" t="s">
        <v>59</v>
      </c>
      <c r="E30" s="5" t="s">
        <v>3</v>
      </c>
      <c r="F30" s="17">
        <v>-20.32788</v>
      </c>
      <c r="G30" s="17">
        <v>-40.348799</v>
      </c>
      <c r="H30" s="6">
        <v>18.2</v>
      </c>
      <c r="I30" s="6">
        <f t="shared" si="0"/>
        <v>59.711287999999996</v>
      </c>
      <c r="J30" s="6">
        <v>19.09</v>
      </c>
      <c r="K30" s="6">
        <f t="shared" si="1"/>
        <v>62.631235599999997</v>
      </c>
      <c r="L30" s="6">
        <v>17.329999999999998</v>
      </c>
      <c r="M30" s="6">
        <f t="shared" si="2"/>
        <v>56.856957199999997</v>
      </c>
      <c r="N30" s="6">
        <v>9.42</v>
      </c>
      <c r="O30" s="6">
        <f t="shared" si="3"/>
        <v>30.9055128</v>
      </c>
      <c r="P30" s="19">
        <v>5209.2251198336726</v>
      </c>
      <c r="Q30" s="19">
        <f t="shared" si="4"/>
        <v>183962.22233939019</v>
      </c>
      <c r="R30" s="19">
        <f t="shared" si="5"/>
        <v>1376131.418356701</v>
      </c>
      <c r="S30" s="19">
        <v>5020</v>
      </c>
      <c r="T30" s="19">
        <f t="shared" si="6"/>
        <v>1326143.4400000002</v>
      </c>
      <c r="U30" s="19">
        <v>60037.441217738851</v>
      </c>
      <c r="V30" s="19">
        <f t="shared" si="7"/>
        <v>507316.37828989327</v>
      </c>
      <c r="W30" s="7">
        <f t="shared" si="8"/>
        <v>15.481842475598468</v>
      </c>
      <c r="X30" s="7" t="s">
        <v>41</v>
      </c>
      <c r="Y30" s="7" t="s">
        <v>43</v>
      </c>
      <c r="Z30" s="7" t="s">
        <v>45</v>
      </c>
      <c r="AA30" s="7" t="s">
        <v>47</v>
      </c>
      <c r="AB30" s="7" t="s">
        <v>49</v>
      </c>
      <c r="AC30" s="7" t="s">
        <v>62</v>
      </c>
      <c r="AD30" s="19">
        <v>89.65</v>
      </c>
      <c r="AE30" s="19">
        <f t="shared" si="9"/>
        <v>4.6420688127853885E-3</v>
      </c>
      <c r="AF30" s="19">
        <f t="shared" si="10"/>
        <v>4.0664522800000005E-2</v>
      </c>
    </row>
    <row r="31" spans="1:35" ht="15" customHeight="1" x14ac:dyDescent="0.25">
      <c r="A31" s="4" t="s">
        <v>34</v>
      </c>
      <c r="B31" s="16" t="s">
        <v>40</v>
      </c>
      <c r="C31" s="18" t="s">
        <v>12</v>
      </c>
      <c r="D31" s="18" t="s">
        <v>59</v>
      </c>
      <c r="E31" s="5" t="s">
        <v>3</v>
      </c>
      <c r="F31" s="17">
        <v>-20.327836000000001</v>
      </c>
      <c r="G31" s="17">
        <v>-40.348590000000002</v>
      </c>
      <c r="H31" s="6">
        <v>18.2</v>
      </c>
      <c r="I31" s="6">
        <f t="shared" si="0"/>
        <v>59.711287999999996</v>
      </c>
      <c r="J31" s="6">
        <v>19.09</v>
      </c>
      <c r="K31" s="6">
        <f t="shared" si="1"/>
        <v>62.631235599999997</v>
      </c>
      <c r="L31" s="6">
        <v>17.329999999999998</v>
      </c>
      <c r="M31" s="6">
        <f t="shared" si="2"/>
        <v>56.856957199999997</v>
      </c>
      <c r="N31" s="6">
        <v>9.42</v>
      </c>
      <c r="O31" s="6">
        <f t="shared" si="3"/>
        <v>30.9055128</v>
      </c>
      <c r="P31" s="19">
        <v>5209.2251198336726</v>
      </c>
      <c r="Q31" s="19">
        <f t="shared" si="4"/>
        <v>183962.22233939019</v>
      </c>
      <c r="R31" s="19">
        <f t="shared" si="5"/>
        <v>1376131.418356701</v>
      </c>
      <c r="S31" s="19">
        <v>5015</v>
      </c>
      <c r="T31" s="19">
        <f t="shared" si="6"/>
        <v>1324822.58</v>
      </c>
      <c r="U31" s="19">
        <v>59977.64296951401</v>
      </c>
      <c r="V31" s="19">
        <f t="shared" si="7"/>
        <v>506811.08309239335</v>
      </c>
      <c r="W31" s="7">
        <f t="shared" si="8"/>
        <v>15.466422313770183</v>
      </c>
      <c r="X31" s="7" t="s">
        <v>41</v>
      </c>
      <c r="Y31" s="7" t="s">
        <v>43</v>
      </c>
      <c r="Z31" s="7" t="s">
        <v>45</v>
      </c>
      <c r="AA31" s="7" t="s">
        <v>47</v>
      </c>
      <c r="AB31" s="7" t="s">
        <v>49</v>
      </c>
      <c r="AC31" s="7" t="s">
        <v>62</v>
      </c>
      <c r="AD31" s="19">
        <v>7002.09</v>
      </c>
      <c r="AE31" s="19">
        <f>AD31*0.453592/8760</f>
        <v>0.362567580739726</v>
      </c>
      <c r="AF31" s="19">
        <f t="shared" si="10"/>
        <v>3.1760920072799999</v>
      </c>
    </row>
    <row r="32" spans="1:35" ht="15" customHeight="1" x14ac:dyDescent="0.25">
      <c r="A32" s="4" t="s">
        <v>35</v>
      </c>
      <c r="B32" s="16" t="s">
        <v>40</v>
      </c>
      <c r="C32" s="18" t="s">
        <v>12</v>
      </c>
      <c r="D32" s="18" t="s">
        <v>59</v>
      </c>
      <c r="E32" s="5" t="s">
        <v>3</v>
      </c>
      <c r="F32" s="17">
        <v>-20.327763000000001</v>
      </c>
      <c r="G32" s="17">
        <v>-40.348320000000001</v>
      </c>
      <c r="H32" s="6">
        <v>18.2</v>
      </c>
      <c r="I32" s="6">
        <f t="shared" si="0"/>
        <v>59.711287999999996</v>
      </c>
      <c r="J32" s="6">
        <v>19.09</v>
      </c>
      <c r="K32" s="6">
        <f t="shared" si="1"/>
        <v>62.631235599999997</v>
      </c>
      <c r="L32" s="6">
        <v>17.329999999999998</v>
      </c>
      <c r="M32" s="6">
        <f t="shared" si="2"/>
        <v>56.856957199999997</v>
      </c>
      <c r="N32" s="6">
        <v>9.42</v>
      </c>
      <c r="O32" s="6">
        <f t="shared" si="3"/>
        <v>30.9055128</v>
      </c>
      <c r="P32" s="19">
        <v>5209.2251198336726</v>
      </c>
      <c r="Q32" s="19">
        <f t="shared" si="4"/>
        <v>183962.22233939019</v>
      </c>
      <c r="R32" s="19">
        <f t="shared" si="5"/>
        <v>1376131.418356701</v>
      </c>
      <c r="S32" s="19">
        <v>5014</v>
      </c>
      <c r="T32" s="19">
        <f t="shared" si="6"/>
        <v>1324558.4080000001</v>
      </c>
      <c r="U32" s="19">
        <v>59965.683319869044</v>
      </c>
      <c r="V32" s="19">
        <f t="shared" si="7"/>
        <v>506710.02405289339</v>
      </c>
      <c r="W32" s="7">
        <f t="shared" si="8"/>
        <v>15.463338281404527</v>
      </c>
      <c r="X32" s="7" t="s">
        <v>41</v>
      </c>
      <c r="Y32" s="7" t="s">
        <v>43</v>
      </c>
      <c r="Z32" s="7" t="s">
        <v>45</v>
      </c>
      <c r="AA32" s="7" t="s">
        <v>47</v>
      </c>
      <c r="AB32" s="7" t="s">
        <v>49</v>
      </c>
      <c r="AC32" s="7" t="s">
        <v>62</v>
      </c>
      <c r="AD32" s="19">
        <v>7002.05</v>
      </c>
      <c r="AE32" s="19">
        <f>AD32*0.453592/8760</f>
        <v>0.36256550954337902</v>
      </c>
      <c r="AF32" s="19">
        <f t="shared" si="10"/>
        <v>3.1760738636000001</v>
      </c>
    </row>
    <row r="33" spans="1:32" ht="15" customHeight="1" x14ac:dyDescent="0.25">
      <c r="A33" s="4" t="s">
        <v>36</v>
      </c>
      <c r="B33" s="16" t="s">
        <v>40</v>
      </c>
      <c r="C33" s="18" t="s">
        <v>12</v>
      </c>
      <c r="D33" s="18" t="s">
        <v>59</v>
      </c>
      <c r="E33" s="5" t="s">
        <v>3</v>
      </c>
      <c r="F33" s="17">
        <v>-20.327563000000001</v>
      </c>
      <c r="G33" s="17">
        <v>-40.347862999999997</v>
      </c>
      <c r="H33" s="6">
        <v>18.2</v>
      </c>
      <c r="I33" s="6">
        <f t="shared" si="0"/>
        <v>59.711287999999996</v>
      </c>
      <c r="J33" s="6">
        <v>19.09</v>
      </c>
      <c r="K33" s="6">
        <f t="shared" si="1"/>
        <v>62.631235599999997</v>
      </c>
      <c r="L33" s="6">
        <v>17.329999999999998</v>
      </c>
      <c r="M33" s="6">
        <f t="shared" si="2"/>
        <v>56.856957199999997</v>
      </c>
      <c r="N33" s="6">
        <v>9.42</v>
      </c>
      <c r="O33" s="6">
        <f t="shared" si="3"/>
        <v>30.9055128</v>
      </c>
      <c r="P33" s="19">
        <v>5209.2251198336726</v>
      </c>
      <c r="Q33" s="19">
        <f t="shared" si="4"/>
        <v>183962.22233939019</v>
      </c>
      <c r="R33" s="19">
        <f>P33*$B$6</f>
        <v>1376131.418356701</v>
      </c>
      <c r="S33" s="19">
        <v>5016</v>
      </c>
      <c r="T33" s="19">
        <f t="shared" si="6"/>
        <v>1325086.7520000001</v>
      </c>
      <c r="U33" s="19">
        <v>47510.906006577803</v>
      </c>
      <c r="V33" s="19">
        <f t="shared" si="7"/>
        <v>401467.15575558238</v>
      </c>
      <c r="W33" s="7">
        <f>(5.614*V33)/Q33</f>
        <v>12.25162744693178</v>
      </c>
      <c r="X33" s="7" t="s">
        <v>41</v>
      </c>
      <c r="Y33" s="7" t="s">
        <v>43</v>
      </c>
      <c r="Z33" s="7" t="s">
        <v>45</v>
      </c>
      <c r="AA33" s="7" t="s">
        <v>47</v>
      </c>
      <c r="AB33" s="7" t="s">
        <v>49</v>
      </c>
      <c r="AC33" s="7" t="s">
        <v>62</v>
      </c>
      <c r="AD33" s="19">
        <v>6988.75</v>
      </c>
      <c r="AE33" s="19">
        <f>AD33*0.453592/8760</f>
        <v>0.36187683675799087</v>
      </c>
      <c r="AF33" s="19">
        <f t="shared" si="10"/>
        <v>3.1700410900000002</v>
      </c>
    </row>
    <row r="34" spans="1:32" ht="15" customHeight="1" x14ac:dyDescent="0.25">
      <c r="A34" s="4" t="s">
        <v>37</v>
      </c>
      <c r="B34" s="13" t="s">
        <v>39</v>
      </c>
      <c r="C34" s="18" t="s">
        <v>11</v>
      </c>
      <c r="D34" s="18" t="s">
        <v>58</v>
      </c>
      <c r="E34" s="5" t="s">
        <v>3</v>
      </c>
      <c r="F34" s="17">
        <v>-20.327313</v>
      </c>
      <c r="G34" s="17">
        <v>-40.346384999999998</v>
      </c>
      <c r="H34" s="6">
        <v>19.2</v>
      </c>
      <c r="I34" s="6">
        <f t="shared" si="0"/>
        <v>62.992127999999994</v>
      </c>
      <c r="J34" s="6">
        <v>18.5</v>
      </c>
      <c r="K34" s="6">
        <f t="shared" si="1"/>
        <v>60.695540000000001</v>
      </c>
      <c r="L34" s="6">
        <v>18.5</v>
      </c>
      <c r="M34" s="6">
        <f t="shared" si="2"/>
        <v>60.695540000000001</v>
      </c>
      <c r="N34" s="6">
        <v>10.06</v>
      </c>
      <c r="O34" s="6">
        <f t="shared" si="3"/>
        <v>33.005250400000001</v>
      </c>
      <c r="P34" s="19">
        <v>5161.0084113173125</v>
      </c>
      <c r="Q34" s="19">
        <f t="shared" si="4"/>
        <v>182259.4637431475</v>
      </c>
      <c r="R34" s="19">
        <f t="shared" si="5"/>
        <v>1363393.9140345172</v>
      </c>
      <c r="S34" s="19">
        <v>5026</v>
      </c>
      <c r="T34" s="19">
        <f t="shared" si="6"/>
        <v>1327728.4720000001</v>
      </c>
      <c r="U34" s="19">
        <v>50098.016114592661</v>
      </c>
      <c r="V34" s="19">
        <f t="shared" si="7"/>
        <v>423328.23616830795</v>
      </c>
      <c r="W34" s="7">
        <f t="shared" si="8"/>
        <v>13.039458522703097</v>
      </c>
      <c r="X34" s="7"/>
      <c r="Y34" s="7"/>
      <c r="Z34" s="7"/>
      <c r="AA34" s="7"/>
      <c r="AB34" s="7"/>
      <c r="AC34" s="7"/>
      <c r="AD34" s="19">
        <v>859.05</v>
      </c>
      <c r="AE34" s="19">
        <f>AD34*0.453592/8760</f>
        <v>4.4481530547945201E-2</v>
      </c>
      <c r="AF34" s="19">
        <f t="shared" si="10"/>
        <v>0.38965820759999997</v>
      </c>
    </row>
    <row r="35" spans="1:32" ht="15" customHeight="1" x14ac:dyDescent="0.25">
      <c r="A35" s="67" t="s">
        <v>138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57">
        <f>SUM(AD12:AD34)</f>
        <v>52060.530000000006</v>
      </c>
      <c r="AE35" s="58">
        <f>SUM(AE12:AE34)</f>
        <v>2.6956894890136986</v>
      </c>
      <c r="AF35" s="59">
        <f>SUM(AF12:AF34)</f>
        <v>23.614239923760003</v>
      </c>
    </row>
    <row r="36" spans="1:32" ht="15" customHeight="1" x14ac:dyDescent="0.25">
      <c r="AF36" s="50"/>
    </row>
    <row r="37" spans="1:32" ht="15" customHeight="1" x14ac:dyDescent="0.25">
      <c r="D37" s="12"/>
      <c r="AF37" s="28"/>
    </row>
    <row r="38" spans="1:32" ht="15" customHeight="1" x14ac:dyDescent="0.25">
      <c r="P38" s="46"/>
      <c r="Q38" s="46"/>
      <c r="R38" s="46"/>
      <c r="S38" s="46"/>
      <c r="T38" s="46"/>
      <c r="U38" s="46"/>
      <c r="V38" s="46"/>
      <c r="W38" s="46"/>
    </row>
  </sheetData>
  <sheetProtection password="B056" sheet="1" objects="1" scenarios="1"/>
  <mergeCells count="33">
    <mergeCell ref="T10:T11"/>
    <mergeCell ref="C10:C11"/>
    <mergeCell ref="D10:D11"/>
    <mergeCell ref="AF10:AF11"/>
    <mergeCell ref="Z10:Z11"/>
    <mergeCell ref="AA10:AA11"/>
    <mergeCell ref="V10:V11"/>
    <mergeCell ref="Q10:Q11"/>
    <mergeCell ref="X10:X11"/>
    <mergeCell ref="W10:W11"/>
    <mergeCell ref="AE10:AE11"/>
    <mergeCell ref="AD10:AD11"/>
    <mergeCell ref="U10:U11"/>
    <mergeCell ref="J10:J11"/>
    <mergeCell ref="I10:I11"/>
    <mergeCell ref="K10:K11"/>
    <mergeCell ref="R10:R11"/>
    <mergeCell ref="F10:F11"/>
    <mergeCell ref="G10:G11"/>
    <mergeCell ref="A35:AC35"/>
    <mergeCell ref="L10:L11"/>
    <mergeCell ref="N10:N11"/>
    <mergeCell ref="M10:M11"/>
    <mergeCell ref="O10:O11"/>
    <mergeCell ref="Y10:Y11"/>
    <mergeCell ref="P10:P11"/>
    <mergeCell ref="S10:S11"/>
    <mergeCell ref="A10:A11"/>
    <mergeCell ref="B10:B11"/>
    <mergeCell ref="E10:E11"/>
    <mergeCell ref="H10:H11"/>
    <mergeCell ref="AB10:AB11"/>
    <mergeCell ref="AC10:AC11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workbookViewId="0">
      <selection activeCell="E11" sqref="D11:E11"/>
    </sheetView>
  </sheetViews>
  <sheetFormatPr defaultRowHeight="15" customHeight="1" x14ac:dyDescent="0.25"/>
  <cols>
    <col min="1" max="1" width="19.85546875" style="1" customWidth="1"/>
    <col min="2" max="2" width="20.28515625" style="1" customWidth="1"/>
    <col min="3" max="3" width="19.5703125" style="1" customWidth="1"/>
    <col min="4" max="4" width="16.140625" style="1" customWidth="1"/>
    <col min="5" max="5" width="12.7109375" style="1" customWidth="1"/>
    <col min="6" max="6" width="12.85546875" style="1" customWidth="1"/>
    <col min="7" max="7" width="12.5703125" style="1" customWidth="1"/>
    <col min="8" max="8" width="9.5703125" style="1" customWidth="1"/>
    <col min="9" max="9" width="12.28515625" style="1" customWidth="1"/>
    <col min="10" max="10" width="9.7109375" style="1" customWidth="1"/>
    <col min="11" max="11" width="15.140625" style="1" customWidth="1"/>
    <col min="12" max="12" width="18.42578125" style="1" bestFit="1" customWidth="1"/>
    <col min="13" max="13" width="9.42578125" style="1" customWidth="1"/>
    <col min="14" max="16384" width="9.140625" style="1"/>
  </cols>
  <sheetData>
    <row r="1" spans="1:14" ht="22.5" x14ac:dyDescent="0.25">
      <c r="A1" s="27" t="s">
        <v>69</v>
      </c>
      <c r="B1" s="26" t="s">
        <v>72</v>
      </c>
      <c r="C1" s="26" t="s">
        <v>73</v>
      </c>
      <c r="D1" s="26" t="s">
        <v>110</v>
      </c>
      <c r="G1" s="27" t="s">
        <v>92</v>
      </c>
      <c r="H1" s="27" t="s">
        <v>5</v>
      </c>
      <c r="I1" s="27" t="s">
        <v>93</v>
      </c>
      <c r="J1" s="27" t="s">
        <v>68</v>
      </c>
      <c r="L1" s="71" t="s">
        <v>100</v>
      </c>
      <c r="M1" s="72"/>
      <c r="N1" s="73"/>
    </row>
    <row r="2" spans="1:14" ht="15" customHeight="1" x14ac:dyDescent="0.25">
      <c r="A2" s="21" t="s">
        <v>5</v>
      </c>
      <c r="B2" s="29">
        <v>8.2118000000000002</v>
      </c>
      <c r="C2" s="22">
        <v>60</v>
      </c>
      <c r="D2" s="24">
        <f>60+460</f>
        <v>520</v>
      </c>
      <c r="F2" s="61" t="s">
        <v>94</v>
      </c>
      <c r="G2" s="47">
        <f>SUM(Tanques!U12,Tanques!U14,Tanques!U17,Tanques!U18,Tanques!U22:U24,Tanques!U26:U29,Tanques!U34)</f>
        <v>363623.09399342223</v>
      </c>
      <c r="H2" s="47">
        <f>SUM(Tanques!U13,Tanques!U15:U16,Tanques!U21,Tanques!U25,Tanques!U30:U33)</f>
        <v>328789.90600657777</v>
      </c>
      <c r="I2" s="47">
        <f>SUM(Tanques!U19:U20)</f>
        <v>116445</v>
      </c>
      <c r="J2" s="47">
        <f>SUM(G2:I2)</f>
        <v>808858</v>
      </c>
      <c r="L2" s="39" t="s">
        <v>101</v>
      </c>
      <c r="M2" s="39" t="s">
        <v>91</v>
      </c>
      <c r="N2" s="39"/>
    </row>
    <row r="3" spans="1:14" ht="15" customHeight="1" x14ac:dyDescent="0.25">
      <c r="A3" s="21" t="s">
        <v>70</v>
      </c>
      <c r="B3" s="30">
        <v>0.61899999999999999</v>
      </c>
      <c r="C3" s="22">
        <v>46.07</v>
      </c>
      <c r="D3" s="24">
        <f>60+460</f>
        <v>520</v>
      </c>
      <c r="F3" s="62" t="s">
        <v>95</v>
      </c>
      <c r="G3" s="40">
        <f>G2/$J$2</f>
        <v>0.44955121170022699</v>
      </c>
      <c r="H3" s="40">
        <f t="shared" ref="H3:I3" si="0">H2/$J$2</f>
        <v>0.40648656007182693</v>
      </c>
      <c r="I3" s="40">
        <f t="shared" si="0"/>
        <v>0.14396222822794608</v>
      </c>
      <c r="J3" s="39">
        <f>SUM(G3:I3)</f>
        <v>1</v>
      </c>
      <c r="L3" s="39" t="s">
        <v>99</v>
      </c>
      <c r="M3" s="39">
        <v>892343.39800000004</v>
      </c>
      <c r="N3" s="39" t="s">
        <v>106</v>
      </c>
    </row>
    <row r="4" spans="1:14" ht="15" customHeight="1" x14ac:dyDescent="0.25">
      <c r="A4" s="21" t="s">
        <v>71</v>
      </c>
      <c r="B4" s="30">
        <v>6.4999999999999997E-3</v>
      </c>
      <c r="C4" s="22">
        <v>130</v>
      </c>
      <c r="D4" s="24">
        <f>60+460</f>
        <v>520</v>
      </c>
      <c r="L4" s="39" t="s">
        <v>102</v>
      </c>
      <c r="M4" s="39">
        <v>8</v>
      </c>
      <c r="N4" s="39" t="s">
        <v>103</v>
      </c>
    </row>
    <row r="5" spans="1:14" ht="15" customHeight="1" x14ac:dyDescent="0.25">
      <c r="L5" s="39" t="s">
        <v>104</v>
      </c>
      <c r="M5" s="39">
        <v>13</v>
      </c>
      <c r="N5" s="39" t="s">
        <v>103</v>
      </c>
    </row>
    <row r="6" spans="1:14" ht="15" customHeight="1" x14ac:dyDescent="0.25">
      <c r="A6" s="71" t="s">
        <v>74</v>
      </c>
      <c r="B6" s="72"/>
      <c r="C6" s="73"/>
      <c r="L6" s="39" t="s">
        <v>105</v>
      </c>
      <c r="M6" s="39">
        <v>2.5999999999999999E-2</v>
      </c>
      <c r="N6" s="39" t="s">
        <v>107</v>
      </c>
    </row>
    <row r="7" spans="1:14" ht="15" customHeight="1" x14ac:dyDescent="0.25">
      <c r="A7" s="20" t="s">
        <v>75</v>
      </c>
      <c r="B7" s="20" t="s">
        <v>76</v>
      </c>
      <c r="C7" s="26" t="s">
        <v>77</v>
      </c>
      <c r="F7" s="47"/>
    </row>
    <row r="8" spans="1:14" ht="22.5" x14ac:dyDescent="0.25">
      <c r="A8" s="31" t="s">
        <v>78</v>
      </c>
      <c r="B8" s="23" t="s">
        <v>79</v>
      </c>
      <c r="C8" s="22">
        <v>0.6</v>
      </c>
      <c r="F8" s="40"/>
    </row>
    <row r="9" spans="1:14" ht="15" customHeight="1" x14ac:dyDescent="0.25">
      <c r="A9" s="32"/>
      <c r="B9" s="33"/>
      <c r="C9" s="34"/>
    </row>
    <row r="10" spans="1:14" ht="15" customHeight="1" x14ac:dyDescent="0.25">
      <c r="A10" s="1" t="s">
        <v>139</v>
      </c>
    </row>
    <row r="11" spans="1:14" ht="37.5" customHeight="1" x14ac:dyDescent="0.25">
      <c r="A11" s="35" t="s">
        <v>80</v>
      </c>
      <c r="B11" s="35" t="s">
        <v>81</v>
      </c>
      <c r="C11" s="35" t="s">
        <v>82</v>
      </c>
      <c r="D11" s="36" t="s">
        <v>143</v>
      </c>
      <c r="E11" s="36" t="s">
        <v>144</v>
      </c>
      <c r="F11" s="36" t="s">
        <v>108</v>
      </c>
      <c r="G11" s="36" t="s">
        <v>109</v>
      </c>
      <c r="H11" s="37" t="s">
        <v>111</v>
      </c>
      <c r="I11" s="37" t="s">
        <v>141</v>
      </c>
      <c r="J11" s="37" t="s">
        <v>142</v>
      </c>
      <c r="K11" s="36" t="s">
        <v>112</v>
      </c>
      <c r="L11" s="35" t="s">
        <v>83</v>
      </c>
    </row>
    <row r="12" spans="1:14" ht="15" customHeight="1" x14ac:dyDescent="0.25">
      <c r="A12" s="74" t="s">
        <v>89</v>
      </c>
      <c r="B12" s="76" t="s">
        <v>91</v>
      </c>
      <c r="C12" s="2" t="s">
        <v>96</v>
      </c>
      <c r="D12" s="81">
        <v>-20.327960000000001</v>
      </c>
      <c r="E12" s="81">
        <v>-40.351056999999997</v>
      </c>
      <c r="F12" s="38">
        <f>(G3*M3)/2</f>
        <v>200577.02791179897</v>
      </c>
      <c r="G12" s="38">
        <f t="shared" ref="G12:G17" si="1">(F12*264.172)/8760</f>
        <v>6048.7254129584207</v>
      </c>
      <c r="H12" s="49">
        <f>(12.46*(($C$8)*($B$4)*($C$4))/$D$4)</f>
        <v>1.2148500000000001E-2</v>
      </c>
      <c r="I12" s="39">
        <f>H12*(G12/1000)</f>
        <v>7.3482940679325384E-2</v>
      </c>
      <c r="J12" s="39">
        <f t="shared" ref="J12:J17" si="2">I12*0.453592</f>
        <v>3.3331274028616562E-2</v>
      </c>
      <c r="K12" s="78">
        <f>SUM(J12:J14)</f>
        <v>17.966795823362908</v>
      </c>
      <c r="L12" s="78">
        <f>K12/1000*8760</f>
        <v>157.38913141265905</v>
      </c>
    </row>
    <row r="13" spans="1:14" ht="15" customHeight="1" x14ac:dyDescent="0.25">
      <c r="A13" s="75"/>
      <c r="B13" s="77"/>
      <c r="C13" s="2" t="s">
        <v>98</v>
      </c>
      <c r="D13" s="81"/>
      <c r="E13" s="81"/>
      <c r="F13" s="38">
        <f>(I3*M3)/2</f>
        <v>64231.871960288467</v>
      </c>
      <c r="G13" s="38">
        <f t="shared" si="1"/>
        <v>1937.0162191202426</v>
      </c>
      <c r="H13" s="49">
        <f>(12.46*(($C$8)*($B$3)*($C$3))/$D$3)</f>
        <v>0.40999145976923079</v>
      </c>
      <c r="I13" s="39">
        <f>H13*(G13/1000)</f>
        <v>0.79416010727378439</v>
      </c>
      <c r="J13" s="39">
        <f t="shared" si="2"/>
        <v>0.36022467137853043</v>
      </c>
      <c r="K13" s="78"/>
      <c r="L13" s="78"/>
    </row>
    <row r="14" spans="1:14" ht="15" customHeight="1" x14ac:dyDescent="0.25">
      <c r="A14" s="75"/>
      <c r="B14" s="77"/>
      <c r="C14" s="2" t="s">
        <v>97</v>
      </c>
      <c r="D14" s="81"/>
      <c r="E14" s="81"/>
      <c r="F14" s="38">
        <f>(H3*M3)/2</f>
        <v>181362.79912791259</v>
      </c>
      <c r="G14" s="38">
        <f t="shared" si="1"/>
        <v>5469.2891976277315</v>
      </c>
      <c r="H14" s="49">
        <f>(12.46*(($C$8)*($B$2)*($C$2))/$D$2)</f>
        <v>7.0836250153846159</v>
      </c>
      <c r="I14" s="39">
        <f>H14*(G14/1000)</f>
        <v>38.742393776688658</v>
      </c>
      <c r="J14" s="39">
        <f t="shared" si="2"/>
        <v>17.573239877955761</v>
      </c>
      <c r="K14" s="78"/>
      <c r="L14" s="78"/>
    </row>
    <row r="15" spans="1:14" ht="15" customHeight="1" x14ac:dyDescent="0.25">
      <c r="A15" s="75" t="s">
        <v>90</v>
      </c>
      <c r="B15" s="80" t="s">
        <v>91</v>
      </c>
      <c r="C15" s="41" t="s">
        <v>96</v>
      </c>
      <c r="D15" s="80">
        <v>-20.327967999999998</v>
      </c>
      <c r="E15" s="80">
        <v>-40.349989000000001</v>
      </c>
      <c r="F15" s="38">
        <f>(G3*M3)/2</f>
        <v>200577.02791179897</v>
      </c>
      <c r="G15" s="38">
        <f t="shared" si="1"/>
        <v>6048.7254129584207</v>
      </c>
      <c r="H15" s="49">
        <f>(12.46*(($C$8)*($B$4)*($C$4))/$D$4)</f>
        <v>1.2148500000000001E-2</v>
      </c>
      <c r="I15" s="39">
        <f>H15*(G15/1000)</f>
        <v>7.3482940679325384E-2</v>
      </c>
      <c r="J15" s="39">
        <f t="shared" si="2"/>
        <v>3.3331274028616562E-2</v>
      </c>
      <c r="K15" s="78">
        <f>SUM(J15:J17)</f>
        <v>17.966795823362908</v>
      </c>
      <c r="L15" s="78">
        <f>K15/1000*8760</f>
        <v>157.38913141265905</v>
      </c>
    </row>
    <row r="16" spans="1:14" ht="15" customHeight="1" x14ac:dyDescent="0.25">
      <c r="A16" s="75"/>
      <c r="B16" s="80"/>
      <c r="C16" s="41" t="s">
        <v>98</v>
      </c>
      <c r="D16" s="80"/>
      <c r="E16" s="80"/>
      <c r="F16" s="38">
        <f>(I3*M3)/2</f>
        <v>64231.871960288467</v>
      </c>
      <c r="G16" s="38">
        <f t="shared" si="1"/>
        <v>1937.0162191202426</v>
      </c>
      <c r="H16" s="49">
        <f>(12.46*(($C$8)*($B$3)*($C$3))/$D$3)</f>
        <v>0.40999145976923079</v>
      </c>
      <c r="I16" s="39">
        <f>H16*(G16/1000)</f>
        <v>0.79416010727378439</v>
      </c>
      <c r="J16" s="39">
        <f t="shared" si="2"/>
        <v>0.36022467137853043</v>
      </c>
      <c r="K16" s="78"/>
      <c r="L16" s="78"/>
    </row>
    <row r="17" spans="1:12" ht="15" customHeight="1" x14ac:dyDescent="0.25">
      <c r="A17" s="75"/>
      <c r="B17" s="80"/>
      <c r="C17" s="41" t="s">
        <v>5</v>
      </c>
      <c r="D17" s="80"/>
      <c r="E17" s="80"/>
      <c r="F17" s="38">
        <f>(H3*M3)/2</f>
        <v>181362.79912791259</v>
      </c>
      <c r="G17" s="38">
        <f t="shared" si="1"/>
        <v>5469.2891976277315</v>
      </c>
      <c r="H17" s="49">
        <f>(12.46*(($C$8)*($B$2)*($C$2))/$D$2)</f>
        <v>7.0836250153846159</v>
      </c>
      <c r="I17" s="39">
        <f t="shared" ref="I17" si="3">H17*(G17/1000)</f>
        <v>38.742393776688658</v>
      </c>
      <c r="J17" s="39">
        <f t="shared" si="2"/>
        <v>17.573239877955761</v>
      </c>
      <c r="K17" s="78"/>
      <c r="L17" s="78"/>
    </row>
    <row r="18" spans="1:12" ht="15" customHeight="1" x14ac:dyDescent="0.25">
      <c r="A18" s="79" t="s">
        <v>138</v>
      </c>
      <c r="B18" s="79"/>
      <c r="C18" s="79"/>
      <c r="D18" s="79"/>
      <c r="E18" s="79"/>
      <c r="F18" s="60">
        <f t="shared" ref="F18:G18" si="4">SUM(F12:F17)</f>
        <v>892343.39800000016</v>
      </c>
      <c r="G18" s="60">
        <f t="shared" si="4"/>
        <v>26910.06165941279</v>
      </c>
      <c r="H18" s="60"/>
      <c r="I18" s="60">
        <f>SUM(I12:I17)</f>
        <v>79.220073649283535</v>
      </c>
      <c r="J18" s="60">
        <f>SUM(J12:J17)</f>
        <v>35.933591646725816</v>
      </c>
      <c r="K18" s="60">
        <f>SUM(K12:K17)</f>
        <v>35.933591646725816</v>
      </c>
      <c r="L18" s="60">
        <f>SUM(L12:L17)</f>
        <v>314.77826282531811</v>
      </c>
    </row>
    <row r="19" spans="1:12" ht="15" customHeight="1" x14ac:dyDescent="0.25">
      <c r="F19" s="42"/>
      <c r="G19" s="42"/>
    </row>
    <row r="20" spans="1:12" ht="15" customHeight="1" x14ac:dyDescent="0.25">
      <c r="F20" s="42"/>
      <c r="G20" s="42"/>
    </row>
    <row r="21" spans="1:12" ht="15" customHeight="1" x14ac:dyDescent="0.25">
      <c r="A21" s="43" t="s">
        <v>86</v>
      </c>
      <c r="B21" s="43" t="s">
        <v>87</v>
      </c>
      <c r="F21" s="42"/>
      <c r="G21" s="42"/>
    </row>
    <row r="22" spans="1:12" ht="15" customHeight="1" x14ac:dyDescent="0.25">
      <c r="A22" s="1" t="s">
        <v>88</v>
      </c>
      <c r="B22" s="44">
        <f>SUM(J12,J15)/1000*8760</f>
        <v>0.58396392098136218</v>
      </c>
      <c r="F22" s="42"/>
      <c r="G22" s="42"/>
    </row>
    <row r="23" spans="1:12" ht="15" customHeight="1" x14ac:dyDescent="0.25">
      <c r="A23" s="1" t="s">
        <v>84</v>
      </c>
      <c r="B23" s="44">
        <f>SUM(J14,J17)/1000*8760</f>
        <v>307.88316266178492</v>
      </c>
      <c r="F23" s="42"/>
      <c r="G23" s="42"/>
    </row>
    <row r="24" spans="1:12" ht="15" customHeight="1" x14ac:dyDescent="0.25">
      <c r="A24" s="1" t="s">
        <v>85</v>
      </c>
      <c r="B24" s="44">
        <f>SUM(J13,J16)/1000*8760</f>
        <v>6.3111362425518536</v>
      </c>
      <c r="F24" s="42"/>
      <c r="G24" s="42"/>
    </row>
    <row r="25" spans="1:12" ht="15" customHeight="1" x14ac:dyDescent="0.25">
      <c r="A25" s="60" t="s">
        <v>138</v>
      </c>
      <c r="B25" s="60">
        <f>SUM(B22:B24)</f>
        <v>314.77826282531817</v>
      </c>
      <c r="F25" s="42"/>
      <c r="G25" s="42"/>
    </row>
    <row r="26" spans="1:12" ht="15" customHeight="1" x14ac:dyDescent="0.25">
      <c r="F26" s="42"/>
      <c r="G26" s="42"/>
    </row>
    <row r="27" spans="1:12" ht="15" customHeight="1" x14ac:dyDescent="0.25">
      <c r="F27" s="42"/>
      <c r="G27" s="42"/>
    </row>
    <row r="28" spans="1:12" ht="15" customHeight="1" x14ac:dyDescent="0.25">
      <c r="F28" s="42"/>
      <c r="G28" s="42"/>
    </row>
    <row r="29" spans="1:12" ht="15" customHeight="1" x14ac:dyDescent="0.25">
      <c r="F29" s="42"/>
      <c r="G29" s="42"/>
    </row>
    <row r="30" spans="1:12" ht="15" customHeight="1" x14ac:dyDescent="0.25">
      <c r="F30" s="42"/>
      <c r="G30" s="42"/>
    </row>
    <row r="31" spans="1:12" ht="15" customHeight="1" x14ac:dyDescent="0.25">
      <c r="F31" s="45"/>
      <c r="G31" s="45"/>
    </row>
  </sheetData>
  <sheetProtection password="B056" sheet="1" objects="1" scenarios="1"/>
  <mergeCells count="15">
    <mergeCell ref="A18:E18"/>
    <mergeCell ref="A15:A17"/>
    <mergeCell ref="B15:B17"/>
    <mergeCell ref="K15:K17"/>
    <mergeCell ref="L12:L14"/>
    <mergeCell ref="L15:L17"/>
    <mergeCell ref="D12:D14"/>
    <mergeCell ref="E12:E14"/>
    <mergeCell ref="D15:D17"/>
    <mergeCell ref="E15:E17"/>
    <mergeCell ref="L1:N1"/>
    <mergeCell ref="A6:C6"/>
    <mergeCell ref="A12:A14"/>
    <mergeCell ref="B12:B14"/>
    <mergeCell ref="K12:K14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3" sqref="B13"/>
    </sheetView>
  </sheetViews>
  <sheetFormatPr defaultRowHeight="15" x14ac:dyDescent="0.25"/>
  <cols>
    <col min="1" max="1" width="20" customWidth="1"/>
    <col min="2" max="2" width="23.140625" customWidth="1"/>
  </cols>
  <sheetData>
    <row r="1" spans="1:2" x14ac:dyDescent="0.25">
      <c r="A1" s="82" t="s">
        <v>80</v>
      </c>
      <c r="B1" s="64" t="s">
        <v>136</v>
      </c>
    </row>
    <row r="2" spans="1:2" x14ac:dyDescent="0.25">
      <c r="A2" s="83"/>
      <c r="B2" s="64" t="s">
        <v>140</v>
      </c>
    </row>
    <row r="3" spans="1:2" x14ac:dyDescent="0.25">
      <c r="A3" s="53" t="s">
        <v>117</v>
      </c>
      <c r="B3" s="39">
        <f>Tanques!AE35</f>
        <v>2.6956894890136986</v>
      </c>
    </row>
    <row r="4" spans="1:2" x14ac:dyDescent="0.25">
      <c r="A4" s="54" t="s">
        <v>118</v>
      </c>
      <c r="B4" s="39">
        <f>'Emissão Plataforma'!K18</f>
        <v>35.933591646725816</v>
      </c>
    </row>
    <row r="5" spans="1:2" x14ac:dyDescent="0.25">
      <c r="A5" s="63" t="s">
        <v>138</v>
      </c>
      <c r="B5" s="63">
        <f>SUM(B3:B4)</f>
        <v>38.629281135739518</v>
      </c>
    </row>
    <row r="6" spans="1:2" x14ac:dyDescent="0.25">
      <c r="A6" s="1"/>
      <c r="B6" s="1"/>
    </row>
    <row r="7" spans="1:2" x14ac:dyDescent="0.25">
      <c r="A7" s="1"/>
      <c r="B7" s="1"/>
    </row>
  </sheetData>
  <sheetProtection password="B056" sheet="1" objects="1" scenarios="1"/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Ofício</vt:lpstr>
      <vt:lpstr>Considerações_TQ-01-602</vt:lpstr>
      <vt:lpstr>Tanques</vt:lpstr>
      <vt:lpstr>Emissão Plataforma</vt:lpstr>
      <vt:lpstr>Resumo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Adriele Santos da Silva</dc:creator>
  <cp:lastModifiedBy>Vanessa Brusco Filete</cp:lastModifiedBy>
  <cp:lastPrinted>2016-09-13T13:43:58Z</cp:lastPrinted>
  <dcterms:created xsi:type="dcterms:W3CDTF">2016-09-12T16:35:58Z</dcterms:created>
  <dcterms:modified xsi:type="dcterms:W3CDTF">2019-06-06T20:44:02Z</dcterms:modified>
</cp:coreProperties>
</file>