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Opala Concreto\"/>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Saída do Filtro " sheetId="33" r:id="rId4"/>
    <sheet name="Emissão Maq e Equip" sheetId="24"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24" l="1"/>
  <c r="B15" i="32" l="1"/>
  <c r="C9" i="32" s="1"/>
  <c r="E5" i="33" s="1"/>
  <c r="F5" i="33" s="1"/>
  <c r="G7" i="24" l="1"/>
  <c r="C14" i="27" l="1"/>
  <c r="C12" i="27"/>
  <c r="C10" i="27"/>
  <c r="L7" i="24" l="1"/>
  <c r="K7" i="24"/>
  <c r="J7" i="24"/>
  <c r="I7" i="24"/>
  <c r="H7" i="24"/>
  <c r="D7" i="28" l="1"/>
  <c r="C7" i="28"/>
  <c r="F7" i="24" l="1"/>
  <c r="B7" i="24"/>
  <c r="S7" i="24" l="1"/>
  <c r="P7" i="24"/>
  <c r="M7" i="24"/>
  <c r="Q7" i="24"/>
  <c r="R7" i="24"/>
  <c r="H5" i="33" l="1"/>
  <c r="J5" i="33" l="1"/>
  <c r="I5" i="33"/>
  <c r="I6" i="33" s="1"/>
  <c r="C6" i="28" s="1"/>
  <c r="H6" i="33"/>
  <c r="B6" i="28" s="1"/>
  <c r="A7" i="24"/>
  <c r="J6" i="33" l="1"/>
  <c r="D6" i="28" s="1"/>
  <c r="B3" i="27"/>
  <c r="F15" i="27" s="1"/>
  <c r="B2" i="27"/>
  <c r="F13" i="27" l="1"/>
  <c r="F14" i="27"/>
  <c r="F12" i="27"/>
  <c r="J10" i="27" l="1"/>
  <c r="L15" i="27" l="1"/>
  <c r="J15" i="27"/>
  <c r="K14" i="27"/>
  <c r="K15" i="27"/>
  <c r="L14" i="27"/>
  <c r="J14" i="27"/>
  <c r="K10" i="27"/>
  <c r="L13" i="27"/>
  <c r="O13" i="27" s="1"/>
  <c r="L12" i="27"/>
  <c r="O12" i="27" s="1"/>
  <c r="K13" i="27"/>
  <c r="N13" i="27" s="1"/>
  <c r="K12" i="27"/>
  <c r="N12" i="27" s="1"/>
  <c r="J13" i="27"/>
  <c r="M13" i="27" s="1"/>
  <c r="J12" i="27"/>
  <c r="M12" i="27" s="1"/>
  <c r="F11" i="27"/>
  <c r="L11" i="27"/>
  <c r="L10" i="27"/>
  <c r="K11" i="27"/>
  <c r="J11" i="27"/>
  <c r="O15" i="27" l="1"/>
  <c r="M15" i="27"/>
  <c r="N15" i="27"/>
  <c r="M11" i="27"/>
  <c r="N11" i="27"/>
  <c r="O11" i="27"/>
  <c r="F10" i="27"/>
  <c r="H16" i="26"/>
  <c r="H15" i="26"/>
  <c r="N14" i="27" l="1"/>
  <c r="O14" i="27"/>
  <c r="M14" i="27"/>
  <c r="M10" i="27"/>
  <c r="N10" i="27"/>
  <c r="O10" i="27"/>
  <c r="O16" i="27" l="1"/>
  <c r="D3" i="28" s="1"/>
  <c r="N16" i="27"/>
  <c r="C3" i="28" s="1"/>
  <c r="M16" i="27"/>
  <c r="B3" i="28" s="1"/>
  <c r="R8" i="24" l="1"/>
  <c r="G4" i="28" s="1"/>
  <c r="G7" i="28" s="1"/>
  <c r="M8" i="24"/>
  <c r="B4" i="28" s="1"/>
  <c r="B7" i="28" s="1"/>
  <c r="O7" i="24"/>
  <c r="N7" i="24"/>
  <c r="S8" i="24"/>
  <c r="H4" i="28" s="1"/>
  <c r="H7" i="28" s="1"/>
  <c r="Q8" i="24"/>
  <c r="F4" i="28" s="1"/>
  <c r="F7" i="28" s="1"/>
  <c r="P8" i="24"/>
  <c r="E4" i="28" s="1"/>
  <c r="E7" i="28" s="1"/>
  <c r="C4" i="28" l="1"/>
  <c r="O8" i="24"/>
  <c r="D4"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 ref="H17" authorId="1" shapeId="0">
      <text>
        <r>
          <rPr>
            <sz val="9"/>
            <color indexed="81"/>
            <rFont val="Segoe UI"/>
            <family val="2"/>
          </rPr>
          <t xml:space="preserve">Densidade obtida na tese: https://repositorio.ufsc.br/xmlui/handle/123456789/135251
</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B9" authorId="0" shapeId="0">
      <text>
        <r>
          <rPr>
            <sz val="9"/>
            <color indexed="81"/>
            <rFont val="Segoe UI"/>
            <family val="2"/>
          </rPr>
          <t>Temperatura de trabalho não fornecida pela empresa. Portanto, foi considerado o valor de 35ºC, temperatura média de trabalho do filtro de mangas da empresa Granito Concreto Vila Velha, que utiliza o filtro de mangas com a mesma finalidade que a Opala Concreto</t>
        </r>
      </text>
    </comment>
    <comment ref="C9" authorId="0" shapeId="0">
      <text>
        <r>
          <rPr>
            <sz val="9"/>
            <color indexed="81"/>
            <rFont val="Segoe UI"/>
            <family val="2"/>
          </rPr>
          <t>Não há informações sobre a capacidade máxima volumétrica. Portanto, essa variável foi obtida considerando a média da capacidade máxima volumétrica das empresas de produção de concreto que utilizam  o filtro de mangas com a mesma finalidade. 
A empresa Opala possui 4 mangas no filtro</t>
        </r>
      </text>
    </comment>
  </commentList>
</comments>
</file>

<file path=xl/comments4.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 xml:space="preserve">Não há chaminé no filtro de mangas
</t>
        </r>
      </text>
    </comment>
    <comment ref="B5" authorId="0" shapeId="0">
      <text>
        <r>
          <rPr>
            <sz val="9"/>
            <color indexed="81"/>
            <rFont val="Segoe UI"/>
            <family val="2"/>
          </rPr>
          <t xml:space="preserve">Ausência da coordenada da chaminé. Portanto, foi considerada as coordenadas próximas ao silo. </t>
        </r>
      </text>
    </comment>
    <comment ref="C5" authorId="0" shapeId="0">
      <text>
        <r>
          <rPr>
            <sz val="9"/>
            <color indexed="81"/>
            <rFont val="Segoe UI"/>
            <family val="2"/>
          </rPr>
          <t xml:space="preserve">Ausência da coordenada da chaminé. Portanto, foi considerada as coordenadas próximas ao silo. </t>
        </r>
      </text>
    </comment>
    <comment ref="E5" authorId="0" shapeId="0">
      <text>
        <r>
          <rPr>
            <sz val="9"/>
            <color indexed="81"/>
            <rFont val="Segoe UI"/>
            <family val="2"/>
          </rPr>
          <t xml:space="preserve">Vazão do Filtro de Mangas não fornecida pelo empreendimento. Portanto, foi considerada a média da capacidade máxima volumétrica das empresas de produção de concreto que utilizam  o filtro de mangas com a mesma finalidade. </t>
        </r>
      </text>
    </comment>
    <comment ref="G5"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List>
</comments>
</file>

<file path=xl/comments5.xml><?xml version="1.0" encoding="utf-8"?>
<comments xmlns="http://schemas.openxmlformats.org/spreadsheetml/2006/main">
  <authors>
    <author>Andrielly Moutinho Knupp</author>
    <author>Gabriel Aarão Gonçalves</author>
  </authors>
  <commentList>
    <comment ref="J6" authorId="0" shapeId="0">
      <text>
        <r>
          <rPr>
            <sz val="9"/>
            <color indexed="81"/>
            <rFont val="Segoe UI"/>
            <family val="2"/>
          </rPr>
          <t>Devido à inexistência de fator para SO2, foi considerado fator de SOx para SO2.</t>
        </r>
      </text>
    </comment>
    <comment ref="L6"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6" authorId="0" shapeId="0">
      <text>
        <r>
          <rPr>
            <sz val="9"/>
            <color indexed="81"/>
            <rFont val="Segoe UI"/>
            <family val="2"/>
          </rPr>
          <t>Devido à inexistência de fator para PM10, foi considerado PM10 = PM.</t>
        </r>
      </text>
    </comment>
    <comment ref="O6" authorId="0" shapeId="0">
      <text>
        <r>
          <rPr>
            <sz val="9"/>
            <color indexed="81"/>
            <rFont val="Segoe UI"/>
            <family val="2"/>
          </rPr>
          <t>Devido à inexistência de fator para PM2.5, foi considerado PM2.5 = PM.</t>
        </r>
      </text>
    </comment>
    <comment ref="Q6" authorId="0" shapeId="0">
      <text>
        <r>
          <rPr>
            <sz val="9"/>
            <color indexed="81"/>
            <rFont val="Segoe UI"/>
            <family val="2"/>
          </rPr>
          <t>Devido à inexistência de fator para SO2, foi considerado fator de SOx para SO2.</t>
        </r>
      </text>
    </comment>
    <comment ref="S6"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D7" authorId="1" shapeId="0">
      <text>
        <r>
          <rPr>
            <sz val="9"/>
            <color indexed="81"/>
            <rFont val="Segoe UI"/>
            <family val="2"/>
          </rPr>
          <t>Coordenada próxima às pilhas de estocagem de areia e brita</t>
        </r>
        <r>
          <rPr>
            <sz val="9"/>
            <color indexed="81"/>
            <rFont val="Segoe UI"/>
            <family val="2"/>
          </rPr>
          <t xml:space="preserve">
</t>
        </r>
      </text>
    </comment>
    <comment ref="E7" authorId="1" shapeId="0">
      <text>
        <r>
          <rPr>
            <sz val="9"/>
            <color indexed="81"/>
            <rFont val="Segoe UI"/>
            <family val="2"/>
          </rPr>
          <t xml:space="preserve">Coordenada próxima às pilhas de estocagem de areia e brita
</t>
        </r>
      </text>
    </comment>
  </commentList>
</comments>
</file>

<file path=xl/comments6.xml><?xml version="1.0" encoding="utf-8"?>
<comments xmlns="http://schemas.openxmlformats.org/spreadsheetml/2006/main">
  <authors>
    <author>Gabriel Aarão Gonçalves</author>
  </authors>
  <commentList>
    <comment ref="B1" authorId="0" shapeId="0">
      <text>
        <r>
          <rPr>
            <sz val="9"/>
            <color indexed="81"/>
            <rFont val="Segoe UI"/>
            <family val="2"/>
          </rPr>
          <t xml:space="preserve">Horário de funcionamento não informado
</t>
        </r>
      </text>
    </comment>
    <comment ref="A4" authorId="0" shapeId="0">
      <text>
        <r>
          <rPr>
            <sz val="9"/>
            <color indexed="81"/>
            <rFont val="Segoe UI"/>
            <family val="2"/>
          </rPr>
          <t xml:space="preserve">Velocidade média do ano de 2015 da Estação Aeroporto
</t>
        </r>
      </text>
    </comment>
    <comment ref="G8" authorId="0" shapeId="0">
      <text>
        <r>
          <rPr>
            <sz val="9"/>
            <color indexed="81"/>
            <rFont val="Segoe UI"/>
            <family val="2"/>
          </rPr>
          <t>Foi considerada as coordenadas centrais</t>
        </r>
      </text>
    </comment>
    <comment ref="H8" authorId="0" shapeId="0">
      <text>
        <r>
          <rPr>
            <sz val="9"/>
            <color indexed="81"/>
            <rFont val="Segoe UI"/>
            <family val="2"/>
          </rPr>
          <t>Foi considerada as coordenadas centrais</t>
        </r>
      </text>
    </comment>
    <comment ref="E10" authorId="0" shapeId="0">
      <text>
        <r>
          <rPr>
            <sz val="9"/>
            <color indexed="81"/>
            <rFont val="Segoe UI"/>
            <family val="2"/>
          </rPr>
          <t>WRAP (2006) - Fugitive Dust Handobook</t>
        </r>
      </text>
    </comment>
    <comment ref="I10" authorId="0" shapeId="0">
      <text>
        <r>
          <rPr>
            <sz val="9"/>
            <color indexed="81"/>
            <rFont val="Segoe UI"/>
            <family val="2"/>
          </rPr>
          <t xml:space="preserve">Considerado um valor médio </t>
        </r>
        <r>
          <rPr>
            <sz val="9"/>
            <color indexed="81"/>
            <rFont val="Segoe UI"/>
            <family val="2"/>
          </rPr>
          <t xml:space="preserve">
</t>
        </r>
      </text>
    </comment>
    <comment ref="C11"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1" authorId="0" shapeId="0">
      <text>
        <r>
          <rPr>
            <sz val="9"/>
            <color indexed="81"/>
            <rFont val="Segoe UI"/>
            <family val="2"/>
          </rPr>
          <t>WRAP (2006) - Fugitive Dust Handobook</t>
        </r>
      </text>
    </comment>
    <comment ref="I11" authorId="0" shapeId="0">
      <text>
        <r>
          <rPr>
            <sz val="9"/>
            <color indexed="81"/>
            <rFont val="Segoe UI"/>
            <family val="2"/>
          </rPr>
          <t xml:space="preserve">Considerado um valor médio </t>
        </r>
        <r>
          <rPr>
            <sz val="9"/>
            <color indexed="81"/>
            <rFont val="Segoe UI"/>
            <family val="2"/>
          </rPr>
          <t xml:space="preserve">
</t>
        </r>
      </text>
    </comment>
    <comment ref="E12" authorId="0" shapeId="0">
      <text>
        <r>
          <rPr>
            <sz val="9"/>
            <color indexed="81"/>
            <rFont val="Segoe UI"/>
            <family val="2"/>
          </rPr>
          <t>Valor observado no
WRAP (2006)</t>
        </r>
        <r>
          <rPr>
            <sz val="9"/>
            <color indexed="81"/>
            <rFont val="Segoe UI"/>
            <family val="2"/>
          </rPr>
          <t xml:space="preserve">
</t>
        </r>
      </text>
    </comment>
    <comment ref="I12" authorId="0" shapeId="0">
      <text>
        <r>
          <rPr>
            <sz val="9"/>
            <color indexed="81"/>
            <rFont val="Segoe UI"/>
            <family val="2"/>
          </rPr>
          <t xml:space="preserve">Considerado um valor médio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3" authorId="0" shapeId="0">
      <text>
        <r>
          <rPr>
            <sz val="9"/>
            <color indexed="81"/>
            <rFont val="Segoe UI"/>
            <family val="2"/>
          </rPr>
          <t>Valor observado no
WRAP (2006)</t>
        </r>
        <r>
          <rPr>
            <sz val="9"/>
            <color indexed="81"/>
            <rFont val="Segoe UI"/>
            <family val="2"/>
          </rPr>
          <t xml:space="preserve">
</t>
        </r>
      </text>
    </comment>
    <comment ref="I13" authorId="0" shapeId="0">
      <text>
        <r>
          <rPr>
            <sz val="9"/>
            <color indexed="81"/>
            <rFont val="Segoe UI"/>
            <family val="2"/>
          </rPr>
          <t xml:space="preserve">Considerado um valor médio 
</t>
        </r>
      </text>
    </comment>
    <comment ref="E14" authorId="0" shapeId="0">
      <text>
        <r>
          <rPr>
            <sz val="9"/>
            <color indexed="81"/>
            <rFont val="Segoe UI"/>
            <family val="2"/>
          </rPr>
          <t>Valor observado no
WRAP (2006)</t>
        </r>
        <r>
          <rPr>
            <sz val="9"/>
            <color indexed="81"/>
            <rFont val="Segoe UI"/>
            <family val="2"/>
          </rPr>
          <t xml:space="preserve">
</t>
        </r>
      </text>
    </comment>
    <comment ref="I14" authorId="0" shapeId="0">
      <text>
        <r>
          <rPr>
            <sz val="9"/>
            <color indexed="81"/>
            <rFont val="Segoe UI"/>
            <family val="2"/>
          </rPr>
          <t xml:space="preserve">Considerado um valor médio </t>
        </r>
        <r>
          <rPr>
            <sz val="9"/>
            <color indexed="81"/>
            <rFont val="Segoe UI"/>
            <family val="2"/>
          </rPr>
          <t xml:space="preserve">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5" authorId="0" shapeId="0">
      <text>
        <r>
          <rPr>
            <sz val="9"/>
            <color indexed="81"/>
            <rFont val="Segoe UI"/>
            <family val="2"/>
          </rPr>
          <t>Valor observado no
WRAP (2006)</t>
        </r>
        <r>
          <rPr>
            <sz val="9"/>
            <color indexed="81"/>
            <rFont val="Segoe UI"/>
            <family val="2"/>
          </rPr>
          <t xml:space="preserve">
</t>
        </r>
      </text>
    </comment>
    <comment ref="I15" authorId="0" shapeId="0">
      <text>
        <r>
          <rPr>
            <sz val="9"/>
            <color indexed="81"/>
            <rFont val="Segoe UI"/>
            <family val="2"/>
          </rPr>
          <t xml:space="preserve">Considerado um valor médio </t>
        </r>
        <r>
          <rPr>
            <sz val="9"/>
            <color indexed="81"/>
            <rFont val="Segoe UI"/>
            <family val="2"/>
          </rPr>
          <t xml:space="preserve">
</t>
        </r>
      </text>
    </comment>
  </commentList>
</comments>
</file>

<file path=xl/sharedStrings.xml><?xml version="1.0" encoding="utf-8"?>
<sst xmlns="http://schemas.openxmlformats.org/spreadsheetml/2006/main" count="247" uniqueCount="178">
  <si>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</si>
  <si>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</si>
  <si>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</si>
  <si>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</si>
  <si>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</si>
  <si>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</si>
  <si>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</si>
  <si>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</si>
  <si>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</si>
  <si>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</si>
  <si>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</si>
  <si>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</si>
  <si>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</si>
  <si>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</si>
  <si>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</si>
  <si>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</si>
  <si>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</si>
  <si>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</si>
  <si>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</si>
  <si>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</si>
  <si>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</si>
  <si>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</si>
  <si>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</si>
  <si>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</si>
  <si>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</si>
  <si>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</si>
  <si>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</si>
  <si>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</si>
  <si>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</si>
  <si>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</si>
  <si>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</si>
  <si>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</si>
  <si>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</si>
  <si>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</si>
  <si>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</si>
  <si>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</si>
  <si>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</si>
  <si>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</si>
  <si>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</si>
  <si>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</si>
  <si>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</si>
  <si>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</si>
  <si>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</si>
  <si>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</si>
  <si>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</si>
  <si>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</si>
  <si>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</si>
  <si>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</si>
  <si>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</si>
  <si>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</si>
  <si>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</si>
  <si>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</si>
  <si>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</si>
  <si>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</si>
  <si>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</si>
  <si>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</si>
  <si>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</si>
  <si>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</si>
  <si>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</si>
  <si>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</si>
  <si>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</si>
  <si>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</si>
  <si>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</si>
  <si>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Referências: AP-42 (USEPA, 2006) - https://www3.epa.gov/ttn/chief/ap42/ch13/final/c13s0204.pdf</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</si>
  <si>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</si>
  <si>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</si>
  <si>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</si>
  <si>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</si>
  <si>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</si>
  <si>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</si>
  <si>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</si>
  <si>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</si>
  <si>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</si>
  <si>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</si>
  <si>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</si>
  <si>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</si>
  <si>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</si>
  <si>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</si>
  <si>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</si>
  <si>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</si>
  <si>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</si>
  <si>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</si>
  <si>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</si>
  <si>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</si>
  <si>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</si>
  <si>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</si>
  <si>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</si>
  <si>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</si>
  <si>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</si>
  <si>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</si>
  <si>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</si>
  <si>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</si>
  <si>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</si>
  <si>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</si>
  <si>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</si>
  <si>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Velocidade do Vento (m/s)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</si>
  <si>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</si>
  <si>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</si>
  <si>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</si>
  <si>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</si>
  <si>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</si>
  <si>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</si>
  <si>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</si>
  <si>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</si>
  <si>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</si>
  <si>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</si>
  <si>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Pó calcário FGD</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</si>
  <si>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</si>
  <si>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</si>
  <si>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</si>
  <si>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</si>
  <si>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</si>
  <si>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</si>
  <si>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</si>
  <si>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ITEM</t>
  </si>
  <si>
    <t>EQUIP.</t>
  </si>
  <si>
    <t>MODELO</t>
  </si>
  <si>
    <t>Aspersão em água</t>
  </si>
  <si>
    <t>Quantidade areia  (t/h):</t>
  </si>
  <si>
    <t xml:space="preserve">TR - Caminhão / Pátio de areia </t>
  </si>
  <si>
    <t>Filtro de Mangas</t>
  </si>
  <si>
    <t>Fonte: Informações enviadas pelo empreendimento através dos Ofícios IEMA N° 454/2016</t>
  </si>
  <si>
    <t>QUANT.</t>
  </si>
  <si>
    <t>Filtro</t>
  </si>
  <si>
    <t>Temperatura de Trabalho (ºC)</t>
  </si>
  <si>
    <t xml:space="preserve">Filtro de Mangas </t>
  </si>
  <si>
    <t>Tipo de Controle</t>
  </si>
  <si>
    <t>Vazão do Filtro de Mangas
 [m³/h]</t>
  </si>
  <si>
    <t>Vazão do Filtro de Mangas
 [Nm³/h]</t>
  </si>
  <si>
    <t>Taxa de Emissão
 [kg/h]</t>
  </si>
  <si>
    <t xml:space="preserve">Funcionamento: 07 às 11 e 12 às 18 (horas): </t>
  </si>
  <si>
    <t>TR - Pá carregadeira (Areia) / Silo</t>
  </si>
  <si>
    <t>TR - Pá carregadeira (Brita) / Silo</t>
  </si>
  <si>
    <t>TR - Mistura Silo (Areia)</t>
  </si>
  <si>
    <t>TR - Mistura Silo (Brita)</t>
  </si>
  <si>
    <t>Consumo de matéria prima - ano 2015</t>
  </si>
  <si>
    <t>Unidade</t>
  </si>
  <si>
    <t>M³</t>
  </si>
  <si>
    <t>Liugong</t>
  </si>
  <si>
    <t>POTÊNCIA (kw)</t>
  </si>
  <si>
    <t>C. COMBUSTIVEL (L)</t>
  </si>
  <si>
    <t>DESCRIÇÃO DOS SISTEMAS DE CONTROLE DE EMISSÕES ATMOSFÉRICAS</t>
  </si>
  <si>
    <t>Sistema</t>
  </si>
  <si>
    <t>Descrição</t>
  </si>
  <si>
    <t>Filtro de Manga</t>
  </si>
  <si>
    <t xml:space="preserve">O sistema funcionava ao lado do silo e consistia em construção em alvenaria com mangas de filtragem de alívio do abastecimento. </t>
  </si>
  <si>
    <t xml:space="preserve">Umectação/Aspersão </t>
  </si>
  <si>
    <t>Enclausuramentos</t>
  </si>
  <si>
    <t>A unidade possui enclausuramentos na nas balanças e dosador de cimento, além dos silos serem ermeticamente fechados para impedir a propagação de particulado.</t>
  </si>
  <si>
    <t xml:space="preserve">Era realizada por meio de aspersores ligados 8 (oito) vezes por dia por 10 min (dez minutos), sendo  localizados próximos às pilhas de  agregados.  Complementarmente as áreas impermeabilizadas eram constantemente umectadas com uso de mangueiras. </t>
  </si>
  <si>
    <t>Fonte: Informações enviadas pelo empreendimento através dos Ofícios IEMA Nº 071/2017</t>
  </si>
  <si>
    <t xml:space="preserve"> </t>
  </si>
  <si>
    <t>Concentração
 [mg/Nm³]</t>
  </si>
  <si>
    <t>Fator de Emissão [kg/h]</t>
  </si>
  <si>
    <t>Pá Carregadeira</t>
  </si>
  <si>
    <t>HORAS TRABALHADAS</t>
  </si>
  <si>
    <t>Conversão de kw para hp:</t>
  </si>
  <si>
    <t>Latitude [⁰]</t>
  </si>
  <si>
    <t>Longitude [⁰]</t>
  </si>
  <si>
    <t>Especificação do Filtro de Mangas de empresas produtoras de concreto</t>
  </si>
  <si>
    <t>Capacidade Máxima Volumétrica de cada filtro (m³/min)</t>
  </si>
  <si>
    <t>Granito Concreto (Unidades: Serra e Vila Velha)</t>
  </si>
  <si>
    <t>Concrevit (Unidades: Cariacica e Vila Velha)</t>
  </si>
  <si>
    <t>Média</t>
  </si>
  <si>
    <t>Capacidade máxima volumétrica (m³/min)</t>
  </si>
  <si>
    <t xml:space="preserve">Saída do filtro de mangas </t>
  </si>
  <si>
    <t>Nota:</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</si>
  <si>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</si>
  <si>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</si>
  <si>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</si>
  <si>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Saída do Filtro de Mangas</t>
  </si>
  <si>
    <t>VOC</t>
  </si>
  <si>
    <t>1) As principais matérias primas utilizadas são a brita, a areia e o cimento. As emissões relacionadas à movimentação/armazenamento do cimento foram estimadas na aba: "Emissão Saída do Filtro"</t>
  </si>
  <si>
    <t>2) Empreendimento esteve em operação até o mês de abril durante o ano de 2015</t>
  </si>
  <si>
    <t>Latitude [º]</t>
  </si>
  <si>
    <t>Longitude [º]</t>
  </si>
  <si>
    <t>Altura [m]</t>
  </si>
  <si>
    <t>Nota: "Erosão Eólica" foi calculada na Planilha: Memorial_Opala_Concreto_Erosao_Eolica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</si>
</sst>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
    <numFmt numFmtId="165" formatCode="0.000"/>
    <numFmt numFmtId="166" formatCode="0.00000"/>
    <numFmt numFmtId="167" formatCode="#,##0.0000"/>
    <numFmt numFmtId="168" formatCode="0.0"/>
    <numFmt numFmtId="169" formatCode="[&gt;=0.005]\ #,##0.00;[&lt;0.005]&quot;&lt;0,01&quot;"/>
    <numFmt numFmtId="170" formatCode="#,##0.000000"/>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4">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right style="thin">
        <color theme="0"/>
      </right>
      <top/>
      <bottom/>
      <diagonal/>
    </border>
    <border>
      <left/>
      <right style="thin">
        <color theme="0"/>
      </right>
      <top/>
      <bottom style="thin">
        <color theme="0"/>
      </bottom>
      <diagonal/>
    </border>
    <border>
      <left style="thin">
        <color rgb="FFD9D9D9"/>
      </left>
      <right style="thin">
        <color rgb="FFD9D9D9"/>
      </right>
      <top/>
      <bottom style="thin">
        <color rgb="FFD9D9D9"/>
      </bottom>
      <diagonal/>
    </border>
  </borders>
  <cellStyleXfs count="2">
    <xf numFmtId="0" fontId="0" fillId="0" borderId="0"/>
    <xf numFmtId="0" fontId="1" fillId="0" borderId="0"/>
  </cellStyleXfs>
  <cellXfs count="117">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65" fontId="1" fillId="3" borderId="0" xfId="0" applyNumberFormat="1" applyFont="1" applyFill="1" applyAlignment="1">
      <alignment horizontal="center" vertic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8" fontId="1" fillId="0" borderId="0" xfId="0" applyNumberFormat="1" applyFont="1" applyAlignment="1">
      <alignment vertical="center"/>
    </xf>
    <xf numFmtId="0" fontId="1" fillId="0" borderId="1" xfId="0" applyFont="1" applyFill="1" applyBorder="1" applyAlignment="1">
      <alignment vertical="center"/>
    </xf>
    <xf numFmtId="0" fontId="1" fillId="3" borderId="0" xfId="0" applyFont="1" applyFill="1" applyAlignment="1">
      <alignment horizontal="center" vertical="center"/>
    </xf>
    <xf numFmtId="1" fontId="1" fillId="0" borderId="0" xfId="0" applyNumberFormat="1" applyFont="1" applyFill="1" applyAlignment="1">
      <alignment horizontal="center" vertical="center"/>
    </xf>
    <xf numFmtId="169"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xf>
    <xf numFmtId="0" fontId="1" fillId="0" borderId="0" xfId="0" applyFont="1" applyBorder="1" applyAlignment="1">
      <alignment horizontal="center" vertical="center"/>
    </xf>
    <xf numFmtId="0" fontId="2" fillId="0" borderId="0" xfId="0" applyFont="1" applyBorder="1" applyAlignment="1">
      <alignment horizontal="center" vertical="center" wrapText="1"/>
    </xf>
    <xf numFmtId="0" fontId="1" fillId="0" borderId="0" xfId="0" applyFont="1" applyBorder="1" applyAlignment="1">
      <alignment horizontal="center" vertical="center" wrapText="1"/>
    </xf>
    <xf numFmtId="169" fontId="1" fillId="0" borderId="0" xfId="0" applyNumberFormat="1" applyFont="1" applyFill="1" applyAlignment="1">
      <alignment horizontal="center" vertical="center"/>
    </xf>
    <xf numFmtId="0" fontId="5" fillId="2" borderId="1" xfId="0" applyFont="1" applyFill="1" applyBorder="1" applyAlignment="1">
      <alignment horizontal="center" vertical="center"/>
    </xf>
    <xf numFmtId="0" fontId="11" fillId="0" borderId="0" xfId="0" applyFont="1" applyAlignment="1">
      <alignment vertical="center"/>
    </xf>
    <xf numFmtId="0" fontId="1" fillId="0" borderId="1" xfId="0" applyFont="1" applyFill="1" applyBorder="1" applyAlignment="1">
      <alignment horizontal="center"/>
    </xf>
    <xf numFmtId="4" fontId="1" fillId="0" borderId="0" xfId="0" applyNumberFormat="1" applyFont="1" applyBorder="1" applyAlignment="1">
      <alignment horizontal="left" vertical="center" wrapText="1"/>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horizontal="left" vertical="center"/>
    </xf>
    <xf numFmtId="4" fontId="1" fillId="0" borderId="0" xfId="0" applyNumberFormat="1" applyFont="1" applyFill="1" applyAlignment="1">
      <alignment horizontal="center" vertical="center"/>
    </xf>
    <xf numFmtId="1" fontId="1" fillId="0" borderId="0" xfId="0" applyNumberFormat="1" applyFont="1" applyAlignment="1">
      <alignment horizontal="left" vertical="center"/>
    </xf>
    <xf numFmtId="0" fontId="0" fillId="0" borderId="0" xfId="0" applyBorder="1" applyAlignment="1">
      <alignment vertical="center"/>
    </xf>
    <xf numFmtId="0" fontId="1" fillId="0" borderId="0" xfId="0" applyFont="1" applyBorder="1" applyAlignment="1">
      <alignment vertical="center"/>
    </xf>
    <xf numFmtId="170" fontId="1" fillId="0" borderId="0" xfId="0" applyNumberFormat="1" applyFont="1" applyAlignment="1">
      <alignment horizontal="center" vertical="center"/>
    </xf>
    <xf numFmtId="0" fontId="1" fillId="0" borderId="0" xfId="0" applyFont="1" applyAlignment="1">
      <alignment horizontal="left" vertical="center" wrapText="1"/>
    </xf>
    <xf numFmtId="164" fontId="1" fillId="0" borderId="0" xfId="0" applyNumberFormat="1" applyFont="1" applyAlignment="1">
      <alignment vertical="center"/>
    </xf>
    <xf numFmtId="1" fontId="1" fillId="0" borderId="0" xfId="0" applyNumberFormat="1" applyFont="1" applyAlignment="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3"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5" fillId="2" borderId="20" xfId="0" applyFont="1" applyFill="1" applyBorder="1" applyAlignment="1">
      <alignment horizontal="center" vertical="center" wrapText="1"/>
    </xf>
    <xf numFmtId="0" fontId="5" fillId="2" borderId="2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3" borderId="0" xfId="0" applyFont="1" applyFill="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2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0" xfId="0" applyNumberFormat="1" applyFont="1" applyFill="1" applyBorder="1" applyAlignment="1" applyProtection="1">
      <alignment horizontal="center" vertical="center" wrapText="1"/>
    </xf>
    <xf numFmtId="0" fontId="5" fillId="2" borderId="19" xfId="0" applyNumberFormat="1" applyFont="1" applyFill="1" applyBorder="1" applyAlignment="1" applyProtection="1">
      <alignment horizontal="center" vertical="center" wrapText="1"/>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wrapText="1"/>
    </xf>
    <xf numFmtId="0" fontId="0" fillId="0" borderId="0" xfId="0" applyAlignment="1">
      <alignment horizontal="left" vertical="center" wrapText="1"/>
    </xf>
    <xf numFmtId="0" fontId="5" fillId="2" borderId="2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21"/>
  <sheetViews>
    <sheetView zoomScaleNormal="100" workbookViewId="0">
      <selection activeCell="H20" sqref="H20"/>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63</v>
      </c>
    </row>
    <row r="2" spans="1:12" x14ac:dyDescent="0.25">
      <c r="A2" s="66" t="s">
        <v>64</v>
      </c>
      <c r="B2" s="67"/>
      <c r="C2" s="67"/>
      <c r="D2" s="67"/>
      <c r="E2" s="68"/>
      <c r="G2" s="66" t="s">
        <v>65</v>
      </c>
      <c r="H2" s="67"/>
      <c r="I2" s="67"/>
      <c r="J2" s="67"/>
      <c r="K2" s="67"/>
      <c r="L2" s="67"/>
    </row>
    <row r="3" spans="1:12" x14ac:dyDescent="0.25">
      <c r="A3" s="18" t="s">
        <v>67</v>
      </c>
      <c r="B3" s="18" t="s">
        <v>68</v>
      </c>
      <c r="C3" s="18" t="s">
        <v>69</v>
      </c>
      <c r="D3" s="18" t="s">
        <v>70</v>
      </c>
      <c r="E3" s="18" t="s">
        <v>71</v>
      </c>
      <c r="G3" s="69" t="s">
        <v>72</v>
      </c>
      <c r="H3" s="69" t="s">
        <v>73</v>
      </c>
      <c r="I3" s="66" t="s">
        <v>74</v>
      </c>
      <c r="J3" s="68"/>
      <c r="K3" s="66" t="s">
        <v>75</v>
      </c>
      <c r="L3" s="68"/>
    </row>
    <row r="4" spans="1:12" x14ac:dyDescent="0.25">
      <c r="A4" s="20">
        <v>0.74</v>
      </c>
      <c r="B4" s="21">
        <v>0.48</v>
      </c>
      <c r="C4" s="20">
        <v>0.35</v>
      </c>
      <c r="D4" s="21">
        <v>0.2</v>
      </c>
      <c r="E4" s="20">
        <v>5.2999999999999999E-2</v>
      </c>
      <c r="G4" s="70"/>
      <c r="H4" s="70"/>
      <c r="I4" s="40" t="s">
        <v>76</v>
      </c>
      <c r="J4" s="40" t="s">
        <v>77</v>
      </c>
      <c r="K4" s="40" t="s">
        <v>76</v>
      </c>
      <c r="L4" s="40" t="s">
        <v>77</v>
      </c>
    </row>
    <row r="5" spans="1:12" x14ac:dyDescent="0.25">
      <c r="G5" s="65" t="s">
        <v>80</v>
      </c>
      <c r="H5" s="22" t="s">
        <v>81</v>
      </c>
      <c r="I5" s="21" t="s">
        <v>60</v>
      </c>
      <c r="J5" s="21">
        <v>2.6</v>
      </c>
      <c r="K5" s="21" t="s">
        <v>60</v>
      </c>
      <c r="L5" s="21">
        <v>7.4</v>
      </c>
    </row>
    <row r="6" spans="1:12" ht="15" customHeight="1" x14ac:dyDescent="0.25">
      <c r="A6" s="62" t="s">
        <v>16</v>
      </c>
      <c r="B6" s="63"/>
      <c r="C6" s="63"/>
      <c r="D6" s="63"/>
      <c r="E6" s="63"/>
      <c r="G6" s="65"/>
      <c r="H6" s="22" t="s">
        <v>78</v>
      </c>
      <c r="I6" s="21" t="s">
        <v>82</v>
      </c>
      <c r="J6" s="21">
        <v>3.8</v>
      </c>
      <c r="K6" s="21" t="s">
        <v>83</v>
      </c>
      <c r="L6" s="21">
        <v>3.6</v>
      </c>
    </row>
    <row r="7" spans="1:12" x14ac:dyDescent="0.25">
      <c r="A7" s="62"/>
      <c r="B7" s="63"/>
      <c r="C7" s="63"/>
      <c r="D7" s="63"/>
      <c r="E7" s="63"/>
      <c r="G7" s="65"/>
      <c r="H7" s="22" t="s">
        <v>84</v>
      </c>
      <c r="I7" s="21" t="s">
        <v>85</v>
      </c>
      <c r="J7" s="21">
        <v>9</v>
      </c>
      <c r="K7" s="21" t="s">
        <v>86</v>
      </c>
      <c r="L7" s="21">
        <v>12</v>
      </c>
    </row>
    <row r="8" spans="1:12" x14ac:dyDescent="0.25">
      <c r="A8" s="62"/>
      <c r="B8" s="63"/>
      <c r="C8" s="63"/>
      <c r="D8" s="63"/>
      <c r="E8" s="63"/>
      <c r="G8" s="65"/>
      <c r="H8" s="22" t="s">
        <v>87</v>
      </c>
      <c r="I8" s="21" t="s">
        <v>60</v>
      </c>
      <c r="J8" s="21">
        <v>9.1999999999999993</v>
      </c>
      <c r="K8" s="21" t="s">
        <v>60</v>
      </c>
      <c r="L8" s="21">
        <v>14</v>
      </c>
    </row>
    <row r="9" spans="1:12" ht="15" customHeight="1" x14ac:dyDescent="0.25">
      <c r="A9" s="62"/>
      <c r="B9" s="63"/>
      <c r="C9" s="63"/>
      <c r="D9" s="63"/>
      <c r="E9" s="63"/>
      <c r="G9" s="65"/>
      <c r="H9" s="22" t="s">
        <v>88</v>
      </c>
      <c r="I9" s="21" t="s">
        <v>89</v>
      </c>
      <c r="J9" s="21">
        <v>6</v>
      </c>
      <c r="K9" s="21" t="s">
        <v>90</v>
      </c>
      <c r="L9" s="21">
        <v>10</v>
      </c>
    </row>
    <row r="10" spans="1:12" x14ac:dyDescent="0.25">
      <c r="A10" s="62"/>
      <c r="B10" s="63"/>
      <c r="C10" s="63"/>
      <c r="D10" s="63"/>
      <c r="E10" s="63"/>
      <c r="G10" s="65"/>
      <c r="H10" s="22" t="s">
        <v>91</v>
      </c>
      <c r="I10" s="21" t="s">
        <v>92</v>
      </c>
      <c r="J10" s="21">
        <v>80</v>
      </c>
      <c r="K10" s="21" t="s">
        <v>93</v>
      </c>
      <c r="L10" s="21">
        <v>27</v>
      </c>
    </row>
    <row r="11" spans="1:12" ht="15" customHeight="1" x14ac:dyDescent="0.25">
      <c r="A11" s="62"/>
      <c r="B11" s="64" t="s">
        <v>79</v>
      </c>
      <c r="C11" s="64"/>
      <c r="D11" s="64"/>
      <c r="E11" s="64"/>
      <c r="G11" s="65"/>
      <c r="H11" s="22" t="s">
        <v>94</v>
      </c>
      <c r="I11" s="21" t="s">
        <v>60</v>
      </c>
      <c r="J11" s="21">
        <v>12</v>
      </c>
      <c r="K11" s="21" t="s">
        <v>60</v>
      </c>
      <c r="L11" s="21">
        <v>11</v>
      </c>
    </row>
    <row r="12" spans="1:12" x14ac:dyDescent="0.25">
      <c r="A12" s="62"/>
      <c r="B12" s="64"/>
      <c r="C12" s="64"/>
      <c r="D12" s="64"/>
      <c r="E12" s="64"/>
      <c r="G12" s="25"/>
      <c r="H12" s="22"/>
      <c r="I12" s="23"/>
      <c r="J12" s="23"/>
      <c r="K12" s="23"/>
      <c r="L12" s="23"/>
    </row>
    <row r="13" spans="1:12" x14ac:dyDescent="0.25">
      <c r="A13" s="62"/>
      <c r="B13" s="64"/>
      <c r="C13" s="64"/>
      <c r="D13" s="64"/>
      <c r="E13" s="64"/>
      <c r="G13" s="25"/>
      <c r="H13" s="22"/>
      <c r="I13" s="23"/>
      <c r="J13" s="23"/>
      <c r="K13" s="23"/>
      <c r="L13" s="23"/>
    </row>
    <row r="14" spans="1:12" x14ac:dyDescent="0.25">
      <c r="A14" s="62"/>
      <c r="B14" s="64"/>
      <c r="C14" s="64"/>
      <c r="D14" s="64"/>
      <c r="E14" s="64"/>
      <c r="G14" s="66" t="s">
        <v>105</v>
      </c>
      <c r="H14" s="67"/>
      <c r="I14" s="23"/>
      <c r="J14" s="23"/>
      <c r="K14" s="23"/>
      <c r="L14" s="23"/>
    </row>
    <row r="15" spans="1:12" x14ac:dyDescent="0.25">
      <c r="A15" s="62"/>
      <c r="B15" s="64"/>
      <c r="C15" s="64"/>
      <c r="D15" s="64"/>
      <c r="E15" s="64"/>
      <c r="G15" s="25" t="s">
        <v>103</v>
      </c>
      <c r="H15" s="23">
        <f>1.52*1000</f>
        <v>1520</v>
      </c>
      <c r="I15" s="23"/>
      <c r="J15" s="23"/>
      <c r="K15" s="23"/>
      <c r="L15" s="23"/>
    </row>
    <row r="16" spans="1:12" x14ac:dyDescent="0.25">
      <c r="A16" s="2"/>
      <c r="G16" s="25" t="s">
        <v>104</v>
      </c>
      <c r="H16" s="23">
        <f>1.55*1000</f>
        <v>1550</v>
      </c>
      <c r="I16" s="23"/>
      <c r="J16" s="23"/>
      <c r="K16" s="23"/>
      <c r="L16" s="23"/>
    </row>
    <row r="17" spans="4:12" x14ac:dyDescent="0.25">
      <c r="G17" s="35" t="s">
        <v>106</v>
      </c>
      <c r="H17" s="48">
        <v>2400</v>
      </c>
      <c r="I17" s="23"/>
      <c r="J17" s="23"/>
      <c r="K17" s="23"/>
      <c r="L17" s="23"/>
    </row>
    <row r="18" spans="4:12" x14ac:dyDescent="0.25">
      <c r="G18" s="25"/>
      <c r="H18" s="22"/>
      <c r="I18" s="23"/>
      <c r="J18" s="23"/>
      <c r="K18" s="23"/>
      <c r="L18" s="23"/>
    </row>
    <row r="19" spans="4:12" x14ac:dyDescent="0.25">
      <c r="D19" s="24"/>
      <c r="G19" s="25"/>
      <c r="H19" s="22"/>
      <c r="I19" s="23"/>
      <c r="J19" s="23"/>
      <c r="K19" s="23"/>
      <c r="L19" s="23"/>
    </row>
    <row r="20" spans="4:12" x14ac:dyDescent="0.25">
      <c r="D20" s="24"/>
      <c r="G20" s="25"/>
      <c r="H20" s="22"/>
      <c r="I20" s="23"/>
      <c r="J20" s="23"/>
      <c r="K20" s="23"/>
      <c r="L20" s="23"/>
    </row>
    <row r="21" spans="4:12" x14ac:dyDescent="0.25">
      <c r="G21" s="22"/>
      <c r="H21" s="22"/>
      <c r="I21" s="23"/>
      <c r="J21" s="23"/>
      <c r="K21" s="23"/>
      <c r="L21" s="23"/>
    </row>
  </sheetData>
  <sheetProtection password="B056"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4" activePane="bottomRight" state="frozen"/>
      <selection pane="topRight" activeCell="B1" sqref="B1"/>
      <selection pane="bottomLeft" activeCell="A4" sqref="A4"/>
      <selection pane="bottomRight" activeCell="F10" sqref="F10"/>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41</v>
      </c>
      <c r="B1" s="1"/>
      <c r="C1" s="1"/>
      <c r="D1" s="1"/>
      <c r="E1" s="1"/>
      <c r="F1" s="1"/>
      <c r="G1" s="1"/>
      <c r="H1" s="1"/>
      <c r="I1" s="1"/>
      <c r="J1" s="1"/>
    </row>
    <row r="2" spans="1:14" x14ac:dyDescent="0.25">
      <c r="A2" s="2" t="s">
        <v>61</v>
      </c>
      <c r="B2" s="41">
        <v>2007</v>
      </c>
      <c r="C2" s="1"/>
      <c r="D2" s="1"/>
      <c r="E2" s="1"/>
      <c r="F2" s="1"/>
      <c r="G2" s="1"/>
      <c r="H2" s="1"/>
      <c r="I2" s="1"/>
      <c r="J2" s="1"/>
    </row>
    <row r="3" spans="1:14" x14ac:dyDescent="0.25">
      <c r="A3" s="40" t="s">
        <v>42</v>
      </c>
      <c r="B3" s="40" t="s">
        <v>43</v>
      </c>
      <c r="C3" s="40" t="s">
        <v>44</v>
      </c>
      <c r="D3" s="40" t="s">
        <v>45</v>
      </c>
      <c r="E3" s="40" t="s">
        <v>46</v>
      </c>
      <c r="F3" s="40" t="s">
        <v>47</v>
      </c>
      <c r="G3" s="40" t="s">
        <v>48</v>
      </c>
      <c r="H3" s="40" t="s">
        <v>49</v>
      </c>
      <c r="I3" s="40" t="s">
        <v>50</v>
      </c>
      <c r="J3" s="1"/>
    </row>
    <row r="4" spans="1:14" ht="15" customHeight="1" x14ac:dyDescent="0.25">
      <c r="A4" s="92" t="s">
        <v>51</v>
      </c>
      <c r="B4" s="17" t="s">
        <v>52</v>
      </c>
      <c r="C4" s="15">
        <v>4.1647481574952775E-3</v>
      </c>
      <c r="D4" s="15">
        <v>6.5318933034944765E-2</v>
      </c>
      <c r="E4" s="15">
        <v>9.7431139391112798E-5</v>
      </c>
      <c r="F4" s="15">
        <v>3.2117661168667613E-2</v>
      </c>
      <c r="G4" s="15">
        <v>1.0013560541894806E-2</v>
      </c>
      <c r="H4" s="15">
        <v>7.6789363702976381</v>
      </c>
      <c r="I4" s="15">
        <v>9.0350737078986789E-4</v>
      </c>
      <c r="J4" s="1"/>
      <c r="N4" s="16"/>
    </row>
    <row r="5" spans="1:14" x14ac:dyDescent="0.25">
      <c r="A5" s="93"/>
      <c r="B5" s="17" t="s">
        <v>53</v>
      </c>
      <c r="C5" s="15">
        <v>1.9389461005136124E-2</v>
      </c>
      <c r="D5" s="15">
        <v>0.15850781980120351</v>
      </c>
      <c r="E5" s="15">
        <v>1.8265581631205882E-4</v>
      </c>
      <c r="F5" s="15">
        <v>0.19953638186759515</v>
      </c>
      <c r="G5" s="15">
        <v>8.7889870552575564E-2</v>
      </c>
      <c r="H5" s="15">
        <v>14.129238189499569</v>
      </c>
      <c r="I5" s="15">
        <v>7.9301638618412291E-3</v>
      </c>
      <c r="J5" s="1"/>
      <c r="N5" s="16"/>
    </row>
    <row r="6" spans="1:14" x14ac:dyDescent="0.25">
      <c r="A6" s="93"/>
      <c r="B6" s="17" t="s">
        <v>54</v>
      </c>
      <c r="C6" s="15">
        <v>3.5159649405128737E-2</v>
      </c>
      <c r="D6" s="15">
        <v>0.39013010201093185</v>
      </c>
      <c r="E6" s="15">
        <v>3.1347091665644508E-4</v>
      </c>
      <c r="F6" s="15">
        <v>0.2004419223709539</v>
      </c>
      <c r="G6" s="15">
        <v>6.7138814469940591E-2</v>
      </c>
      <c r="H6" s="15">
        <v>26.722695910514073</v>
      </c>
      <c r="I6" s="15">
        <v>6.0578280967871325E-3</v>
      </c>
      <c r="J6" s="1"/>
      <c r="K6" s="16"/>
      <c r="N6" s="16"/>
    </row>
    <row r="7" spans="1:14" x14ac:dyDescent="0.25">
      <c r="A7" s="93"/>
      <c r="B7" s="17" t="s">
        <v>55</v>
      </c>
      <c r="C7" s="15">
        <v>3.4873730864910753E-2</v>
      </c>
      <c r="D7" s="15">
        <v>0.62819014565488085</v>
      </c>
      <c r="E7" s="15">
        <v>5.4259968788077681E-4</v>
      </c>
      <c r="F7" s="15">
        <v>0.29143683660988179</v>
      </c>
      <c r="G7" s="15">
        <v>7.9806989940830519E-2</v>
      </c>
      <c r="H7" s="15">
        <v>48.223729179933819</v>
      </c>
      <c r="I7" s="15">
        <v>7.2008552575325378E-3</v>
      </c>
      <c r="J7" s="1"/>
      <c r="N7" s="16"/>
    </row>
    <row r="8" spans="1:14" x14ac:dyDescent="0.25">
      <c r="A8" s="93"/>
      <c r="B8" s="17" t="s">
        <v>56</v>
      </c>
      <c r="C8" s="15">
        <v>3.101083119228833E-2</v>
      </c>
      <c r="D8" s="15">
        <v>0.83698143551687265</v>
      </c>
      <c r="E8" s="15">
        <v>7.6033040375300068E-4</v>
      </c>
      <c r="F8" s="15">
        <v>0.22495851814724077</v>
      </c>
      <c r="G8" s="15">
        <v>8.0781384871570633E-2</v>
      </c>
      <c r="H8" s="15">
        <v>67.57462749683539</v>
      </c>
      <c r="I8" s="15">
        <v>7.2887737155482657E-3</v>
      </c>
      <c r="J8" s="1"/>
      <c r="N8" s="16"/>
    </row>
    <row r="9" spans="1:14" x14ac:dyDescent="0.25">
      <c r="A9" s="93"/>
      <c r="B9" s="17" t="s">
        <v>57</v>
      </c>
      <c r="C9" s="15">
        <v>4.4312637095619792E-2</v>
      </c>
      <c r="D9" s="15">
        <v>1.1811178567160983</v>
      </c>
      <c r="E9" s="15">
        <v>1.0551972934755545E-3</v>
      </c>
      <c r="F9" s="15">
        <v>0.44023160723795168</v>
      </c>
      <c r="G9" s="15">
        <v>0.11468313954524458</v>
      </c>
      <c r="H9" s="15">
        <v>107.50511325477065</v>
      </c>
      <c r="I9" s="15">
        <v>1.0347677695252593E-2</v>
      </c>
      <c r="J9" s="1"/>
    </row>
    <row r="10" spans="1:14" x14ac:dyDescent="0.25">
      <c r="A10" s="93"/>
      <c r="B10" s="17" t="s">
        <v>58</v>
      </c>
      <c r="C10" s="15">
        <v>9.1699292295937748E-2</v>
      </c>
      <c r="D10" s="15">
        <v>2.4816495823931239</v>
      </c>
      <c r="E10" s="15">
        <v>2.2143711863278365E-3</v>
      </c>
      <c r="F10" s="15">
        <v>0.8977989810489746</v>
      </c>
      <c r="G10" s="15">
        <v>0.2376690359121682</v>
      </c>
      <c r="H10" s="15">
        <v>220.23193257962103</v>
      </c>
      <c r="I10" s="15">
        <v>2.1444490325478866E-2</v>
      </c>
      <c r="J10" s="1"/>
    </row>
    <row r="11" spans="1:14" x14ac:dyDescent="0.25">
      <c r="A11" s="93"/>
      <c r="B11" s="17" t="s">
        <v>59</v>
      </c>
      <c r="C11" s="15">
        <v>0.11281698418835924</v>
      </c>
      <c r="D11" s="15">
        <v>3.6320533542247149</v>
      </c>
      <c r="E11" s="15">
        <v>2.708513011176045E-3</v>
      </c>
      <c r="F11" s="15">
        <v>1.2834306373108464</v>
      </c>
      <c r="G11" s="15">
        <v>0.33188731556128104</v>
      </c>
      <c r="H11" s="15">
        <v>269.37717766866973</v>
      </c>
      <c r="I11" s="15">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41</v>
      </c>
      <c r="B14" s="1"/>
      <c r="C14" s="1"/>
      <c r="D14" s="1"/>
      <c r="E14" s="1"/>
      <c r="F14" s="1"/>
      <c r="G14" s="1"/>
      <c r="H14" s="1"/>
      <c r="I14" s="1"/>
      <c r="J14" s="1"/>
    </row>
    <row r="15" spans="1:14" x14ac:dyDescent="0.25">
      <c r="A15" s="71" t="s">
        <v>16</v>
      </c>
      <c r="B15" s="74"/>
      <c r="C15" s="75"/>
      <c r="D15" s="75"/>
      <c r="E15" s="76"/>
      <c r="F15" s="1"/>
      <c r="G15" s="1"/>
      <c r="H15" s="1"/>
      <c r="I15" s="1"/>
      <c r="J15" s="1"/>
    </row>
    <row r="16" spans="1:14" x14ac:dyDescent="0.25">
      <c r="A16" s="72"/>
      <c r="B16" s="77"/>
      <c r="C16" s="78"/>
      <c r="D16" s="78"/>
      <c r="E16" s="79"/>
      <c r="F16" s="1"/>
      <c r="G16" s="1"/>
      <c r="H16" s="1"/>
      <c r="I16" s="1"/>
      <c r="J16" s="1"/>
    </row>
    <row r="17" spans="1:10" x14ac:dyDescent="0.25">
      <c r="A17" s="72"/>
      <c r="B17" s="80"/>
      <c r="C17" s="81"/>
      <c r="D17" s="81"/>
      <c r="E17" s="82"/>
      <c r="F17" s="1"/>
      <c r="G17" s="1"/>
      <c r="H17" s="1"/>
      <c r="I17" s="1"/>
      <c r="J17" s="1"/>
    </row>
    <row r="18" spans="1:10" x14ac:dyDescent="0.25">
      <c r="A18" s="72"/>
      <c r="B18" s="83" t="s">
        <v>113</v>
      </c>
      <c r="C18" s="84"/>
      <c r="D18" s="84"/>
      <c r="E18" s="85"/>
      <c r="F18" s="1"/>
      <c r="G18" s="1"/>
      <c r="H18" s="1"/>
      <c r="I18" s="1"/>
      <c r="J18" s="1"/>
    </row>
    <row r="19" spans="1:10" x14ac:dyDescent="0.25">
      <c r="A19" s="72"/>
      <c r="B19" s="86"/>
      <c r="C19" s="87"/>
      <c r="D19" s="87"/>
      <c r="E19" s="88"/>
      <c r="F19" s="1"/>
      <c r="G19" s="1"/>
      <c r="H19" s="1"/>
      <c r="I19" s="1"/>
      <c r="J19" s="1"/>
    </row>
    <row r="20" spans="1:10" x14ac:dyDescent="0.25">
      <c r="A20" s="72"/>
      <c r="B20" s="86"/>
      <c r="C20" s="87"/>
      <c r="D20" s="87"/>
      <c r="E20" s="88"/>
      <c r="F20" s="1"/>
      <c r="G20" s="1"/>
      <c r="H20" s="1"/>
      <c r="I20" s="1"/>
      <c r="J20" s="1"/>
    </row>
    <row r="21" spans="1:10" x14ac:dyDescent="0.25">
      <c r="A21" s="73"/>
      <c r="B21" s="89"/>
      <c r="C21" s="90"/>
      <c r="D21" s="90"/>
      <c r="E21" s="91"/>
      <c r="F21" s="1"/>
      <c r="G21" s="1"/>
      <c r="H21" s="1"/>
      <c r="I21" s="1"/>
      <c r="J21" s="1"/>
    </row>
    <row r="22" spans="1:10" x14ac:dyDescent="0.25">
      <c r="A22" s="1"/>
      <c r="B22" s="1"/>
      <c r="C22" s="1"/>
      <c r="D22" s="1"/>
      <c r="E22" s="1"/>
      <c r="F22" s="1"/>
      <c r="G22" s="1"/>
      <c r="H22" s="1"/>
      <c r="I22" s="1"/>
      <c r="J22" s="1"/>
    </row>
  </sheetData>
  <sheetProtection password="B056"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
  <sheetViews>
    <sheetView topLeftCell="A13" zoomScaleNormal="100" workbookViewId="0">
      <selection activeCell="D17" sqref="D17"/>
    </sheetView>
  </sheetViews>
  <sheetFormatPr defaultRowHeight="15" x14ac:dyDescent="0.25"/>
  <cols>
    <col min="1" max="1" width="55.7109375" style="52" customWidth="1"/>
    <col min="2" max="2" width="40.140625" style="52" customWidth="1"/>
    <col min="3" max="3" width="32" style="52" customWidth="1"/>
    <col min="4" max="4" width="24.5703125" style="52" bestFit="1" customWidth="1"/>
    <col min="5" max="5" width="12.7109375" style="52" customWidth="1"/>
    <col min="6" max="6" width="20.5703125" style="52" customWidth="1"/>
    <col min="7" max="7" width="18.28515625" style="52" customWidth="1"/>
    <col min="8" max="9" width="9.140625" style="52"/>
    <col min="10" max="10" width="34.140625" style="52" customWidth="1"/>
    <col min="11" max="11" width="61" style="52" customWidth="1"/>
    <col min="12" max="12" width="11.7109375" style="52" bestFit="1" customWidth="1"/>
    <col min="13" max="13" width="9.140625" style="52"/>
    <col min="14" max="14" width="16.28515625" style="52" bestFit="1" customWidth="1"/>
    <col min="15" max="15" width="20" style="52" bestFit="1" customWidth="1"/>
    <col min="16" max="16" width="20.85546875" style="52" bestFit="1" customWidth="1"/>
    <col min="17" max="16384" width="9.140625" style="52"/>
  </cols>
  <sheetData>
    <row r="1" spans="1:19" x14ac:dyDescent="0.25">
      <c r="A1" s="2" t="s">
        <v>121</v>
      </c>
      <c r="B1" s="2"/>
      <c r="C1" s="2"/>
      <c r="D1" s="2"/>
      <c r="E1" s="2"/>
      <c r="F1" s="2"/>
      <c r="G1" s="2"/>
      <c r="H1" s="2"/>
      <c r="I1" s="2"/>
      <c r="J1" s="2"/>
      <c r="K1" s="2"/>
      <c r="L1" s="2"/>
      <c r="M1" s="2"/>
      <c r="N1" s="2"/>
      <c r="O1" s="2"/>
      <c r="P1" s="2"/>
      <c r="Q1" s="2"/>
      <c r="R1" s="2"/>
      <c r="S1" s="2"/>
    </row>
    <row r="2" spans="1:19" x14ac:dyDescent="0.25">
      <c r="A2" s="3"/>
      <c r="B2" s="3"/>
      <c r="C2" s="3"/>
      <c r="D2" s="3"/>
      <c r="E2" s="3"/>
      <c r="F2" s="3"/>
      <c r="G2" s="2"/>
      <c r="H2" s="2"/>
      <c r="I2" s="2"/>
      <c r="J2" s="2"/>
      <c r="K2" s="2"/>
      <c r="L2" s="2"/>
      <c r="M2" s="2"/>
      <c r="N2" s="2"/>
      <c r="O2" s="2"/>
      <c r="P2" s="2"/>
      <c r="Q2" s="2"/>
      <c r="R2" s="2"/>
      <c r="S2" s="2"/>
    </row>
    <row r="3" spans="1:19" x14ac:dyDescent="0.25">
      <c r="A3" s="66" t="s">
        <v>135</v>
      </c>
      <c r="B3" s="68"/>
      <c r="C3" s="40" t="s">
        <v>136</v>
      </c>
      <c r="D3" s="2"/>
      <c r="E3" s="2"/>
      <c r="F3" s="2"/>
      <c r="G3" s="2"/>
      <c r="H3" s="2"/>
      <c r="I3" s="2"/>
      <c r="J3" s="2"/>
      <c r="K3" s="2"/>
      <c r="L3" s="2"/>
      <c r="M3" s="2"/>
      <c r="N3" s="2"/>
      <c r="O3" s="2"/>
      <c r="P3" s="2"/>
      <c r="Q3" s="2"/>
      <c r="R3" s="2"/>
      <c r="S3" s="2"/>
    </row>
    <row r="4" spans="1:19" ht="15" customHeight="1" x14ac:dyDescent="0.25">
      <c r="A4" s="7" t="s">
        <v>103</v>
      </c>
      <c r="B4" s="54">
        <v>2048</v>
      </c>
      <c r="C4" s="7" t="s">
        <v>137</v>
      </c>
      <c r="D4" s="2"/>
      <c r="E4" s="2"/>
      <c r="F4" s="2"/>
      <c r="G4" s="2"/>
      <c r="H4" s="2"/>
      <c r="I4" s="2"/>
      <c r="L4" s="2"/>
      <c r="M4" s="2"/>
      <c r="N4" s="2"/>
      <c r="O4" s="2"/>
      <c r="P4" s="2"/>
      <c r="Q4" s="2"/>
      <c r="R4" s="2"/>
      <c r="S4" s="2"/>
    </row>
    <row r="5" spans="1:19" x14ac:dyDescent="0.25">
      <c r="A5" s="7" t="s">
        <v>104</v>
      </c>
      <c r="B5" s="54">
        <v>2390</v>
      </c>
      <c r="C5" s="7" t="s">
        <v>137</v>
      </c>
      <c r="D5" s="2"/>
      <c r="E5" s="2"/>
      <c r="F5" s="2"/>
      <c r="G5" s="2"/>
      <c r="H5" s="2"/>
      <c r="I5" s="2"/>
      <c r="L5" s="2"/>
      <c r="M5" s="2"/>
      <c r="N5" s="2"/>
      <c r="O5" s="2"/>
      <c r="P5" s="2"/>
      <c r="Q5" s="2"/>
      <c r="R5" s="2"/>
      <c r="S5" s="2"/>
    </row>
    <row r="6" spans="1:19" ht="15.75" customHeight="1" x14ac:dyDescent="0.25">
      <c r="B6" s="3"/>
      <c r="C6" s="2"/>
      <c r="D6" s="2"/>
      <c r="E6" s="2"/>
      <c r="F6" s="2"/>
      <c r="G6" s="2"/>
      <c r="H6" s="2"/>
      <c r="I6" s="2"/>
      <c r="L6" s="2"/>
      <c r="M6" s="2"/>
      <c r="N6" s="2"/>
      <c r="O6" s="2"/>
      <c r="P6" s="2"/>
      <c r="Q6" s="2"/>
      <c r="R6" s="2"/>
      <c r="S6" s="2"/>
    </row>
    <row r="7" spans="1:19" x14ac:dyDescent="0.25">
      <c r="A7" s="66" t="s">
        <v>120</v>
      </c>
      <c r="B7" s="67"/>
      <c r="C7" s="67"/>
      <c r="D7" s="2"/>
      <c r="E7" s="2"/>
      <c r="F7" s="2"/>
      <c r="G7" s="2"/>
      <c r="H7" s="2"/>
      <c r="I7" s="2"/>
      <c r="L7" s="2"/>
      <c r="M7" s="2"/>
      <c r="N7" s="2"/>
      <c r="O7" s="2"/>
      <c r="P7" s="2"/>
      <c r="Q7" s="2"/>
      <c r="R7" s="2"/>
      <c r="S7" s="2"/>
    </row>
    <row r="8" spans="1:19" x14ac:dyDescent="0.25">
      <c r="A8" s="40" t="s">
        <v>123</v>
      </c>
      <c r="B8" s="40" t="s">
        <v>124</v>
      </c>
      <c r="C8" s="40" t="s">
        <v>164</v>
      </c>
      <c r="D8" s="2"/>
      <c r="E8" s="2"/>
      <c r="F8" s="2"/>
      <c r="G8" s="2"/>
      <c r="H8" s="2"/>
      <c r="I8" s="2"/>
      <c r="J8" s="2"/>
      <c r="K8" s="2"/>
      <c r="L8" s="2"/>
      <c r="M8" s="2"/>
      <c r="N8" s="2"/>
      <c r="O8" s="2"/>
      <c r="P8" s="2"/>
      <c r="Q8" s="2"/>
      <c r="R8" s="2"/>
      <c r="S8" s="2"/>
    </row>
    <row r="9" spans="1:19" x14ac:dyDescent="0.25">
      <c r="A9" s="29" t="s">
        <v>125</v>
      </c>
      <c r="B9" s="7">
        <v>35</v>
      </c>
      <c r="C9" s="27">
        <f>B15*4</f>
        <v>30.7</v>
      </c>
      <c r="D9" s="2"/>
      <c r="E9" s="2"/>
      <c r="F9" s="2"/>
      <c r="G9" s="2"/>
      <c r="H9" s="2"/>
      <c r="I9" s="2"/>
      <c r="J9" s="2"/>
      <c r="K9" s="2"/>
      <c r="L9" s="2"/>
      <c r="M9" s="2"/>
      <c r="N9" s="2"/>
      <c r="O9" s="2"/>
      <c r="P9" s="2"/>
      <c r="Q9" s="2"/>
      <c r="R9" s="2"/>
      <c r="S9" s="2"/>
    </row>
    <row r="10" spans="1:19" x14ac:dyDescent="0.25">
      <c r="A10" s="7"/>
      <c r="B10" s="7"/>
      <c r="D10" s="2"/>
      <c r="E10" s="2"/>
      <c r="F10" s="2"/>
      <c r="G10" s="2"/>
      <c r="H10" s="2"/>
      <c r="I10" s="2"/>
      <c r="J10" s="2"/>
      <c r="K10" s="2"/>
      <c r="L10" s="2"/>
      <c r="M10" s="2"/>
      <c r="N10" s="2"/>
      <c r="O10" s="2"/>
      <c r="P10" s="2"/>
      <c r="Q10" s="2"/>
      <c r="R10" s="2"/>
      <c r="S10" s="2"/>
    </row>
    <row r="11" spans="1:19" x14ac:dyDescent="0.25">
      <c r="D11" s="2"/>
      <c r="E11" s="2"/>
      <c r="F11" s="2"/>
      <c r="G11" s="2"/>
      <c r="H11" s="2"/>
      <c r="I11" s="2"/>
      <c r="J11" s="2"/>
      <c r="K11" s="2"/>
      <c r="L11" s="2"/>
      <c r="M11" s="2"/>
      <c r="N11" s="2"/>
      <c r="O11" s="2"/>
      <c r="P11" s="2"/>
      <c r="Q11" s="2"/>
      <c r="R11" s="2"/>
      <c r="S11" s="2"/>
    </row>
    <row r="12" spans="1:19" x14ac:dyDescent="0.25">
      <c r="A12" s="40" t="s">
        <v>159</v>
      </c>
      <c r="B12" s="40" t="s">
        <v>160</v>
      </c>
      <c r="D12" s="2"/>
      <c r="E12" s="2"/>
      <c r="F12" s="2"/>
      <c r="G12" s="2"/>
      <c r="H12" s="2"/>
      <c r="I12" s="2"/>
      <c r="J12" s="2"/>
      <c r="K12" s="2"/>
      <c r="L12" s="2"/>
      <c r="M12" s="2"/>
      <c r="N12" s="2"/>
      <c r="O12" s="2"/>
      <c r="P12" s="2"/>
      <c r="Q12" s="2"/>
      <c r="R12" s="2"/>
      <c r="S12" s="2"/>
    </row>
    <row r="13" spans="1:19" x14ac:dyDescent="0.25">
      <c r="A13" s="55" t="s">
        <v>161</v>
      </c>
      <c r="B13" s="11">
        <v>6</v>
      </c>
      <c r="D13" s="2"/>
      <c r="E13" s="2"/>
      <c r="F13" s="2"/>
      <c r="G13" s="2"/>
      <c r="H13" s="2"/>
      <c r="I13" s="2"/>
      <c r="J13" s="2"/>
      <c r="K13" s="2"/>
      <c r="L13" s="2"/>
      <c r="M13" s="2"/>
      <c r="N13" s="2"/>
      <c r="O13" s="2"/>
      <c r="P13" s="2"/>
      <c r="Q13" s="2"/>
      <c r="R13" s="2"/>
      <c r="S13" s="2"/>
    </row>
    <row r="14" spans="1:19" x14ac:dyDescent="0.25">
      <c r="A14" s="53" t="s">
        <v>162</v>
      </c>
      <c r="B14" s="11">
        <v>9.35</v>
      </c>
      <c r="D14" s="2"/>
      <c r="E14" s="2"/>
      <c r="F14" s="2"/>
      <c r="G14" s="2"/>
      <c r="H14" s="2"/>
      <c r="I14" s="2"/>
      <c r="J14" s="2"/>
      <c r="K14" s="2"/>
      <c r="L14" s="2"/>
      <c r="M14" s="2"/>
      <c r="N14" s="2"/>
      <c r="O14" s="2"/>
      <c r="P14" s="2"/>
      <c r="Q14" s="2"/>
      <c r="R14" s="2"/>
      <c r="S14" s="2"/>
    </row>
    <row r="15" spans="1:19" x14ac:dyDescent="0.25">
      <c r="A15" s="55" t="s">
        <v>163</v>
      </c>
      <c r="B15" s="11">
        <f>AVERAGE(B13:B14)</f>
        <v>7.6749999999999998</v>
      </c>
      <c r="D15" s="2"/>
      <c r="E15" s="2"/>
      <c r="F15" s="2"/>
      <c r="G15" s="2"/>
      <c r="H15" s="2"/>
      <c r="I15" s="2"/>
      <c r="J15" s="2"/>
      <c r="K15" s="2"/>
      <c r="L15" s="2"/>
      <c r="M15" s="2"/>
      <c r="N15" s="2"/>
      <c r="O15" s="2"/>
      <c r="P15" s="2"/>
      <c r="Q15" s="2"/>
      <c r="R15" s="2"/>
      <c r="S15" s="2"/>
    </row>
    <row r="16" spans="1:19" x14ac:dyDescent="0.25">
      <c r="D16" s="2"/>
      <c r="E16" s="2"/>
      <c r="F16" s="2"/>
      <c r="G16" s="2"/>
      <c r="H16" s="2"/>
      <c r="I16" s="2"/>
      <c r="J16" s="2"/>
      <c r="K16" s="2"/>
      <c r="L16" s="2"/>
      <c r="M16" s="2"/>
      <c r="N16" s="2"/>
      <c r="O16" s="2"/>
      <c r="P16" s="2"/>
      <c r="Q16" s="2"/>
      <c r="R16" s="2"/>
      <c r="S16" s="2"/>
    </row>
    <row r="17" spans="1:19" x14ac:dyDescent="0.25">
      <c r="D17" s="2"/>
      <c r="E17" s="2"/>
      <c r="F17" s="2"/>
      <c r="G17" s="2"/>
      <c r="H17" s="2"/>
      <c r="I17" s="2"/>
      <c r="J17" s="2"/>
      <c r="K17" s="2"/>
      <c r="L17" s="2"/>
      <c r="M17" s="2"/>
      <c r="N17" s="2"/>
      <c r="O17" s="2"/>
      <c r="P17" s="2"/>
      <c r="Q17" s="2"/>
      <c r="R17" s="2"/>
      <c r="S17" s="2"/>
    </row>
    <row r="18" spans="1:19" x14ac:dyDescent="0.25">
      <c r="A18" s="66" t="s">
        <v>62</v>
      </c>
      <c r="B18" s="67"/>
      <c r="C18" s="67"/>
      <c r="D18" s="67"/>
      <c r="E18" s="67"/>
      <c r="F18" s="67"/>
      <c r="G18" s="67"/>
      <c r="H18" s="2"/>
      <c r="I18" s="2"/>
      <c r="R18" s="2"/>
      <c r="S18" s="2"/>
    </row>
    <row r="19" spans="1:19" x14ac:dyDescent="0.25">
      <c r="A19" s="40" t="s">
        <v>114</v>
      </c>
      <c r="B19" s="40" t="s">
        <v>115</v>
      </c>
      <c r="C19" s="40" t="s">
        <v>116</v>
      </c>
      <c r="D19" s="40" t="s">
        <v>122</v>
      </c>
      <c r="E19" s="40" t="s">
        <v>139</v>
      </c>
      <c r="F19" s="40" t="s">
        <v>155</v>
      </c>
      <c r="G19" s="40" t="s">
        <v>140</v>
      </c>
      <c r="H19" s="2"/>
      <c r="I19" s="2"/>
      <c r="R19" s="2"/>
      <c r="S19" s="2"/>
    </row>
    <row r="20" spans="1:19" x14ac:dyDescent="0.25">
      <c r="A20" s="7">
        <v>1</v>
      </c>
      <c r="B20" s="7" t="s">
        <v>154</v>
      </c>
      <c r="C20" s="42" t="s">
        <v>138</v>
      </c>
      <c r="D20" s="7">
        <v>1</v>
      </c>
      <c r="E20" s="7">
        <v>97</v>
      </c>
      <c r="F20" s="37">
        <v>4</v>
      </c>
      <c r="G20" s="7">
        <v>40</v>
      </c>
      <c r="H20" s="2"/>
      <c r="I20" s="2"/>
      <c r="R20" s="2"/>
      <c r="S20" s="2"/>
    </row>
    <row r="21" spans="1:19" x14ac:dyDescent="0.25">
      <c r="A21" s="3"/>
      <c r="B21" s="3"/>
      <c r="C21" s="3"/>
      <c r="D21" s="2"/>
      <c r="E21" s="2"/>
      <c r="F21" s="2"/>
      <c r="G21" s="2"/>
      <c r="H21" s="2"/>
      <c r="I21" s="2"/>
      <c r="R21" s="2"/>
      <c r="S21" s="2"/>
    </row>
    <row r="22" spans="1:19" x14ac:dyDescent="0.25">
      <c r="A22" s="3"/>
      <c r="B22" s="3"/>
      <c r="C22" s="3"/>
      <c r="D22" s="2"/>
      <c r="E22" s="2"/>
      <c r="F22" s="2"/>
      <c r="G22" s="2"/>
      <c r="H22" s="2"/>
      <c r="I22" s="2"/>
      <c r="R22" s="2"/>
      <c r="S22" s="2"/>
    </row>
    <row r="23" spans="1:19" ht="15" customHeight="1" x14ac:dyDescent="0.25">
      <c r="A23" s="66" t="s">
        <v>141</v>
      </c>
      <c r="B23" s="67"/>
      <c r="D23" s="2"/>
      <c r="E23" s="2"/>
      <c r="F23" s="2"/>
      <c r="G23" s="2"/>
      <c r="H23" s="2"/>
      <c r="I23" s="2"/>
      <c r="R23" s="2"/>
      <c r="S23" s="2"/>
    </row>
    <row r="24" spans="1:19" x14ac:dyDescent="0.25">
      <c r="A24" s="43" t="s">
        <v>142</v>
      </c>
      <c r="B24" s="43" t="s">
        <v>143</v>
      </c>
      <c r="C24" s="56"/>
      <c r="D24" s="2"/>
      <c r="E24" s="2"/>
      <c r="F24" s="2"/>
      <c r="G24" s="2"/>
      <c r="H24" s="2"/>
      <c r="I24" s="2"/>
      <c r="R24" s="2"/>
      <c r="S24" s="2"/>
    </row>
    <row r="25" spans="1:19" ht="33.75" x14ac:dyDescent="0.25">
      <c r="A25" s="44" t="s">
        <v>144</v>
      </c>
      <c r="B25" s="49" t="s">
        <v>145</v>
      </c>
      <c r="D25" s="2"/>
      <c r="E25" s="2"/>
      <c r="F25" s="2"/>
      <c r="G25" s="2"/>
      <c r="H25" s="2"/>
      <c r="I25" s="2"/>
      <c r="R25" s="2"/>
      <c r="S25" s="2"/>
    </row>
    <row r="26" spans="1:19" ht="56.25" x14ac:dyDescent="0.25">
      <c r="A26" s="44" t="s">
        <v>146</v>
      </c>
      <c r="B26" s="49" t="s">
        <v>149</v>
      </c>
      <c r="C26" s="2"/>
      <c r="D26" s="2"/>
      <c r="E26" s="2"/>
      <c r="F26" s="2"/>
      <c r="G26" s="2"/>
      <c r="H26" s="2"/>
      <c r="I26" s="2"/>
      <c r="R26" s="2"/>
      <c r="S26" s="2"/>
    </row>
    <row r="27" spans="1:19" ht="45" x14ac:dyDescent="0.25">
      <c r="A27" s="44" t="s">
        <v>147</v>
      </c>
      <c r="B27" s="49" t="s">
        <v>148</v>
      </c>
      <c r="C27" s="2"/>
      <c r="D27" s="57"/>
      <c r="E27" s="2"/>
      <c r="F27" s="2"/>
      <c r="G27" s="2"/>
      <c r="H27" s="2"/>
      <c r="I27" s="2"/>
      <c r="R27" s="2"/>
      <c r="S27" s="2"/>
    </row>
    <row r="28" spans="1:19" x14ac:dyDescent="0.25">
      <c r="A28" s="2"/>
      <c r="B28" s="2"/>
      <c r="C28" s="2"/>
      <c r="D28" s="2"/>
      <c r="E28" s="2"/>
      <c r="F28" s="2"/>
      <c r="G28" s="2"/>
      <c r="H28" s="2"/>
      <c r="I28" s="2"/>
      <c r="R28" s="2"/>
      <c r="S28" s="2"/>
    </row>
    <row r="29" spans="1:19" x14ac:dyDescent="0.25">
      <c r="A29" s="2"/>
      <c r="B29" s="2"/>
      <c r="C29" s="2"/>
      <c r="D29" s="2"/>
      <c r="E29" s="2"/>
      <c r="F29" s="2"/>
      <c r="G29" s="2"/>
      <c r="H29" s="2"/>
      <c r="I29" s="2"/>
      <c r="R29" s="2"/>
      <c r="S29" s="2"/>
    </row>
    <row r="30" spans="1:19" x14ac:dyDescent="0.25">
      <c r="A30" s="2"/>
      <c r="B30" s="2"/>
      <c r="C30" s="2"/>
      <c r="D30" s="2"/>
      <c r="E30" s="2"/>
      <c r="F30" s="2"/>
      <c r="G30" s="2"/>
      <c r="H30" s="2"/>
      <c r="I30" s="2"/>
      <c r="R30" s="2"/>
      <c r="S30" s="2"/>
    </row>
    <row r="31" spans="1:19" x14ac:dyDescent="0.25">
      <c r="A31" s="2"/>
      <c r="B31" s="2"/>
      <c r="C31" s="2"/>
      <c r="D31" s="2"/>
      <c r="E31" s="2"/>
      <c r="F31" s="2"/>
      <c r="G31" s="2"/>
      <c r="H31" s="2"/>
      <c r="I31" s="2"/>
      <c r="R31" s="2"/>
      <c r="S31" s="2"/>
    </row>
    <row r="32" spans="1:19" x14ac:dyDescent="0.25">
      <c r="A32" s="2"/>
      <c r="B32" s="2"/>
      <c r="C32" s="2"/>
      <c r="D32" s="2"/>
      <c r="E32" s="2"/>
      <c r="F32" s="2"/>
      <c r="G32" s="2"/>
      <c r="H32" s="2"/>
      <c r="I32" s="2"/>
      <c r="R32" s="2"/>
      <c r="S32" s="2"/>
    </row>
    <row r="33" spans="1:19" x14ac:dyDescent="0.25">
      <c r="A33" s="2"/>
      <c r="B33" s="2"/>
      <c r="C33" s="2"/>
      <c r="D33" s="2"/>
      <c r="E33" s="2"/>
      <c r="F33" s="2"/>
      <c r="G33" s="2"/>
      <c r="H33" s="2"/>
      <c r="I33" s="2"/>
      <c r="R33" s="2"/>
      <c r="S33" s="2"/>
    </row>
    <row r="34" spans="1:19" x14ac:dyDescent="0.25">
      <c r="A34" s="2"/>
      <c r="B34" s="2"/>
      <c r="C34" s="2"/>
      <c r="D34" s="2"/>
      <c r="E34" s="2"/>
      <c r="F34" s="2"/>
      <c r="G34" s="2"/>
      <c r="H34" s="2"/>
      <c r="I34" s="2"/>
      <c r="R34" s="2"/>
      <c r="S34" s="2"/>
    </row>
  </sheetData>
  <sheetProtection password="B056" sheet="1" objects="1" scenarios="1"/>
  <mergeCells count="4">
    <mergeCell ref="A23:B23"/>
    <mergeCell ref="A18:G18"/>
    <mergeCell ref="A3:B3"/>
    <mergeCell ref="A7:C7"/>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G9" sqref="G9"/>
    </sheetView>
  </sheetViews>
  <sheetFormatPr defaultRowHeight="15" x14ac:dyDescent="0.25"/>
  <cols>
    <col min="1" max="1" width="26.85546875" style="52" bestFit="1" customWidth="1"/>
    <col min="2" max="2" width="21.7109375" style="52" customWidth="1"/>
    <col min="3" max="3" width="19.7109375" style="52" customWidth="1"/>
    <col min="4" max="4" width="15.7109375" style="52" bestFit="1" customWidth="1"/>
    <col min="5" max="6" width="19.7109375" style="52" bestFit="1" customWidth="1"/>
    <col min="7" max="7" width="16.85546875" style="52" bestFit="1" customWidth="1"/>
    <col min="8" max="10" width="12.28515625" style="52" customWidth="1"/>
    <col min="11" max="16384" width="9.140625" style="52"/>
  </cols>
  <sheetData>
    <row r="1" spans="1:12" x14ac:dyDescent="0.25">
      <c r="A1" s="2" t="s">
        <v>150</v>
      </c>
      <c r="B1" s="51"/>
      <c r="C1" s="51"/>
      <c r="D1" s="51"/>
      <c r="E1" s="51"/>
      <c r="F1" s="51"/>
      <c r="G1" s="51"/>
      <c r="H1" s="51"/>
      <c r="I1" s="51"/>
      <c r="J1" s="51"/>
      <c r="K1" s="51"/>
      <c r="L1" s="51"/>
    </row>
    <row r="2" spans="1:12" x14ac:dyDescent="0.25">
      <c r="A2" s="51"/>
      <c r="B2" s="51"/>
      <c r="C2" s="51"/>
      <c r="D2" s="51"/>
      <c r="E2" s="51"/>
      <c r="F2" s="51"/>
      <c r="G2" s="51"/>
      <c r="H2" s="51"/>
      <c r="I2" s="51"/>
      <c r="J2" s="51"/>
      <c r="K2" s="51"/>
      <c r="L2" s="51"/>
    </row>
    <row r="3" spans="1:12" ht="21.75" customHeight="1" x14ac:dyDescent="0.25">
      <c r="A3" s="94" t="s">
        <v>0</v>
      </c>
      <c r="B3" s="94" t="s">
        <v>157</v>
      </c>
      <c r="C3" s="94" t="s">
        <v>158</v>
      </c>
      <c r="D3" s="94" t="s">
        <v>126</v>
      </c>
      <c r="E3" s="94" t="s">
        <v>127</v>
      </c>
      <c r="F3" s="94" t="s">
        <v>128</v>
      </c>
      <c r="G3" s="94" t="s">
        <v>152</v>
      </c>
      <c r="H3" s="96" t="s">
        <v>129</v>
      </c>
      <c r="I3" s="97"/>
      <c r="J3" s="97"/>
      <c r="K3" s="51"/>
      <c r="L3" s="51"/>
    </row>
    <row r="4" spans="1:12" ht="19.5" customHeight="1" x14ac:dyDescent="0.25">
      <c r="A4" s="95"/>
      <c r="B4" s="95"/>
      <c r="C4" s="95"/>
      <c r="D4" s="95"/>
      <c r="E4" s="95"/>
      <c r="F4" s="95"/>
      <c r="G4" s="95"/>
      <c r="H4" s="46" t="s">
        <v>66</v>
      </c>
      <c r="I4" s="46" t="s">
        <v>168</v>
      </c>
      <c r="J4" s="46" t="s">
        <v>169</v>
      </c>
      <c r="K4" s="51"/>
      <c r="L4" s="51"/>
    </row>
    <row r="5" spans="1:12" x14ac:dyDescent="0.25">
      <c r="A5" s="51" t="s">
        <v>165</v>
      </c>
      <c r="B5" s="51">
        <v>-20.373065</v>
      </c>
      <c r="C5" s="51">
        <v>-40.441954000000003</v>
      </c>
      <c r="D5" s="51" t="s">
        <v>120</v>
      </c>
      <c r="E5" s="51">
        <f>Dados!C9*60</f>
        <v>1842</v>
      </c>
      <c r="F5" s="33">
        <f>(E5)*(273.15/(Dados!B9+273.15))</f>
        <v>1632.7837092325167</v>
      </c>
      <c r="G5" s="51">
        <v>50</v>
      </c>
      <c r="H5" s="6">
        <f>F5*G5/1000000</f>
        <v>8.1639185461625838E-2</v>
      </c>
      <c r="I5" s="6">
        <f>H5*0.85</f>
        <v>6.9393307642381954E-2</v>
      </c>
      <c r="J5" s="6">
        <f>H5*0.3</f>
        <v>2.4491755638487749E-2</v>
      </c>
      <c r="K5" s="51"/>
      <c r="L5" s="51"/>
    </row>
    <row r="6" spans="1:12" x14ac:dyDescent="0.25">
      <c r="A6" s="98" t="s">
        <v>102</v>
      </c>
      <c r="B6" s="98"/>
      <c r="C6" s="98"/>
      <c r="D6" s="98"/>
      <c r="E6" s="98"/>
      <c r="F6" s="98"/>
      <c r="G6" s="98"/>
      <c r="H6" s="9">
        <f>SUM(H5:H5)</f>
        <v>8.1639185461625838E-2</v>
      </c>
      <c r="I6" s="9">
        <f>SUM(I5:I5)</f>
        <v>6.9393307642381954E-2</v>
      </c>
      <c r="J6" s="9">
        <f>SUM(J5:J5)</f>
        <v>2.4491755638487749E-2</v>
      </c>
      <c r="K6" s="51"/>
      <c r="L6" s="51"/>
    </row>
    <row r="7" spans="1:12" x14ac:dyDescent="0.25">
      <c r="A7" s="51"/>
      <c r="B7" s="51"/>
      <c r="C7" s="51"/>
      <c r="D7" s="51"/>
      <c r="E7" s="51"/>
      <c r="F7" s="51"/>
      <c r="G7" s="51"/>
      <c r="H7" s="51"/>
      <c r="I7" s="51"/>
      <c r="J7" s="51"/>
      <c r="K7" s="51"/>
      <c r="L7" s="51"/>
    </row>
    <row r="8" spans="1:12" x14ac:dyDescent="0.25">
      <c r="A8" s="51"/>
      <c r="B8" s="51"/>
      <c r="C8" s="51"/>
      <c r="D8" s="51"/>
      <c r="E8" s="51"/>
      <c r="F8" s="51"/>
      <c r="G8" s="51"/>
      <c r="H8" s="51"/>
      <c r="I8" s="51"/>
      <c r="J8" s="51"/>
      <c r="K8" s="51"/>
      <c r="L8" s="51"/>
    </row>
    <row r="9" spans="1:12" x14ac:dyDescent="0.25">
      <c r="A9" s="51"/>
      <c r="B9" s="51"/>
      <c r="C9" s="51"/>
      <c r="D9" s="51"/>
      <c r="E9" s="51"/>
      <c r="F9" s="51"/>
      <c r="G9" s="51"/>
      <c r="H9" s="51"/>
      <c r="I9" s="51"/>
      <c r="J9" s="51"/>
      <c r="K9" s="51"/>
      <c r="L9" s="51"/>
    </row>
  </sheetData>
  <sheetProtection password="B056" sheet="1" objects="1" scenarios="1"/>
  <mergeCells count="9">
    <mergeCell ref="G3:G4"/>
    <mergeCell ref="H3:J3"/>
    <mergeCell ref="A6:G6"/>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5"/>
  <sheetViews>
    <sheetView zoomScaleNormal="100" workbookViewId="0">
      <selection activeCell="E14" sqref="E14"/>
    </sheetView>
  </sheetViews>
  <sheetFormatPr defaultRowHeight="15" customHeight="1" x14ac:dyDescent="0.25"/>
  <cols>
    <col min="1" max="1" width="36.7109375" style="2" customWidth="1"/>
    <col min="2" max="2" width="13.7109375" style="2" customWidth="1"/>
    <col min="3" max="3" width="42.28515625" style="2" customWidth="1"/>
    <col min="4" max="7" width="13.7109375" style="2" customWidth="1"/>
    <col min="8" max="12" width="12.7109375" style="2" customWidth="1"/>
    <col min="13" max="18" width="8.7109375" style="2" customWidth="1"/>
    <col min="19" max="19" width="10.42578125" style="2" bestFit="1" customWidth="1"/>
    <col min="20" max="16384" width="9.140625" style="2"/>
  </cols>
  <sheetData>
    <row r="1" spans="1:19" ht="15" customHeight="1" x14ac:dyDescent="0.25">
      <c r="A1" s="3" t="s">
        <v>150</v>
      </c>
      <c r="B1" s="52"/>
      <c r="C1" s="52"/>
    </row>
    <row r="2" spans="1:19" ht="15" customHeight="1" x14ac:dyDescent="0.25">
      <c r="A2" s="2" t="s">
        <v>156</v>
      </c>
      <c r="B2" s="51">
        <v>1.3407</v>
      </c>
    </row>
    <row r="5" spans="1:19" ht="15" customHeight="1" x14ac:dyDescent="0.25">
      <c r="A5" s="99" t="s">
        <v>0</v>
      </c>
      <c r="B5" s="99" t="s">
        <v>37</v>
      </c>
      <c r="C5" s="99" t="s">
        <v>38</v>
      </c>
      <c r="D5" s="103" t="s">
        <v>174</v>
      </c>
      <c r="E5" s="103" t="s">
        <v>175</v>
      </c>
      <c r="F5" s="99" t="s">
        <v>36</v>
      </c>
      <c r="G5" s="99" t="s">
        <v>39</v>
      </c>
      <c r="H5" s="101" t="s">
        <v>153</v>
      </c>
      <c r="I5" s="102"/>
      <c r="J5" s="102"/>
      <c r="K5" s="102"/>
      <c r="L5" s="104"/>
      <c r="M5" s="101" t="s">
        <v>1</v>
      </c>
      <c r="N5" s="102"/>
      <c r="O5" s="102"/>
      <c r="P5" s="102"/>
      <c r="Q5" s="102"/>
      <c r="R5" s="102"/>
      <c r="S5" s="102"/>
    </row>
    <row r="6" spans="1:19" ht="15" customHeight="1" x14ac:dyDescent="0.25">
      <c r="A6" s="100"/>
      <c r="B6" s="100"/>
      <c r="C6" s="100"/>
      <c r="D6" s="103"/>
      <c r="E6" s="103"/>
      <c r="F6" s="100"/>
      <c r="G6" s="100"/>
      <c r="H6" s="4" t="s">
        <v>2</v>
      </c>
      <c r="I6" s="4" t="s">
        <v>5</v>
      </c>
      <c r="J6" s="4" t="s">
        <v>6</v>
      </c>
      <c r="K6" s="4" t="s">
        <v>4</v>
      </c>
      <c r="L6" s="4" t="s">
        <v>171</v>
      </c>
      <c r="M6" s="4" t="s">
        <v>2</v>
      </c>
      <c r="N6" s="4" t="s">
        <v>3</v>
      </c>
      <c r="O6" s="4" t="s">
        <v>40</v>
      </c>
      <c r="P6" s="4" t="s">
        <v>5</v>
      </c>
      <c r="Q6" s="4" t="s">
        <v>6</v>
      </c>
      <c r="R6" s="4" t="s">
        <v>4</v>
      </c>
      <c r="S6" s="4" t="s">
        <v>171</v>
      </c>
    </row>
    <row r="7" spans="1:19" ht="15" customHeight="1" x14ac:dyDescent="0.25">
      <c r="A7" s="7" t="str">
        <f>Dados!B20</f>
        <v>Pá Carregadeira</v>
      </c>
      <c r="B7" s="27">
        <f>Dados!E20*B2</f>
        <v>130.0479</v>
      </c>
      <c r="C7" s="51" t="s">
        <v>55</v>
      </c>
      <c r="D7" s="51">
        <v>-20.373093000000001</v>
      </c>
      <c r="E7" s="58">
        <v>-40.442233999999999</v>
      </c>
      <c r="F7" s="51">
        <f>Dados!D20</f>
        <v>1</v>
      </c>
      <c r="G7" s="27">
        <f>Dados!F20</f>
        <v>4</v>
      </c>
      <c r="H7" s="6">
        <f>(INDEX(FE_Maq_Equip,MATCH($C7,Pot_Equip,0),2))</f>
        <v>3.4873730864910753E-2</v>
      </c>
      <c r="I7" s="6">
        <f>(INDEX(FE_Maq_Equip,MATCH($C7,Pot_Equip,0),3))</f>
        <v>0.62819014565488085</v>
      </c>
      <c r="J7" s="6">
        <f>(INDEX(FE_Maq_Equip,MATCH($C7,Pot_Equip,0),4))</f>
        <v>5.4259968788077681E-4</v>
      </c>
      <c r="K7" s="6">
        <f>(INDEX(FE_Maq_Equip,MATCH($C7,Pot_Equip,0),5))</f>
        <v>0.29143683660988179</v>
      </c>
      <c r="L7" s="6">
        <f>(INDEX(FE_Maq_Equip,MATCH($C7,Pot_Equip,0),6))</f>
        <v>7.9806989940830519E-2</v>
      </c>
      <c r="M7" s="6">
        <f>H7*F7*G7/24</f>
        <v>5.8122884774851257E-3</v>
      </c>
      <c r="N7" s="6">
        <f>M7</f>
        <v>5.8122884774851257E-3</v>
      </c>
      <c r="O7" s="6">
        <f>M7</f>
        <v>5.8122884774851257E-3</v>
      </c>
      <c r="P7" s="6">
        <f>I7*$F$7*$G$7/24</f>
        <v>0.10469835760914681</v>
      </c>
      <c r="Q7" s="6">
        <f t="shared" ref="Q7:S7" si="0">J7*$F$7*$G$7/24</f>
        <v>9.0433281313462806E-5</v>
      </c>
      <c r="R7" s="6">
        <f t="shared" si="0"/>
        <v>4.8572806101646965E-2</v>
      </c>
      <c r="S7" s="6">
        <f t="shared" si="0"/>
        <v>1.330116499013842E-2</v>
      </c>
    </row>
    <row r="8" spans="1:19" ht="15" customHeight="1" x14ac:dyDescent="0.25">
      <c r="A8" s="98" t="s">
        <v>102</v>
      </c>
      <c r="B8" s="98"/>
      <c r="C8" s="98"/>
      <c r="D8" s="98"/>
      <c r="E8" s="98"/>
      <c r="F8" s="98"/>
      <c r="G8" s="98"/>
      <c r="H8" s="98"/>
      <c r="I8" s="98"/>
      <c r="J8" s="98"/>
      <c r="K8" s="98"/>
      <c r="L8" s="98"/>
      <c r="M8" s="9">
        <f t="shared" ref="M8:S8" si="1">SUM(M7:M7)</f>
        <v>5.8122884774851257E-3</v>
      </c>
      <c r="N8" s="9">
        <f>SUM(N7:N7)</f>
        <v>5.8122884774851257E-3</v>
      </c>
      <c r="O8" s="9">
        <f t="shared" si="1"/>
        <v>5.8122884774851257E-3</v>
      </c>
      <c r="P8" s="12">
        <f t="shared" si="1"/>
        <v>0.10469835760914681</v>
      </c>
      <c r="Q8" s="38">
        <f t="shared" si="1"/>
        <v>9.0433281313462806E-5</v>
      </c>
      <c r="R8" s="9">
        <f t="shared" si="1"/>
        <v>4.8572806101646965E-2</v>
      </c>
      <c r="S8" s="9">
        <f t="shared" si="1"/>
        <v>1.330116499013842E-2</v>
      </c>
    </row>
    <row r="9" spans="1:19" ht="15" customHeight="1" x14ac:dyDescent="0.25">
      <c r="M9" s="11"/>
      <c r="N9" s="11"/>
      <c r="O9" s="11"/>
      <c r="P9" s="11"/>
      <c r="Q9" s="33"/>
      <c r="R9" s="11"/>
      <c r="S9" s="11"/>
    </row>
    <row r="10" spans="1:19" ht="15" customHeight="1" x14ac:dyDescent="0.25">
      <c r="M10" s="13"/>
      <c r="N10" s="13"/>
      <c r="O10" s="13"/>
      <c r="P10" s="14"/>
      <c r="Q10" s="14"/>
      <c r="R10" s="14"/>
      <c r="S10" s="14"/>
    </row>
    <row r="11" spans="1:19" ht="15" customHeight="1" x14ac:dyDescent="0.25">
      <c r="P11" s="51"/>
      <c r="R11" s="51"/>
    </row>
    <row r="12" spans="1:19" ht="11.25" x14ac:dyDescent="0.25">
      <c r="A12" s="59"/>
      <c r="D12" s="60"/>
      <c r="E12" s="60"/>
      <c r="G12" s="60"/>
      <c r="H12" s="60"/>
      <c r="I12" s="60"/>
      <c r="J12" s="60"/>
      <c r="K12" s="60"/>
      <c r="L12" s="60"/>
      <c r="M12" s="60"/>
      <c r="N12" s="60"/>
      <c r="O12" s="60"/>
      <c r="P12" s="60"/>
      <c r="Q12" s="60"/>
      <c r="R12" s="60"/>
      <c r="S12" s="60"/>
    </row>
    <row r="13" spans="1:19" ht="15" customHeight="1" x14ac:dyDescent="0.25">
      <c r="D13" s="60"/>
      <c r="E13" s="60"/>
      <c r="G13" s="60"/>
      <c r="H13" s="60"/>
      <c r="I13" s="60"/>
      <c r="J13" s="60"/>
      <c r="K13" s="60"/>
      <c r="L13" s="60"/>
      <c r="M13" s="6"/>
      <c r="N13" s="6"/>
      <c r="O13" s="60"/>
      <c r="P13" s="60"/>
      <c r="Q13" s="60"/>
      <c r="R13" s="60"/>
      <c r="S13" s="60"/>
    </row>
    <row r="14" spans="1:19" ht="15" customHeight="1" x14ac:dyDescent="0.25">
      <c r="A14" s="60"/>
      <c r="M14" s="60"/>
      <c r="N14" s="60"/>
      <c r="O14" s="60"/>
      <c r="P14" s="60"/>
      <c r="Q14" s="60"/>
      <c r="R14" s="60"/>
      <c r="S14" s="60"/>
    </row>
    <row r="15" spans="1:19" ht="15" customHeight="1" x14ac:dyDescent="0.25">
      <c r="D15" s="60"/>
      <c r="E15" s="60"/>
      <c r="G15" s="60"/>
      <c r="H15" s="60"/>
      <c r="I15" s="60"/>
      <c r="J15" s="60"/>
      <c r="K15" s="60"/>
      <c r="L15" s="60"/>
      <c r="M15" s="60"/>
      <c r="N15" s="60"/>
      <c r="O15" s="60"/>
      <c r="P15" s="60"/>
      <c r="Q15" s="60"/>
      <c r="R15" s="60"/>
      <c r="S15" s="60"/>
    </row>
    <row r="16" spans="1:19" ht="15" customHeight="1" x14ac:dyDescent="0.25">
      <c r="D16" s="60"/>
      <c r="E16" s="60"/>
      <c r="G16" s="60"/>
      <c r="H16" s="60"/>
      <c r="I16" s="60"/>
      <c r="J16" s="60"/>
      <c r="K16" s="60"/>
      <c r="L16" s="60"/>
      <c r="M16" s="60"/>
      <c r="N16" s="60"/>
      <c r="O16" s="60"/>
      <c r="P16" s="60"/>
      <c r="Q16" s="60"/>
      <c r="R16" s="60"/>
      <c r="S16" s="60"/>
    </row>
    <row r="17" spans="4:19" ht="15" customHeight="1" x14ac:dyDescent="0.25">
      <c r="D17" s="60"/>
      <c r="E17" s="60"/>
      <c r="G17" s="60"/>
      <c r="H17" s="60"/>
      <c r="I17" s="60"/>
      <c r="J17" s="60"/>
      <c r="K17" s="60"/>
      <c r="L17" s="60"/>
      <c r="M17" s="60"/>
      <c r="N17" s="60"/>
      <c r="O17" s="60"/>
      <c r="P17" s="60"/>
      <c r="Q17" s="60"/>
      <c r="R17" s="60"/>
      <c r="S17" s="60"/>
    </row>
    <row r="18" spans="4:19" ht="15" customHeight="1" x14ac:dyDescent="0.25">
      <c r="D18" s="60"/>
      <c r="E18" s="60"/>
      <c r="G18" s="60"/>
      <c r="H18" s="60"/>
      <c r="I18" s="60"/>
      <c r="J18" s="60"/>
      <c r="K18" s="60"/>
      <c r="L18" s="60"/>
      <c r="M18" s="60"/>
      <c r="N18" s="60"/>
      <c r="O18" s="60"/>
      <c r="P18" s="60"/>
      <c r="Q18" s="60"/>
      <c r="R18" s="60"/>
      <c r="S18" s="60"/>
    </row>
    <row r="19" spans="4:19" ht="15" customHeight="1" x14ac:dyDescent="0.25">
      <c r="D19" s="60"/>
      <c r="E19" s="60"/>
      <c r="G19" s="60"/>
      <c r="H19" s="60"/>
      <c r="I19" s="60"/>
      <c r="J19" s="60"/>
      <c r="K19" s="60"/>
      <c r="L19" s="60"/>
      <c r="M19" s="60"/>
      <c r="N19" s="60"/>
      <c r="O19" s="60"/>
      <c r="P19" s="60"/>
      <c r="Q19" s="60"/>
      <c r="R19" s="60"/>
      <c r="S19" s="60"/>
    </row>
    <row r="20" spans="4:19" ht="15" customHeight="1" x14ac:dyDescent="0.25">
      <c r="D20" s="60"/>
      <c r="E20" s="60"/>
      <c r="G20" s="60"/>
      <c r="H20" s="60"/>
      <c r="I20" s="60"/>
      <c r="J20" s="60"/>
      <c r="K20" s="60"/>
      <c r="L20" s="60"/>
      <c r="M20" s="60"/>
      <c r="N20" s="60"/>
      <c r="O20" s="60"/>
      <c r="P20" s="60"/>
      <c r="Q20" s="60"/>
      <c r="R20" s="60"/>
      <c r="S20" s="60"/>
    </row>
    <row r="21" spans="4:19" ht="15" customHeight="1" x14ac:dyDescent="0.25">
      <c r="D21" s="60"/>
      <c r="E21" s="60"/>
      <c r="G21" s="60"/>
      <c r="H21" s="60"/>
      <c r="I21" s="60"/>
      <c r="J21" s="60"/>
      <c r="K21" s="60"/>
      <c r="L21" s="60"/>
      <c r="M21" s="60"/>
      <c r="N21" s="60"/>
      <c r="O21" s="60"/>
      <c r="P21" s="60"/>
      <c r="Q21" s="60"/>
      <c r="R21" s="60"/>
      <c r="S21" s="60"/>
    </row>
    <row r="22" spans="4:19" ht="15" customHeight="1" x14ac:dyDescent="0.25">
      <c r="D22" s="60"/>
      <c r="E22" s="60"/>
      <c r="G22" s="60"/>
      <c r="H22" s="60"/>
      <c r="I22" s="60"/>
      <c r="J22" s="60"/>
      <c r="K22" s="60"/>
      <c r="L22" s="60"/>
      <c r="M22" s="60"/>
      <c r="N22" s="60"/>
      <c r="O22" s="60"/>
      <c r="P22" s="60"/>
      <c r="Q22" s="60"/>
      <c r="R22" s="60"/>
      <c r="S22" s="60"/>
    </row>
    <row r="23" spans="4:19" ht="15" customHeight="1" x14ac:dyDescent="0.25">
      <c r="D23" s="60"/>
      <c r="E23" s="60"/>
      <c r="G23" s="60"/>
      <c r="H23" s="60"/>
      <c r="I23" s="60"/>
      <c r="J23" s="60"/>
      <c r="K23" s="60"/>
      <c r="L23" s="60"/>
      <c r="M23" s="60"/>
      <c r="N23" s="60"/>
      <c r="O23" s="60"/>
      <c r="P23" s="60"/>
      <c r="Q23" s="60"/>
      <c r="R23" s="60"/>
      <c r="S23" s="60"/>
    </row>
    <row r="24" spans="4:19" ht="15" customHeight="1" x14ac:dyDescent="0.25">
      <c r="D24" s="60"/>
      <c r="E24" s="60"/>
      <c r="F24" s="61"/>
      <c r="G24" s="60"/>
      <c r="H24" s="60"/>
      <c r="I24" s="60"/>
      <c r="J24" s="60"/>
      <c r="K24" s="60"/>
      <c r="L24" s="60"/>
      <c r="M24" s="60"/>
      <c r="N24" s="60"/>
      <c r="O24" s="60"/>
      <c r="P24" s="60"/>
      <c r="Q24" s="60"/>
      <c r="R24" s="60"/>
      <c r="S24" s="60"/>
    </row>
    <row r="25" spans="4:19" ht="15" customHeight="1" x14ac:dyDescent="0.25">
      <c r="M25" s="11"/>
      <c r="N25" s="11"/>
      <c r="O25" s="11"/>
      <c r="P25" s="11"/>
      <c r="Q25" s="11"/>
      <c r="R25" s="11"/>
      <c r="S25" s="11"/>
    </row>
  </sheetData>
  <sheetProtection password="B056" sheet="1" objects="1" scenarios="1"/>
  <mergeCells count="10">
    <mergeCell ref="A8:L8"/>
    <mergeCell ref="G5:G6"/>
    <mergeCell ref="M5:S5"/>
    <mergeCell ref="A5:A6"/>
    <mergeCell ref="B5:B6"/>
    <mergeCell ref="C5:C6"/>
    <mergeCell ref="D5:D6"/>
    <mergeCell ref="E5:E6"/>
    <mergeCell ref="F5:F6"/>
    <mergeCell ref="H5:L5"/>
  </mergeCells>
  <pageMargins left="0.511811024" right="0.511811024" top="0.78740157499999996" bottom="0.78740157499999996" header="0.31496062000000002" footer="0.31496062000000002"/>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'FE-Maq e Equip'!$B$4:$B$11</xm:f>
          </x14:formula1>
          <xm:sqref>C7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5"/>
  <sheetViews>
    <sheetView zoomScaleNormal="100" workbookViewId="0">
      <selection activeCell="E7" sqref="E7"/>
    </sheetView>
  </sheetViews>
  <sheetFormatPr defaultRowHeight="15" customHeight="1" x14ac:dyDescent="0.25"/>
  <cols>
    <col min="1" max="1" width="42.5703125" style="2" customWidth="1"/>
    <col min="2" max="3" width="18.28515625" style="2" customWidth="1"/>
    <col min="4" max="5" width="18" style="2" customWidth="1"/>
    <col min="6" max="6" width="18" style="51" customWidth="1"/>
    <col min="7" max="8" width="15.7109375" style="2" customWidth="1"/>
    <col min="9" max="12" width="9.140625" style="51"/>
    <col min="13" max="16384" width="9.140625" style="2"/>
  </cols>
  <sheetData>
    <row r="1" spans="1:15" ht="15" customHeight="1" x14ac:dyDescent="0.25">
      <c r="A1" s="26" t="s">
        <v>130</v>
      </c>
      <c r="B1" s="19" t="s">
        <v>60</v>
      </c>
      <c r="C1" s="19"/>
    </row>
    <row r="2" spans="1:15" ht="15" customHeight="1" x14ac:dyDescent="0.25">
      <c r="A2" s="2" t="s">
        <v>118</v>
      </c>
      <c r="B2" s="33">
        <f>Dados!B4/(365*24)</f>
        <v>0.23378995433789954</v>
      </c>
      <c r="C2" s="27"/>
    </row>
    <row r="3" spans="1:15" ht="15" customHeight="1" x14ac:dyDescent="0.25">
      <c r="A3" s="2" t="s">
        <v>107</v>
      </c>
      <c r="B3" s="10">
        <f>Dados!B5/(365*24)</f>
        <v>0.2728310502283105</v>
      </c>
      <c r="C3" s="27"/>
    </row>
    <row r="4" spans="1:15" ht="15" customHeight="1" x14ac:dyDescent="0.25">
      <c r="A4" s="2" t="s">
        <v>95</v>
      </c>
      <c r="B4" s="28">
        <v>4.2</v>
      </c>
      <c r="C4" s="27"/>
    </row>
    <row r="5" spans="1:15" ht="15" customHeight="1" x14ac:dyDescent="0.25">
      <c r="A5" s="52"/>
      <c r="B5" s="34"/>
      <c r="C5" s="28"/>
    </row>
    <row r="7" spans="1:15" ht="15" customHeight="1" x14ac:dyDescent="0.25">
      <c r="A7" s="26" t="s">
        <v>150</v>
      </c>
    </row>
    <row r="8" spans="1:15" ht="15" customHeight="1" x14ac:dyDescent="0.25">
      <c r="A8" s="99" t="s">
        <v>0</v>
      </c>
      <c r="B8" s="108" t="s">
        <v>73</v>
      </c>
      <c r="C8" s="109" t="s">
        <v>96</v>
      </c>
      <c r="D8" s="106" t="s">
        <v>97</v>
      </c>
      <c r="E8" s="106" t="s">
        <v>98</v>
      </c>
      <c r="F8" s="106" t="s">
        <v>99</v>
      </c>
      <c r="G8" s="103" t="s">
        <v>174</v>
      </c>
      <c r="H8" s="103" t="s">
        <v>175</v>
      </c>
      <c r="I8" s="103" t="s">
        <v>176</v>
      </c>
      <c r="J8" s="105" t="s">
        <v>100</v>
      </c>
      <c r="K8" s="97"/>
      <c r="L8" s="97"/>
      <c r="M8" s="105" t="s">
        <v>1</v>
      </c>
      <c r="N8" s="97"/>
      <c r="O8" s="97"/>
    </row>
    <row r="9" spans="1:15" ht="15" customHeight="1" x14ac:dyDescent="0.25">
      <c r="A9" s="100"/>
      <c r="B9" s="108"/>
      <c r="C9" s="109"/>
      <c r="D9" s="107"/>
      <c r="E9" s="107"/>
      <c r="F9" s="107"/>
      <c r="G9" s="103"/>
      <c r="H9" s="103"/>
      <c r="I9" s="103"/>
      <c r="J9" s="50" t="s">
        <v>2</v>
      </c>
      <c r="K9" s="50" t="s">
        <v>3</v>
      </c>
      <c r="L9" s="50" t="s">
        <v>101</v>
      </c>
      <c r="M9" s="50" t="s">
        <v>2</v>
      </c>
      <c r="N9" s="50" t="s">
        <v>3</v>
      </c>
      <c r="O9" s="50" t="s">
        <v>101</v>
      </c>
    </row>
    <row r="10" spans="1:15" s="3" customFormat="1" ht="15" customHeight="1" x14ac:dyDescent="0.25">
      <c r="A10" s="29" t="s">
        <v>119</v>
      </c>
      <c r="B10" s="7" t="s">
        <v>103</v>
      </c>
      <c r="C10" s="32">
        <f>'FE-Transferências'!$L$5</f>
        <v>7.4</v>
      </c>
      <c r="D10" s="7" t="s">
        <v>117</v>
      </c>
      <c r="E10" s="7">
        <v>50</v>
      </c>
      <c r="F10" s="37">
        <f>B2</f>
        <v>0.23378995433789954</v>
      </c>
      <c r="G10" s="7">
        <v>-20.373142999999999</v>
      </c>
      <c r="H10" s="7">
        <v>-40.442205999999999</v>
      </c>
      <c r="I10" s="7">
        <v>5</v>
      </c>
      <c r="J10" s="30">
        <f>'FE-Transferências'!$A$4*0.0016*((($B$4/2.2)^1.3)/($C$10/2)^1.4)</f>
        <v>4.3948482222233288E-4</v>
      </c>
      <c r="K10" s="30">
        <f>'FE-Transferências'!$C$4*0.0016*((($B$4/2.2)^1.3)/($C$10/2)^1.4)</f>
        <v>2.0786444294299528E-4</v>
      </c>
      <c r="L10" s="30">
        <f>'FE-Transferências'!$E$4*0.0016*((($B$4/2.2)^1.3)/($C$10/2)^1.4)</f>
        <v>3.1476615645653572E-5</v>
      </c>
      <c r="M10" s="31">
        <f t="shared" ref="M10:M11" si="0">F10*J10*(1-E10/100)</f>
        <v>5.1373568259779548E-5</v>
      </c>
      <c r="N10" s="31">
        <f t="shared" ref="N10:N11" si="1">F10*K10*(1-E10/100)</f>
        <v>2.4298309312057897E-5</v>
      </c>
      <c r="O10" s="31">
        <f t="shared" ref="O10:O11" si="2">F10*L10*(1-E10/100)</f>
        <v>3.6794582672544813E-6</v>
      </c>
    </row>
    <row r="11" spans="1:15" s="3" customFormat="1" ht="15" customHeight="1" x14ac:dyDescent="0.25">
      <c r="A11" s="53" t="s">
        <v>112</v>
      </c>
      <c r="B11" s="51" t="s">
        <v>104</v>
      </c>
      <c r="C11" s="51">
        <v>1</v>
      </c>
      <c r="D11" s="7" t="s">
        <v>117</v>
      </c>
      <c r="E11" s="7">
        <v>50</v>
      </c>
      <c r="F11" s="10">
        <f>B3</f>
        <v>0.2728310502283105</v>
      </c>
      <c r="G11" s="7">
        <v>-20.373142999999999</v>
      </c>
      <c r="H11" s="7">
        <v>-40.442205999999999</v>
      </c>
      <c r="I11" s="7">
        <v>5</v>
      </c>
      <c r="J11" s="30">
        <f>'FE-Transferências'!$A$4*0.0016*((($B$4/2.2)^1.3)/($C$10/2)^1.4)</f>
        <v>4.3948482222233288E-4</v>
      </c>
      <c r="K11" s="30">
        <f>'FE-Transferências'!$C$4*0.0016*((($B$4/2.2)^1.3)/($C$10/2)^1.4)</f>
        <v>2.0786444294299528E-4</v>
      </c>
      <c r="L11" s="30">
        <f>'FE-Transferências'!$E$4*0.0016*((($B$4/2.2)^1.3)/($C$10/2)^1.4)</f>
        <v>3.1476615645653572E-5</v>
      </c>
      <c r="M11" s="31">
        <f t="shared" si="0"/>
        <v>5.9952552803160708E-5</v>
      </c>
      <c r="N11" s="31">
        <f t="shared" si="1"/>
        <v>2.8355937136630065E-5</v>
      </c>
      <c r="O11" s="31">
        <f t="shared" si="2"/>
        <v>4.293899052118267E-6</v>
      </c>
    </row>
    <row r="12" spans="1:15" s="3" customFormat="1" ht="15" customHeight="1" x14ac:dyDescent="0.25">
      <c r="A12" s="53" t="s">
        <v>131</v>
      </c>
      <c r="B12" s="51" t="s">
        <v>103</v>
      </c>
      <c r="C12" s="32">
        <f>'FE-Transferências'!$L$5</f>
        <v>7.4</v>
      </c>
      <c r="D12" s="51" t="s">
        <v>108</v>
      </c>
      <c r="E12" s="51">
        <v>70</v>
      </c>
      <c r="F12" s="27">
        <f>B2</f>
        <v>0.23378995433789954</v>
      </c>
      <c r="G12" s="7">
        <v>-20.373142999999999</v>
      </c>
      <c r="H12" s="7">
        <v>-40.442205999999999</v>
      </c>
      <c r="I12" s="7">
        <v>10</v>
      </c>
      <c r="J12" s="30">
        <f>'FE-Transferências'!$A$4*0.0016*((($B$4/2.2)^1.3)/($C$10/2)^1.4)</f>
        <v>4.3948482222233288E-4</v>
      </c>
      <c r="K12" s="30">
        <f>'FE-Transferências'!$C$4*0.0016*((($B$4/2.2)^1.3)/($C$10/2)^1.4)</f>
        <v>2.0786444294299528E-4</v>
      </c>
      <c r="L12" s="30">
        <f>'FE-Transferências'!$E$4*0.0016*((($B$4/2.2)^1.3)/($C$10/2)^1.4)</f>
        <v>3.1476615645653572E-5</v>
      </c>
      <c r="M12" s="31">
        <f t="shared" ref="M12:M13" si="3">F12*J12*(1-E12/100)</f>
        <v>3.0824140955867734E-5</v>
      </c>
      <c r="N12" s="31">
        <f t="shared" ref="N12:N15" si="4">F12*K12*(1-E12/100)</f>
        <v>1.457898558723474E-5</v>
      </c>
      <c r="O12" s="31">
        <f t="shared" ref="O12:O15" si="5">F12*L12*(1-E12/100)</f>
        <v>2.2076749603526891E-6</v>
      </c>
    </row>
    <row r="13" spans="1:15" s="3" customFormat="1" ht="15" customHeight="1" x14ac:dyDescent="0.25">
      <c r="A13" s="53" t="s">
        <v>132</v>
      </c>
      <c r="B13" s="51" t="s">
        <v>104</v>
      </c>
      <c r="C13" s="51">
        <v>1</v>
      </c>
      <c r="D13" s="51" t="s">
        <v>108</v>
      </c>
      <c r="E13" s="51">
        <v>70</v>
      </c>
      <c r="F13" s="10">
        <f>B3</f>
        <v>0.2728310502283105</v>
      </c>
      <c r="G13" s="7">
        <v>-20.373142999999999</v>
      </c>
      <c r="H13" s="7">
        <v>-40.442205999999999</v>
      </c>
      <c r="I13" s="7">
        <v>10</v>
      </c>
      <c r="J13" s="30">
        <f>'FE-Transferências'!$A$4*0.0016*((($B$4/2.2)^1.3)/($C$10/2)^1.4)</f>
        <v>4.3948482222233288E-4</v>
      </c>
      <c r="K13" s="30">
        <f>'FE-Transferências'!$C$4*0.0016*((($B$4/2.2)^1.3)/($C$10/2)^1.4)</f>
        <v>2.0786444294299528E-4</v>
      </c>
      <c r="L13" s="30">
        <f>'FE-Transferências'!$E$4*0.0016*((($B$4/2.2)^1.3)/($C$10/2)^1.4)</f>
        <v>3.1476615645653572E-5</v>
      </c>
      <c r="M13" s="31">
        <f t="shared" si="3"/>
        <v>3.5971531681896431E-5</v>
      </c>
      <c r="N13" s="31">
        <f t="shared" si="4"/>
        <v>1.7013562281978043E-5</v>
      </c>
      <c r="O13" s="31">
        <f t="shared" si="5"/>
        <v>2.5763394312709605E-6</v>
      </c>
    </row>
    <row r="14" spans="1:15" s="3" customFormat="1" ht="15" customHeight="1" x14ac:dyDescent="0.25">
      <c r="A14" s="53" t="s">
        <v>133</v>
      </c>
      <c r="B14" s="7" t="s">
        <v>103</v>
      </c>
      <c r="C14" s="32">
        <f>'FE-Transferências'!$L$5</f>
        <v>7.4</v>
      </c>
      <c r="D14" s="51" t="s">
        <v>108</v>
      </c>
      <c r="E14" s="51">
        <v>70</v>
      </c>
      <c r="F14" s="27">
        <f>B2</f>
        <v>0.23378995433789954</v>
      </c>
      <c r="G14" s="7">
        <v>-20.373142999999999</v>
      </c>
      <c r="H14" s="7">
        <v>-40.442205999999999</v>
      </c>
      <c r="I14" s="7">
        <v>5</v>
      </c>
      <c r="J14" s="30">
        <f>'FE-Transferências'!$A$4*0.0016*((($B$4/2.2)^1.3)/($C$10/2)^1.4)</f>
        <v>4.3948482222233288E-4</v>
      </c>
      <c r="K14" s="30">
        <f>'FE-Transferências'!$C$4*0.0016*((($B$4/2.2)^1.3)/($C$10/2)^1.4)</f>
        <v>2.0786444294299528E-4</v>
      </c>
      <c r="L14" s="30">
        <f>'FE-Transferências'!$E$4*0.0016*((($B$4/2.2)^1.3)/($C$10/2)^1.4)</f>
        <v>3.1476615645653572E-5</v>
      </c>
      <c r="M14" s="31">
        <f t="shared" ref="M14:M15" si="6">F14*J14*(1-E14/100)</f>
        <v>3.0824140955867734E-5</v>
      </c>
      <c r="N14" s="31">
        <f t="shared" si="4"/>
        <v>1.457898558723474E-5</v>
      </c>
      <c r="O14" s="31">
        <f t="shared" si="5"/>
        <v>2.2076749603526891E-6</v>
      </c>
    </row>
    <row r="15" spans="1:15" s="3" customFormat="1" ht="15" customHeight="1" x14ac:dyDescent="0.25">
      <c r="A15" s="53" t="s">
        <v>134</v>
      </c>
      <c r="B15" s="51" t="s">
        <v>104</v>
      </c>
      <c r="C15" s="51">
        <v>1</v>
      </c>
      <c r="D15" s="51" t="s">
        <v>108</v>
      </c>
      <c r="E15" s="51">
        <v>70</v>
      </c>
      <c r="F15" s="10">
        <f>B3</f>
        <v>0.2728310502283105</v>
      </c>
      <c r="G15" s="7">
        <v>-20.373142999999999</v>
      </c>
      <c r="H15" s="7">
        <v>-40.442205999999999</v>
      </c>
      <c r="I15" s="7">
        <v>5</v>
      </c>
      <c r="J15" s="30">
        <f>'FE-Transferências'!$A$4*0.0016*((($B$4/2.2)^1.3)/($C$10/2)^1.4)</f>
        <v>4.3948482222233288E-4</v>
      </c>
      <c r="K15" s="30">
        <f>'FE-Transferências'!$C$4*0.0016*((($B$4/2.2)^1.3)/($C$10/2)^1.4)</f>
        <v>2.0786444294299528E-4</v>
      </c>
      <c r="L15" s="30">
        <f>'FE-Transferências'!$E$4*0.0016*((($B$4/2.2)^1.3)/($C$10/2)^1.4)</f>
        <v>3.1476615645653572E-5</v>
      </c>
      <c r="M15" s="31">
        <f t="shared" si="6"/>
        <v>3.5971531681896431E-5</v>
      </c>
      <c r="N15" s="31">
        <f t="shared" si="4"/>
        <v>1.7013562281978043E-5</v>
      </c>
      <c r="O15" s="31">
        <f t="shared" si="5"/>
        <v>2.5763394312709605E-6</v>
      </c>
    </row>
    <row r="16" spans="1:15" ht="15" customHeight="1" x14ac:dyDescent="0.25">
      <c r="A16" s="98" t="s">
        <v>102</v>
      </c>
      <c r="B16" s="98"/>
      <c r="C16" s="98"/>
      <c r="D16" s="98"/>
      <c r="E16" s="98"/>
      <c r="F16" s="98"/>
      <c r="G16" s="98"/>
      <c r="H16" s="98"/>
      <c r="I16" s="98"/>
      <c r="J16" s="98"/>
      <c r="K16" s="98"/>
      <c r="L16" s="98"/>
      <c r="M16" s="38">
        <f>SUM(M10:M15)</f>
        <v>2.4491746633846859E-4</v>
      </c>
      <c r="N16" s="38">
        <f>SUM(N10:N15)</f>
        <v>1.1583934218711352E-4</v>
      </c>
      <c r="O16" s="38">
        <f>SUM(O10:O15)</f>
        <v>1.7541386102620047E-5</v>
      </c>
    </row>
    <row r="17" spans="1:10" ht="15" customHeight="1" x14ac:dyDescent="0.25">
      <c r="A17" s="2" t="s">
        <v>166</v>
      </c>
    </row>
    <row r="18" spans="1:10" ht="15" customHeight="1" x14ac:dyDescent="0.25">
      <c r="A18" s="47" t="s">
        <v>172</v>
      </c>
      <c r="J18" s="39"/>
    </row>
    <row r="19" spans="1:10" ht="15" customHeight="1" x14ac:dyDescent="0.25">
      <c r="A19" s="2" t="s">
        <v>173</v>
      </c>
    </row>
    <row r="23" spans="1:10" ht="15" customHeight="1" x14ac:dyDescent="0.25">
      <c r="A23" s="52"/>
      <c r="B23" s="52"/>
      <c r="C23" s="52"/>
    </row>
    <row r="24" spans="1:10" ht="15" customHeight="1" x14ac:dyDescent="0.25">
      <c r="A24" s="52"/>
      <c r="B24" s="52"/>
      <c r="C24" s="52"/>
    </row>
    <row r="25" spans="1:10" ht="15" customHeight="1" x14ac:dyDescent="0.25">
      <c r="A25" s="52"/>
      <c r="B25" s="52"/>
      <c r="C25" s="52"/>
    </row>
  </sheetData>
  <sheetProtection password="B056" sheet="1" objects="1" scenarios="1"/>
  <mergeCells count="12">
    <mergeCell ref="A16:L16"/>
    <mergeCell ref="A8:A9"/>
    <mergeCell ref="B8:B9"/>
    <mergeCell ref="C8:C9"/>
    <mergeCell ref="D8:D9"/>
    <mergeCell ref="E8:E9"/>
    <mergeCell ref="M8:O8"/>
    <mergeCell ref="F8:F9"/>
    <mergeCell ref="G8:G9"/>
    <mergeCell ref="H8:H9"/>
    <mergeCell ref="I8:I9"/>
    <mergeCell ref="J8:L8"/>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L25" sqref="L25"/>
    </sheetView>
  </sheetViews>
  <sheetFormatPr defaultRowHeight="15" x14ac:dyDescent="0.25"/>
  <sheetData>
    <row r="1" spans="1:8" x14ac:dyDescent="0.25">
      <c r="A1" s="110" t="s">
        <v>167</v>
      </c>
      <c r="B1" s="110"/>
      <c r="C1" s="110"/>
      <c r="D1" s="110"/>
      <c r="E1" s="110"/>
      <c r="F1" s="110"/>
      <c r="G1" s="110"/>
      <c r="H1" s="110"/>
    </row>
    <row r="2" spans="1:8" x14ac:dyDescent="0.25">
      <c r="A2" s="110"/>
      <c r="B2" s="110"/>
      <c r="C2" s="110"/>
      <c r="D2" s="110"/>
      <c r="E2" s="110"/>
      <c r="F2" s="110"/>
      <c r="G2" s="110"/>
      <c r="H2" s="110"/>
    </row>
    <row r="3" spans="1:8" x14ac:dyDescent="0.25">
      <c r="A3" s="110"/>
      <c r="B3" s="110"/>
      <c r="C3" s="110"/>
      <c r="D3" s="110"/>
      <c r="E3" s="110"/>
      <c r="F3" s="110"/>
      <c r="G3" s="110"/>
      <c r="H3" s="110"/>
    </row>
    <row r="4" spans="1:8" x14ac:dyDescent="0.25">
      <c r="A4" s="110"/>
      <c r="B4" s="110"/>
      <c r="C4" s="110"/>
      <c r="D4" s="110"/>
      <c r="E4" s="110"/>
      <c r="F4" s="110"/>
      <c r="G4" s="110"/>
      <c r="H4" s="110"/>
    </row>
    <row r="5" spans="1:8" x14ac:dyDescent="0.25">
      <c r="A5" s="110"/>
      <c r="B5" s="110"/>
      <c r="C5" s="110"/>
      <c r="D5" s="110"/>
      <c r="E5" s="110"/>
      <c r="F5" s="110"/>
      <c r="G5" s="110"/>
      <c r="H5" s="110"/>
    </row>
  </sheetData>
  <sheetProtection password="B056"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G22" sqref="G22"/>
    </sheetView>
  </sheetViews>
  <sheetFormatPr defaultRowHeight="15" x14ac:dyDescent="0.25"/>
  <cols>
    <col min="1" max="1" width="21.42578125" customWidth="1"/>
  </cols>
  <sheetData>
    <row r="1" spans="1:10" x14ac:dyDescent="0.25">
      <c r="A1" s="111" t="s">
        <v>109</v>
      </c>
      <c r="B1" s="101" t="s">
        <v>1</v>
      </c>
      <c r="C1" s="102"/>
      <c r="D1" s="102"/>
      <c r="E1" s="102"/>
      <c r="F1" s="102"/>
      <c r="G1" s="102"/>
      <c r="H1" s="102"/>
    </row>
    <row r="2" spans="1:10" x14ac:dyDescent="0.25">
      <c r="A2" s="111"/>
      <c r="B2" s="4" t="s">
        <v>2</v>
      </c>
      <c r="C2" s="4" t="s">
        <v>3</v>
      </c>
      <c r="D2" s="4" t="s">
        <v>40</v>
      </c>
      <c r="E2" s="4" t="s">
        <v>5</v>
      </c>
      <c r="F2" s="4" t="s">
        <v>6</v>
      </c>
      <c r="G2" s="4" t="s">
        <v>4</v>
      </c>
      <c r="H2" s="4" t="s">
        <v>171</v>
      </c>
    </row>
    <row r="3" spans="1:10" x14ac:dyDescent="0.25">
      <c r="A3" s="2" t="s">
        <v>110</v>
      </c>
      <c r="B3" s="45">
        <f>'Emissão Transferências'!M16</f>
        <v>2.4491746633846859E-4</v>
      </c>
      <c r="C3" s="45">
        <f>'Emissão Transferências'!N16</f>
        <v>1.1583934218711352E-4</v>
      </c>
      <c r="D3" s="45">
        <f>'Emissão Transferências'!O16</f>
        <v>1.7541386102620047E-5</v>
      </c>
      <c r="E3" s="45" t="s">
        <v>60</v>
      </c>
      <c r="F3" s="45" t="s">
        <v>60</v>
      </c>
      <c r="G3" s="45" t="s">
        <v>60</v>
      </c>
      <c r="H3" s="45" t="s">
        <v>60</v>
      </c>
    </row>
    <row r="4" spans="1:10" x14ac:dyDescent="0.25">
      <c r="A4" s="2" t="s">
        <v>62</v>
      </c>
      <c r="B4" s="45">
        <f>'Emissão Maq e Equip'!M8</f>
        <v>5.8122884774851257E-3</v>
      </c>
      <c r="C4" s="45">
        <f>'Emissão Maq e Equip'!N8</f>
        <v>5.8122884774851257E-3</v>
      </c>
      <c r="D4" s="45">
        <f>'Emissão Maq e Equip'!O8</f>
        <v>5.8122884774851257E-3</v>
      </c>
      <c r="E4" s="45">
        <f>'Emissão Maq e Equip'!P8</f>
        <v>0.10469835760914681</v>
      </c>
      <c r="F4" s="45">
        <f>'Emissão Maq e Equip'!Q8</f>
        <v>9.0433281313462806E-5</v>
      </c>
      <c r="G4" s="45">
        <f>'Emissão Maq e Equip'!R8</f>
        <v>4.8572806101646965E-2</v>
      </c>
      <c r="H4" s="45">
        <f>'Emissão Maq e Equip'!S8</f>
        <v>1.330116499013842E-2</v>
      </c>
    </row>
    <row r="5" spans="1:10" x14ac:dyDescent="0.25">
      <c r="A5" s="2" t="s">
        <v>111</v>
      </c>
      <c r="B5" s="45">
        <v>6.57741101094523E-3</v>
      </c>
      <c r="C5" s="45">
        <v>3.288705505472615E-3</v>
      </c>
      <c r="D5" s="45">
        <v>4.9330582582089223E-4</v>
      </c>
      <c r="E5" s="45" t="s">
        <v>60</v>
      </c>
      <c r="F5" s="45" t="s">
        <v>60</v>
      </c>
      <c r="G5" s="45" t="s">
        <v>60</v>
      </c>
      <c r="H5" s="45" t="s">
        <v>60</v>
      </c>
    </row>
    <row r="6" spans="1:10" x14ac:dyDescent="0.25">
      <c r="A6" s="2" t="s">
        <v>170</v>
      </c>
      <c r="B6" s="45">
        <f>'Emissão Saída do Filtro '!H6</f>
        <v>8.1639185461625838E-2</v>
      </c>
      <c r="C6" s="45">
        <f>'Emissão Saída do Filtro '!I6</f>
        <v>6.9393307642381954E-2</v>
      </c>
      <c r="D6" s="45">
        <f>'Emissão Saída do Filtro '!J6</f>
        <v>2.4491755638487749E-2</v>
      </c>
      <c r="E6" s="45" t="s">
        <v>60</v>
      </c>
      <c r="F6" s="45" t="s">
        <v>60</v>
      </c>
      <c r="G6" s="45" t="s">
        <v>60</v>
      </c>
      <c r="H6" s="45" t="s">
        <v>60</v>
      </c>
    </row>
    <row r="7" spans="1:10" x14ac:dyDescent="0.25">
      <c r="A7" s="36" t="s">
        <v>102</v>
      </c>
      <c r="B7" s="38">
        <f>SUM(B3:B6)</f>
        <v>9.4273802416394659E-2</v>
      </c>
      <c r="C7" s="38">
        <f>SUM(C3:C6)</f>
        <v>7.8610140967526804E-2</v>
      </c>
      <c r="D7" s="38">
        <f>SUM(D3:D6)</f>
        <v>3.0814891327896388E-2</v>
      </c>
      <c r="E7" s="38">
        <f t="shared" ref="E7:H7" si="0">SUM(E3:E6)</f>
        <v>0.10469835760914681</v>
      </c>
      <c r="F7" s="38">
        <f t="shared" si="0"/>
        <v>9.0433281313462806E-5</v>
      </c>
      <c r="G7" s="38">
        <f t="shared" si="0"/>
        <v>4.8572806101646965E-2</v>
      </c>
      <c r="H7" s="38">
        <f t="shared" si="0"/>
        <v>1.330116499013842E-2</v>
      </c>
    </row>
    <row r="9" spans="1:10" x14ac:dyDescent="0.25">
      <c r="A9" s="2" t="s">
        <v>177</v>
      </c>
    </row>
    <row r="13" spans="1:10" x14ac:dyDescent="0.25">
      <c r="J13" t="s">
        <v>151</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12" t="s">
        <v>17</v>
      </c>
      <c r="B1" s="113"/>
      <c r="C1" s="113"/>
      <c r="D1" s="113"/>
      <c r="E1" s="114"/>
    </row>
    <row r="2" spans="1:10" x14ac:dyDescent="0.25">
      <c r="A2" s="71" t="s">
        <v>16</v>
      </c>
      <c r="B2" s="74"/>
      <c r="C2" s="75"/>
      <c r="D2" s="75"/>
      <c r="E2" s="76"/>
    </row>
    <row r="3" spans="1:10" x14ac:dyDescent="0.25">
      <c r="A3" s="72"/>
      <c r="B3" s="77"/>
      <c r="C3" s="78"/>
      <c r="D3" s="78"/>
      <c r="E3" s="79"/>
    </row>
    <row r="4" spans="1:10" x14ac:dyDescent="0.25">
      <c r="A4" s="72"/>
      <c r="B4" s="80"/>
      <c r="C4" s="81"/>
      <c r="D4" s="81"/>
      <c r="E4" s="82"/>
    </row>
    <row r="5" spans="1:10" ht="15" customHeight="1" x14ac:dyDescent="0.25">
      <c r="A5" s="72"/>
      <c r="B5" s="83" t="s">
        <v>34</v>
      </c>
      <c r="C5" s="84"/>
      <c r="D5" s="84"/>
      <c r="E5" s="85"/>
    </row>
    <row r="6" spans="1:10" x14ac:dyDescent="0.25">
      <c r="A6" s="72"/>
      <c r="B6" s="86"/>
      <c r="C6" s="87"/>
      <c r="D6" s="87"/>
      <c r="E6" s="88"/>
    </row>
    <row r="7" spans="1:10" x14ac:dyDescent="0.25">
      <c r="A7" s="72"/>
      <c r="B7" s="86"/>
      <c r="C7" s="87"/>
      <c r="D7" s="87"/>
      <c r="E7" s="88"/>
    </row>
    <row r="8" spans="1:10" x14ac:dyDescent="0.25">
      <c r="A8" s="72"/>
      <c r="B8" s="86"/>
      <c r="C8" s="87"/>
      <c r="D8" s="87"/>
      <c r="E8" s="88"/>
    </row>
    <row r="9" spans="1:10" x14ac:dyDescent="0.25">
      <c r="A9" s="73"/>
      <c r="B9" s="89"/>
      <c r="C9" s="90"/>
      <c r="D9" s="90"/>
      <c r="E9" s="91"/>
    </row>
    <row r="12" spans="1:10" x14ac:dyDescent="0.25">
      <c r="A12" s="116" t="s">
        <v>35</v>
      </c>
      <c r="B12" s="116"/>
      <c r="C12" s="1"/>
      <c r="D12" s="1"/>
      <c r="E12" s="8" t="s">
        <v>33</v>
      </c>
      <c r="F12" s="8" t="s">
        <v>28</v>
      </c>
      <c r="G12" s="8" t="s">
        <v>32</v>
      </c>
      <c r="H12" s="8" t="s">
        <v>31</v>
      </c>
      <c r="I12" s="8" t="s">
        <v>29</v>
      </c>
      <c r="J12" s="8" t="s">
        <v>30</v>
      </c>
    </row>
    <row r="13" spans="1:10" x14ac:dyDescent="0.25">
      <c r="A13" s="2" t="s">
        <v>18</v>
      </c>
      <c r="B13" s="11">
        <v>46.005499999999998</v>
      </c>
      <c r="C13" s="1"/>
      <c r="D13" s="1"/>
      <c r="E13" s="2" t="s">
        <v>12</v>
      </c>
      <c r="F13" s="10" t="e">
        <f>#REF!</f>
        <v>#REF!</v>
      </c>
      <c r="G13" s="5" t="e">
        <f>#REF!</f>
        <v>#REF!</v>
      </c>
      <c r="H13" s="5" t="e">
        <f>G13+273.15</f>
        <v>#REF!</v>
      </c>
      <c r="I13" s="115">
        <v>1</v>
      </c>
      <c r="J13" s="11" t="e">
        <f>F13*0.04087*$B$15*(($I$13/1)*(298.15/H13))</f>
        <v>#REF!</v>
      </c>
    </row>
    <row r="14" spans="1:10" x14ac:dyDescent="0.25">
      <c r="A14" s="2" t="s">
        <v>19</v>
      </c>
      <c r="B14" s="11">
        <v>30.01</v>
      </c>
      <c r="C14" s="1"/>
      <c r="D14" s="1"/>
      <c r="E14" s="2" t="s">
        <v>13</v>
      </c>
      <c r="F14" s="10" t="e">
        <f>#REF!</f>
        <v>#REF!</v>
      </c>
      <c r="G14" s="5" t="e">
        <f>#REF!</f>
        <v>#REF!</v>
      </c>
      <c r="H14" s="5" t="e">
        <f t="shared" ref="H14:H21" si="0">G14+273.15</f>
        <v>#REF!</v>
      </c>
      <c r="I14" s="115"/>
      <c r="J14" s="11" t="e">
        <f t="shared" ref="J14:J21" si="1">F14*0.04087*$B$15*(($I$13/1)*(298.15/H14))</f>
        <v>#REF!</v>
      </c>
    </row>
    <row r="15" spans="1:10" x14ac:dyDescent="0.25">
      <c r="A15" s="2" t="s">
        <v>4</v>
      </c>
      <c r="B15" s="11">
        <v>28.01</v>
      </c>
      <c r="C15" s="1"/>
      <c r="D15" s="1"/>
      <c r="E15" s="2" t="s">
        <v>9</v>
      </c>
      <c r="F15" s="10" t="e">
        <f>#REF!</f>
        <v>#REF!</v>
      </c>
      <c r="G15" s="5" t="e">
        <f>#REF!</f>
        <v>#REF!</v>
      </c>
      <c r="H15" s="5" t="e">
        <f t="shared" si="0"/>
        <v>#REF!</v>
      </c>
      <c r="I15" s="115"/>
      <c r="J15" s="11" t="e">
        <f t="shared" si="1"/>
        <v>#REF!</v>
      </c>
    </row>
    <row r="16" spans="1:10" x14ac:dyDescent="0.25">
      <c r="A16" s="2" t="s">
        <v>20</v>
      </c>
      <c r="B16" s="11">
        <v>48</v>
      </c>
      <c r="C16" s="1"/>
      <c r="D16" s="1"/>
      <c r="E16" s="2" t="s">
        <v>8</v>
      </c>
      <c r="F16" s="10" t="e">
        <f>#REF!</f>
        <v>#REF!</v>
      </c>
      <c r="G16" s="5" t="e">
        <f>#REF!</f>
        <v>#REF!</v>
      </c>
      <c r="H16" s="5" t="e">
        <f t="shared" si="0"/>
        <v>#REF!</v>
      </c>
      <c r="I16" s="115"/>
      <c r="J16" s="11" t="e">
        <f t="shared" si="1"/>
        <v>#REF!</v>
      </c>
    </row>
    <row r="17" spans="1:10" x14ac:dyDescent="0.25">
      <c r="A17" s="2" t="s">
        <v>21</v>
      </c>
      <c r="B17" s="11">
        <v>34.1</v>
      </c>
      <c r="C17" s="1"/>
      <c r="D17" s="1"/>
      <c r="E17" s="2" t="s">
        <v>10</v>
      </c>
      <c r="F17" s="10" t="e">
        <f>#REF!</f>
        <v>#REF!</v>
      </c>
      <c r="G17" s="5" t="e">
        <f>#REF!</f>
        <v>#REF!</v>
      </c>
      <c r="H17" s="5" t="e">
        <f t="shared" si="0"/>
        <v>#REF!</v>
      </c>
      <c r="I17" s="115"/>
      <c r="J17" s="11" t="e">
        <f t="shared" si="1"/>
        <v>#REF!</v>
      </c>
    </row>
    <row r="18" spans="1:10" x14ac:dyDescent="0.25">
      <c r="A18" s="2" t="s">
        <v>22</v>
      </c>
      <c r="B18" s="11">
        <v>64.066000000000003</v>
      </c>
      <c r="C18" s="1"/>
      <c r="D18" s="1"/>
      <c r="E18" s="2" t="s">
        <v>11</v>
      </c>
      <c r="F18" s="10" t="e">
        <f>#REF!</f>
        <v>#REF!</v>
      </c>
      <c r="G18" s="5" t="e">
        <f>#REF!</f>
        <v>#REF!</v>
      </c>
      <c r="H18" s="5" t="e">
        <f t="shared" si="0"/>
        <v>#REF!</v>
      </c>
      <c r="I18" s="115"/>
      <c r="J18" s="11" t="e">
        <f t="shared" si="1"/>
        <v>#REF!</v>
      </c>
    </row>
    <row r="19" spans="1:10" x14ac:dyDescent="0.25">
      <c r="A19" s="2" t="s">
        <v>23</v>
      </c>
      <c r="B19" s="11">
        <v>36.46</v>
      </c>
      <c r="C19" s="1"/>
      <c r="D19" s="1"/>
      <c r="E19" s="3" t="s">
        <v>7</v>
      </c>
      <c r="F19" s="10" t="e">
        <f>#REF!</f>
        <v>#REF!</v>
      </c>
      <c r="G19" s="5" t="e">
        <f>#REF!</f>
        <v>#REF!</v>
      </c>
      <c r="H19" s="5" t="e">
        <f t="shared" si="0"/>
        <v>#REF!</v>
      </c>
      <c r="I19" s="115"/>
      <c r="J19" s="11" t="e">
        <f t="shared" si="1"/>
        <v>#REF!</v>
      </c>
    </row>
    <row r="20" spans="1:10" x14ac:dyDescent="0.25">
      <c r="A20" s="2" t="s">
        <v>24</v>
      </c>
      <c r="B20" s="11">
        <v>20.0063</v>
      </c>
      <c r="C20" s="1"/>
      <c r="D20" s="1"/>
      <c r="E20" s="2" t="s">
        <v>14</v>
      </c>
      <c r="F20" s="10" t="e">
        <f>#REF!</f>
        <v>#REF!</v>
      </c>
      <c r="G20" s="5" t="e">
        <f>#REF!</f>
        <v>#REF!</v>
      </c>
      <c r="H20" s="5" t="e">
        <f t="shared" si="0"/>
        <v>#REF!</v>
      </c>
      <c r="I20" s="115"/>
      <c r="J20" s="11" t="e">
        <f t="shared" si="1"/>
        <v>#REF!</v>
      </c>
    </row>
    <row r="21" spans="1:10" x14ac:dyDescent="0.25">
      <c r="A21" s="2" t="s">
        <v>25</v>
      </c>
      <c r="B21" s="11">
        <v>44.1</v>
      </c>
      <c r="C21" s="1"/>
      <c r="D21" s="1"/>
      <c r="E21" s="2" t="s">
        <v>15</v>
      </c>
      <c r="F21" s="10" t="e">
        <f>#REF!</f>
        <v>#REF!</v>
      </c>
      <c r="G21" s="5" t="e">
        <f>#REF!</f>
        <v>#REF!</v>
      </c>
      <c r="H21" s="5" t="e">
        <f t="shared" si="0"/>
        <v>#REF!</v>
      </c>
      <c r="I21" s="115"/>
      <c r="J21" s="11" t="e">
        <f t="shared" si="1"/>
        <v>#REF!</v>
      </c>
    </row>
    <row r="22" spans="1:10" x14ac:dyDescent="0.25">
      <c r="A22" s="2" t="s">
        <v>26</v>
      </c>
      <c r="B22" s="11">
        <v>78.11</v>
      </c>
      <c r="C22" s="1"/>
      <c r="D22" s="1"/>
      <c r="E22" s="1"/>
      <c r="F22" s="1"/>
      <c r="G22" s="1"/>
      <c r="H22" s="1"/>
      <c r="I22" s="1"/>
    </row>
    <row r="23" spans="1:10" x14ac:dyDescent="0.25">
      <c r="A23" s="2" t="s">
        <v>27</v>
      </c>
      <c r="B23" s="11">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Saída do Filtro </vt:lpstr>
      <vt:lpstr>Emissão Maq e Equip</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2019-06-06T20:43:11Z</dcterms:modified>
</cp:coreProperties>
</file>