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PEIÚ\"/>
    </mc:Choice>
  </mc:AlternateContent>
  <bookViews>
    <workbookView xWindow="0" yWindow="0" windowWidth="24000" windowHeight="9735" tabRatio="921" activeTab="7"/>
  </bookViews>
  <sheets>
    <sheet name="Dados" sheetId="5" r:id="rId1"/>
    <sheet name="FE-Maq e Equip" sheetId="9" r:id="rId2"/>
    <sheet name="FE-Vias" sheetId="19" r:id="rId3"/>
    <sheet name="FE-Transferências" sheetId="22" r:id="rId4"/>
    <sheet name="Emissão Transferências" sheetId="16" r:id="rId5"/>
    <sheet name="Emissão Maq e Equip" sheetId="6" r:id="rId6"/>
    <sheet name="Emissão Vias" sheetId="18" r:id="rId7"/>
    <sheet name="Resumo" sheetId="21" r:id="rId8"/>
  </sheets>
  <definedNames>
    <definedName name="_xlnm._FilterDatabase" localSheetId="0" hidden="1">Dados!$B$3:$B$28</definedName>
  </definedNames>
  <calcPr calcId="152511"/>
</workbook>
</file>

<file path=xl/calcChain.xml><?xml version="1.0" encoding="utf-8"?>
<calcChain xmlns="http://schemas.openxmlformats.org/spreadsheetml/2006/main">
  <c r="AE24" i="18" l="1"/>
  <c r="AA24" i="18"/>
  <c r="C4" i="21" l="1"/>
  <c r="D4" i="21"/>
  <c r="E4" i="21"/>
  <c r="G4" i="21"/>
  <c r="H4" i="21"/>
  <c r="B4" i="21"/>
  <c r="F23" i="18" l="1"/>
  <c r="G7" i="16" l="1"/>
  <c r="E8" i="16"/>
  <c r="I23" i="18" l="1"/>
  <c r="G23" i="18"/>
  <c r="I8" i="16" l="1"/>
  <c r="L8" i="16" s="1"/>
  <c r="I9" i="16"/>
  <c r="I7" i="16"/>
  <c r="H8" i="16"/>
  <c r="K8" i="16" s="1"/>
  <c r="H9" i="16"/>
  <c r="H7" i="16"/>
  <c r="G8" i="16"/>
  <c r="J8" i="16" s="1"/>
  <c r="G9" i="16"/>
  <c r="E7" i="16"/>
  <c r="L7" i="16" l="1"/>
  <c r="J7" i="16"/>
  <c r="K7" i="16"/>
  <c r="E9" i="16"/>
  <c r="L9" i="16" l="1"/>
  <c r="J9" i="16"/>
  <c r="K9" i="16"/>
  <c r="M23" i="18"/>
  <c r="T23" i="18"/>
  <c r="U23" i="18"/>
  <c r="V23" i="18"/>
  <c r="W23" i="18"/>
  <c r="X23" i="18"/>
  <c r="Y23" i="18"/>
  <c r="C17" i="18"/>
  <c r="D17" i="18"/>
  <c r="E17" i="18"/>
  <c r="F17" i="18"/>
  <c r="G17" i="18"/>
  <c r="H17" i="18"/>
  <c r="I17" i="18"/>
  <c r="J17" i="18"/>
  <c r="B17" i="18"/>
  <c r="J8" i="6" l="1"/>
  <c r="I8" i="6"/>
  <c r="K8" i="6"/>
  <c r="L8" i="6"/>
  <c r="H8" i="6"/>
  <c r="L7" i="6"/>
  <c r="J7" i="6"/>
  <c r="I7" i="6"/>
  <c r="K7" i="6"/>
  <c r="H7" i="6"/>
  <c r="J6" i="6"/>
  <c r="I6" i="6"/>
  <c r="K6" i="6"/>
  <c r="L6" i="6"/>
  <c r="H6" i="6"/>
  <c r="D6" i="6"/>
  <c r="D5" i="6"/>
  <c r="J5" i="6"/>
  <c r="I5" i="6"/>
  <c r="K5" i="6"/>
  <c r="L5" i="6"/>
  <c r="H5" i="6"/>
  <c r="E19" i="5" l="1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D14" i="18"/>
  <c r="E8" i="6"/>
  <c r="F8" i="6" s="1"/>
  <c r="E7" i="6"/>
  <c r="F7" i="6" s="1"/>
  <c r="E6" i="6"/>
  <c r="F6" i="6" s="1"/>
  <c r="E5" i="6"/>
  <c r="F5" i="6" s="1"/>
  <c r="B14" i="18" l="1"/>
  <c r="C14" i="18"/>
  <c r="L14" i="18"/>
  <c r="K14" i="18"/>
  <c r="E14" i="18"/>
  <c r="F14" i="18"/>
  <c r="G14" i="18"/>
  <c r="H14" i="18"/>
  <c r="I14" i="18"/>
  <c r="J14" i="18"/>
  <c r="B18" i="18" l="1"/>
  <c r="S8" i="6" l="1"/>
  <c r="S7" i="6"/>
  <c r="M6" i="6"/>
  <c r="N6" i="6" s="1"/>
  <c r="O6" i="6" s="1"/>
  <c r="Q5" i="6"/>
  <c r="M5" i="6" l="1"/>
  <c r="N5" i="6" s="1"/>
  <c r="P5" i="6"/>
  <c r="M8" i="6"/>
  <c r="N8" i="6" s="1"/>
  <c r="O8" i="6" s="1"/>
  <c r="Q8" i="6"/>
  <c r="P7" i="6"/>
  <c r="Q7" i="6"/>
  <c r="R5" i="6"/>
  <c r="P6" i="6"/>
  <c r="R7" i="6"/>
  <c r="P8" i="6"/>
  <c r="Q6" i="6"/>
  <c r="M7" i="6"/>
  <c r="N7" i="6" s="1"/>
  <c r="O7" i="6" s="1"/>
  <c r="S6" i="6"/>
  <c r="R6" i="6"/>
  <c r="R8" i="6"/>
  <c r="S5" i="6"/>
  <c r="M9" i="6" l="1"/>
  <c r="B3" i="21" s="1"/>
  <c r="P9" i="6"/>
  <c r="Q9" i="6"/>
  <c r="R9" i="6"/>
  <c r="S9" i="6"/>
  <c r="O5" i="6"/>
  <c r="O9" i="6" s="1"/>
  <c r="D3" i="21" s="1"/>
  <c r="D7" i="21" s="1"/>
  <c r="N9" i="6"/>
  <c r="C3" i="21" s="1"/>
  <c r="C7" i="21" s="1"/>
  <c r="G3" i="21" l="1"/>
  <c r="G7" i="21" s="1"/>
  <c r="F3" i="21"/>
  <c r="E3" i="21"/>
  <c r="E7" i="21" s="1"/>
  <c r="H3" i="21"/>
  <c r="H7" i="21" s="1"/>
  <c r="G15" i="19"/>
  <c r="J14" i="19"/>
  <c r="J13" i="19"/>
  <c r="J12" i="19"/>
  <c r="J11" i="19"/>
  <c r="J10" i="19"/>
  <c r="J9" i="19"/>
  <c r="J8" i="19"/>
  <c r="J7" i="19"/>
  <c r="J6" i="19"/>
  <c r="J5" i="19"/>
  <c r="J4" i="19"/>
  <c r="J3" i="19"/>
  <c r="K23" i="18" l="1"/>
  <c r="J23" i="18"/>
  <c r="L23" i="18"/>
  <c r="S23" i="18"/>
  <c r="R23" i="18"/>
  <c r="Q23" i="18"/>
  <c r="P23" i="18"/>
  <c r="O23" i="18"/>
  <c r="N23" i="18"/>
  <c r="Z23" i="18" l="1"/>
  <c r="AB23" i="18" l="1"/>
  <c r="AA23" i="18"/>
  <c r="Z24" i="18"/>
  <c r="AC23" i="18"/>
  <c r="AC24" i="18" s="1"/>
  <c r="AD23" i="18"/>
  <c r="AD24" i="18" s="1"/>
  <c r="F4" i="21" s="1"/>
  <c r="F7" i="21" s="1"/>
  <c r="AE23" i="18"/>
  <c r="AF23" i="18"/>
  <c r="AF24" i="18" s="1"/>
  <c r="AB24" i="18" l="1"/>
  <c r="L10" i="16" l="1"/>
  <c r="D5" i="21" s="1"/>
  <c r="J10" i="16"/>
  <c r="B5" i="21" s="1"/>
  <c r="B7" i="21" s="1"/>
  <c r="K10" i="16"/>
  <c r="C5" i="21" s="1"/>
</calcChain>
</file>

<file path=xl/comments1.xml><?xml version="1.0" encoding="utf-8"?>
<comments xmlns="http://schemas.openxmlformats.org/spreadsheetml/2006/main">
  <authors>
    <author>Alinie Rossi dos Santos</author>
    <author>Andrielly Moutinho Knupp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>Fonte: Estação INMET 
ES_A612_Vitoria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B10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Rating 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Tatiane Jardim Morais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Valor arbitrado de 3% de umidade para o fertilizante</t>
        </r>
      </text>
    </comment>
    <comment ref="B2" authorId="0" shapeId="0">
      <text>
        <r>
          <rPr>
            <sz val="9"/>
            <color indexed="81"/>
            <rFont val="Segoe UI"/>
            <family val="2"/>
          </rPr>
          <t>Média da velocidade do vento - Aeroporto de Vitória para o ano de 2015.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  <author>Tatiane Jardim Morais</author>
  </authors>
  <commentList>
    <comment ref="J4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L4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N4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O4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Q4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S4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D5" authorId="1" shapeId="0">
      <text>
        <r>
          <rPr>
            <sz val="9"/>
            <color indexed="81"/>
            <rFont val="Segoe UI"/>
            <family val="2"/>
          </rPr>
          <t xml:space="preserve">Especificação técnica: 
https://www.terex.com/cranes/pt/product/crawler-cranes/hc-165.
</t>
        </r>
      </text>
    </comment>
    <comment ref="D6" authorId="1" shapeId="0">
      <text>
        <r>
          <rPr>
            <sz val="9"/>
            <color indexed="81"/>
            <rFont val="Segoe UI"/>
            <family val="2"/>
          </rPr>
          <t>Por falta e informação foi usado a especificação técnica do guindaste HC 120.
https://www.terex.com/cranes/pt/product/crawler-cranes/hc-120</t>
        </r>
      </text>
    </comment>
    <comment ref="D7" authorId="1" shapeId="0">
      <text>
        <r>
          <rPr>
            <sz val="9"/>
            <color indexed="81"/>
            <rFont val="Segoe UI"/>
            <family val="2"/>
          </rPr>
          <t>Por falta e informação foi usado a especificação técnica da empilhadeira 
GDP 280 DC.
http://site2016.tradimaq.com.br/wp-content/uploads/2017/01/Folheto-de-Especificac%CC%A7o%CC%83es-GP190-360-DC-EC-1.pdf</t>
        </r>
      </text>
    </comment>
    <comment ref="D8" authorId="1" shapeId="0">
      <text>
        <r>
          <rPr>
            <sz val="9"/>
            <color indexed="81"/>
            <rFont val="Segoe UI"/>
            <family val="2"/>
          </rPr>
          <t>Por falta e informação foi usado a especificação técnica da empilhadeira 
GP 135-155.
http://site2016.tradimaq.com.br/wp-content/uploads/2017/01/GP-135_155-VX-PDF.pdf</t>
        </r>
      </text>
    </comment>
  </commentList>
</comments>
</file>

<file path=xl/comments5.xml><?xml version="1.0" encoding="utf-8"?>
<comments xmlns="http://schemas.openxmlformats.org/spreadsheetml/2006/main">
  <authors>
    <author>Tatiane Jardim Morais</author>
    <author>Alinie Rossi dos Santos</author>
    <author>Vanessa Brusco Filete</author>
  </authors>
  <commentList>
    <comment ref="B1" authorId="0" shapeId="0">
      <text>
        <r>
          <rPr>
            <sz val="9"/>
            <color indexed="81"/>
            <rFont val="Segoe UI"/>
            <family val="2"/>
          </rPr>
          <t>Capacidade de carga = 50 ton
PBT = 74 ton
Peso vazio = 24 ton
http://www1.dnit.gov.br/Pesagem/sis_sgpv/QFV/QFV%202008%20Divulga%C3%A7%C3%A3o.pdf</t>
        </r>
      </text>
    </comment>
    <comment ref="C1" authorId="0" shapeId="0">
      <text>
        <r>
          <rPr>
            <sz val="9"/>
            <color indexed="81"/>
            <rFont val="Segoe UI"/>
            <family val="2"/>
          </rPr>
          <t xml:space="preserve">Especificação do caminhão bi trem articulado (caminhão trator trucado + dois semi-reboques) 
Capacidade de carga = 33 ton
PBT = 57 ton
Peso vazio = 24 ton
http://www1.dnit.gov.br/Pesagem/sis_sgpv/QFV/QFV%202008%20Divulga%C3%A7%C3%A3o.pdf
</t>
        </r>
      </text>
    </comment>
    <comment ref="D1" authorId="0" shapeId="0">
      <text>
        <r>
          <rPr>
            <sz val="9"/>
            <color indexed="81"/>
            <rFont val="Segoe UI"/>
            <family val="2"/>
          </rPr>
          <t>Especificação técnica do caminhão trator+semi reboque 
Capacidade de carga = 27 ton
PBT = 41,5 ton
Peso vazio = 14,5 ton
http://www1.dnit.gov.br/Pesagem/qfv%20pdf.pdf</t>
        </r>
      </text>
    </comment>
    <comment ref="E1" authorId="0" shapeId="0">
      <text>
        <r>
          <rPr>
            <sz val="9"/>
            <color indexed="81"/>
            <rFont val="Segoe UI"/>
            <family val="2"/>
          </rPr>
          <t>Especificação técnica do caminhão trucado
Capacidade de carga = 14 ton
PBT = 23 ton
Peso vazio = 9 ton
http://www1.dnit.gov.br/Pesagem/sis_sgpv/QFV/QFV%202008%20Divulga%C3%A7%C3%A3o.pdf</t>
        </r>
      </text>
    </comment>
    <comment ref="F1" authorId="0" shapeId="0">
      <text>
        <r>
          <rPr>
            <sz val="9"/>
            <color indexed="81"/>
            <rFont val="Segoe UI"/>
            <family val="2"/>
          </rPr>
          <t xml:space="preserve">Especificação técnica do caminhão trucado
Capacidade de carga = 6 ton
PBT = 16 ton
Peso vazio = 10 ton
http://www1.dnit.gov.br/Pesagem/sis_sgpv/QFV/QFV%202008%20Divulga%C3%A7%C3%A3o.pdf
</t>
        </r>
      </text>
    </comment>
    <comment ref="G1" authorId="0" shapeId="0">
      <text>
        <r>
          <rPr>
            <sz val="9"/>
            <color indexed="81"/>
            <rFont val="Segoe UI"/>
            <family val="2"/>
          </rPr>
          <t xml:space="preserve">Especificação técnica do caminhão Axor 2536 (6x2)
Capacidade de carga = 14 ton
PBT = 23 ton
Peso vazio = 9 ton
https://www.mercedes-benz.com.br/resources/files/documentos/caminhoes/axor/dados-tecnicos/v3_Axor-2536-6x2-Multiuso-Rodoviario.pdf
</t>
        </r>
      </text>
    </comment>
    <comment ref="H1" authorId="0" shapeId="0">
      <text>
        <r>
          <rPr>
            <sz val="9"/>
            <color indexed="81"/>
            <rFont val="Segoe UI"/>
            <family val="2"/>
          </rPr>
          <t>Especificação técnica do caminhão trucado com poliguindaste
Peso do caminhão = 10 ton
Peso do guindaste = 2,35 ton  
Capacidade de carga do guindaste = 14 ton
Peso total cheio = 26,35 ton
Peso total vazio = 12,35 ton
Fonte Caminhão trucado = 
http://www1.dnit.gov.br/Pesagem/sis_sgpv/QFV/QFV%202008%20Divulga%C3%A7%C3%A3o.pdf
Fonte guindaste = http://www.kabi.ind.br/show-poliguindaste-articulado-para-diversas-opera%C3%A7%C3%B5es-72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 xml:space="preserve">Especificação técnica do caminhão trucado com guindaste
Peso do caminhão = 10 ton
Peso do guindaste = 2,35 ton  
Capacidade de carga do guindaste = 14 ton
Peso total cheio = 26,35 ton
Peso total vazio = 12,35 ton
Fonte Caminhão trucado = 
http://www1.dnit.gov.br/Pesagem/sis_sgpv/QFV/QFV%202008%20Divulga%C3%A7%C3%A3o.pdf
Fonte guindaste = http://www.kabi.ind.br/show-poliguindaste-articulado-para-diversas-opera%C3%A7%C3%B5es-72
</t>
        </r>
      </text>
    </comment>
    <comment ref="J1" authorId="0" shapeId="0">
      <text>
        <r>
          <rPr>
            <sz val="9"/>
            <color indexed="81"/>
            <rFont val="Segoe UI"/>
            <family val="2"/>
          </rPr>
          <t>Especificação técnica da Sprinter 415 CDI 9+1
Capacidade de carga = 10 pessoas (1 ton)
PBT = 3,88 ton
Peso vazio = 2,88 ton
https://www.mercedes-benz.com.br/resources/files/documentos/sprinter/van/dados-tecnicos/linha-antiga-sprinter-van.pdf</t>
        </r>
      </text>
    </comment>
    <comment ref="I21" authorId="1" shapeId="0">
      <text>
        <r>
          <rPr>
            <sz val="9"/>
            <color indexed="81"/>
            <rFont val="Segoe UI"/>
            <family val="2"/>
          </rPr>
          <t>Média ponderada dos pesos médios dos veículos que trafegam nessa via.</t>
        </r>
      </text>
    </comment>
    <comment ref="S22" authorId="2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H23" authorId="0" shapeId="0">
      <text>
        <r>
          <rPr>
            <sz val="9"/>
            <color indexed="81"/>
            <rFont val="Segoe UI"/>
            <family val="2"/>
          </rPr>
          <t xml:space="preserve">Por falta de informação utilizou o valor de silt de 9,7 (%).
Obs.: via muito suja. </t>
        </r>
      </text>
    </comment>
  </commentList>
</comments>
</file>

<file path=xl/sharedStrings.xml><?xml version="1.0" encoding="utf-8"?>
<sst xmlns="http://schemas.openxmlformats.org/spreadsheetml/2006/main" count="252" uniqueCount="162">
  <si>
    <t>Fevereiro</t>
  </si>
  <si>
    <t>Fonte Emissora</t>
  </si>
  <si>
    <t>Janeiro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</si>
  <si>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</si>
  <si>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</si>
  <si>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</si>
  <si>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</si>
  <si>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</si>
  <si>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</si>
  <si>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</si>
  <si>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</si>
  <si>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</si>
  <si>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</si>
  <si>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</si>
  <si>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PRINCIPAIS INSUMOS / PRODUTOS 2015</t>
  </si>
  <si>
    <t>Equipamento</t>
  </si>
  <si>
    <t>Modelo</t>
  </si>
  <si>
    <t>Quantidade</t>
  </si>
  <si>
    <t>CO</t>
  </si>
  <si>
    <t>Equipment</t>
  </si>
  <si>
    <t>MaxHP</t>
  </si>
  <si>
    <t>PM</t>
  </si>
  <si>
    <t>Cranes</t>
  </si>
  <si>
    <t>Cranes Composite</t>
  </si>
  <si>
    <t>Forklifts</t>
  </si>
  <si>
    <t>Forklifts Composite</t>
  </si>
  <si>
    <t>Potencia HP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</si>
  <si>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</si>
  <si>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</si>
  <si>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</si>
  <si>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</si>
  <si>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Taxa de Emissão [kg/h]</t>
  </si>
  <si>
    <t>Equação Geral:</t>
  </si>
  <si>
    <t>Referência: AQMD (2016) - http://www.aqmd.gov/home/regulations/ceqa/air-quality-analysis-handbook/off-road-mobile-source-emission-factors</t>
  </si>
  <si>
    <t>Fator de Emissão [kg/h]</t>
  </si>
  <si>
    <t>Equipamentos</t>
  </si>
  <si>
    <t>Referências: AP-42 (USEPA, 2006) - https://www3.epa.gov/ttn/chief/ap42/ch13/final/c13s0204.pdf</t>
  </si>
  <si>
    <t>Aerodynamic Particle Size Multiplier (k) For Equation 1</t>
  </si>
  <si>
    <r>
      <t xml:space="preserve">&lt; 30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</si>
  <si>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15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</si>
  <si>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10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</si>
  <si>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</si>
  <si>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2.5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</si>
  <si>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t>Material</t>
  </si>
  <si>
    <t>Onde:
E - emissão
k - particle size multiplier (dimensionless)
U - mean wind speed, meters per second (m/s) (miles per hour [mph]) 
M - material moisture content (%)</t>
  </si>
  <si>
    <t>Quantidade [t/h]</t>
  </si>
  <si>
    <t>Fator de Emissão [kg/t]</t>
  </si>
  <si>
    <t>Velocidade do Vento (m/s)</t>
  </si>
  <si>
    <t xml:space="preserve">Fonte Emissora </t>
  </si>
  <si>
    <t>Tipo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</si>
  <si>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</si>
  <si>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Via de Tráfego</t>
  </si>
  <si>
    <t>PM2.5</t>
  </si>
  <si>
    <t>PM10</t>
  </si>
  <si>
    <t>PM30</t>
  </si>
  <si>
    <t>g/VKT</t>
  </si>
  <si>
    <t>Classe de Veículo</t>
  </si>
  <si>
    <t>Fator de emissão médio da frota veicular da RGV [g/km]</t>
  </si>
  <si>
    <t>Escapamento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</si>
  <si>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</si>
  <si>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</si>
  <si>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</si>
  <si>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</si>
  <si>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HCT</t>
  </si>
  <si>
    <t>Veículos Pesados</t>
  </si>
  <si>
    <t>Ano 2015</t>
  </si>
  <si>
    <t xml:space="preserve">Mês </t>
  </si>
  <si>
    <t>Precipitação Acumulada (mm)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</si>
  <si>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</si>
  <si>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</si>
  <si>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</si>
  <si>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</si>
  <si>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</si>
  <si>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</si>
  <si>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</si>
  <si>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</si>
  <si>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</si>
  <si>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</si>
  <si>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</si>
  <si>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</si>
  <si>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</si>
  <si>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</si>
  <si>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</si>
  <si>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Pavimentada</t>
  </si>
  <si>
    <t>Desgaste Pneus e Freio</t>
  </si>
  <si>
    <t>Desgaste da Pista</t>
  </si>
  <si>
    <t xml:space="preserve">Fonte: USEPA (2011)https://www3.epa.gov/ttn/chief/ap42/ch13/final/c13s0201.pdf </t>
  </si>
  <si>
    <t>Table 13.2.1-1. PARTICLE SIZE MULTIPLIERS FOR PAVED ROAD EQUATION</t>
  </si>
  <si>
    <t>Size Range</t>
  </si>
  <si>
    <t>Particle Size Multiplier (k)</t>
  </si>
  <si>
    <t>Onde:
FE - fator de emissão de material particulado (g/km)
k - constante de tamanho da partícula (g/VKT)
sL - taxa de silt na superfície de rodagem (g/m²)
W - peso médio dos veículos que trafegam na via (t)
P - número de horas onde a precipitação durante o período observado foi no mínimo 0,254 mm
N - número de horas do período observado (Ex: 8760 para anual, 2124 por estação, 720 para mensal)</t>
  </si>
  <si>
    <t>Número de Horas com Precipitação &gt; 0,254 mm</t>
  </si>
  <si>
    <t>Onde:
E - emissão (lb/dia)
n - número de equipamentos de cada categoria
H - número de horas diárias de operação do equipamento
EF - fator de emissão (lb/h)</t>
  </si>
  <si>
    <t>Como não foi informado o ano dos equipamentos, foi considerado, de forma conservadora, os fatores de 2007.</t>
  </si>
  <si>
    <t>SOX</t>
  </si>
  <si>
    <t>NOX</t>
  </si>
  <si>
    <t>ROG</t>
  </si>
  <si>
    <t>CO2</t>
  </si>
  <si>
    <t>CH4</t>
  </si>
  <si>
    <t>Mês</t>
  </si>
  <si>
    <t xml:space="preserve">Guindaste </t>
  </si>
  <si>
    <t>HC 165</t>
  </si>
  <si>
    <t>HC 110</t>
  </si>
  <si>
    <t>Empilhadeira de 16 ton</t>
  </si>
  <si>
    <t>Empilhadeira de 7 ton</t>
  </si>
  <si>
    <t>Produto</t>
  </si>
  <si>
    <t>Fertilizantes - Ureia Perolada</t>
  </si>
  <si>
    <t>Saída Direta [ton]</t>
  </si>
  <si>
    <t>Armazenamento [ton]</t>
  </si>
  <si>
    <t>Total [ton]</t>
  </si>
  <si>
    <t>Fertilizantes - Ureia Granulada</t>
  </si>
  <si>
    <t>Fertilizantes - Cloreto de Potássio Granulado</t>
  </si>
  <si>
    <t>Fertilizantes - Sulfato de Amônio Standard</t>
  </si>
  <si>
    <t>Fertilizantes - Sulfato de Amônio Granulado</t>
  </si>
  <si>
    <t>Fertilizantes - Cloreto de Potássio Granulado/Standart</t>
  </si>
  <si>
    <t>Fertilizantes - Sulfato de Amônio Granulado/Standart</t>
  </si>
  <si>
    <t>Fertilizantes - Sulfato de Amônio Standart</t>
  </si>
  <si>
    <t>Fertilizantes - Fertilizante Mineral/Ureia Perolada</t>
  </si>
  <si>
    <t>Peso Vazio (ton)</t>
  </si>
  <si>
    <t>Peso Cheio (ton)</t>
  </si>
  <si>
    <t>Peso Médio (ton)</t>
  </si>
  <si>
    <t>Total de caminhões por ano</t>
  </si>
  <si>
    <t>TR - Navio/Guindaste</t>
  </si>
  <si>
    <t>Umidade do Fertilizante (%)</t>
  </si>
  <si>
    <t>Fertilizantes</t>
  </si>
  <si>
    <t>TR - Galpão</t>
  </si>
  <si>
    <t>TR - Caminhão</t>
  </si>
  <si>
    <t>Eficiencia de Controle [%]</t>
  </si>
  <si>
    <t>Vias de Tráfego</t>
  </si>
  <si>
    <t>Transferências</t>
  </si>
  <si>
    <t xml:space="preserve"> </t>
  </si>
  <si>
    <t>-</t>
  </si>
  <si>
    <t>Navios</t>
  </si>
  <si>
    <t>Nota:</t>
  </si>
  <si>
    <t>Nota: Memorial da Fonte de Emissão de Navios encontra-se na planilha: Navios_PEIU.xlsx</t>
  </si>
  <si>
    <t>Fonte: Informações enviadas pelo empreendimento através dos Ofícios IEMA N° 150/2016 e 059/2017</t>
  </si>
  <si>
    <t>TOTAL</t>
  </si>
  <si>
    <t>Rodotrem
[50 ton]</t>
  </si>
  <si>
    <t>Carreta Bitrem
[33 ton]</t>
  </si>
  <si>
    <t>Carreta 3 Eixos
[27 ton]</t>
  </si>
  <si>
    <t>Caminhão Truck
[14 ton]</t>
  </si>
  <si>
    <t>Caminhão Toco
[6 ton]</t>
  </si>
  <si>
    <t>Caminhão Tanque
[14 ton]</t>
  </si>
  <si>
    <t>Caminhão Poliguindaste
[14 ton]</t>
  </si>
  <si>
    <t>Caminhão Guindaste
[14 ton]</t>
  </si>
  <si>
    <t>Van
[1ton]</t>
  </si>
  <si>
    <t>Ambulância
[1 ton]</t>
  </si>
  <si>
    <t>Comprimento [m]</t>
  </si>
  <si>
    <t>Nº de Caminhões por Hora [h-1]</t>
  </si>
  <si>
    <t>DMT  [km/h]</t>
  </si>
  <si>
    <t>Teor de Silte [%]</t>
  </si>
  <si>
    <t>Peso Médio dos Caminhões [t]</t>
  </si>
  <si>
    <t>Fator de Emissão - Ressuspensão [kg/VKT]</t>
  </si>
  <si>
    <t>Fator de Emissão - Gases Escapamento [kg/km]</t>
  </si>
  <si>
    <t>Fator - Desgaste Pneus e Freio [kg/km]</t>
  </si>
  <si>
    <t>Fator - Desgaste da Pista [kg/km]</t>
  </si>
  <si>
    <t>Horas Trabalhadas [média/mês]</t>
  </si>
  <si>
    <t>Horas Trabalhadas [média/dia]</t>
  </si>
  <si>
    <t>VOC</t>
  </si>
  <si>
    <t>Latitude [º]</t>
  </si>
  <si>
    <t>Longitude [º]</t>
  </si>
  <si>
    <t>Caminhão Betoneira
[14 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</si>
</sst>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0.0000"/>
    <numFmt numFmtId="167" formatCode="#,##0.0000"/>
    <numFmt numFmtId="168" formatCode="[&gt;=0.005]\ #,##0.00;[&lt;0.005]&quot;&lt;0,01&quot;"/>
    <numFmt numFmtId="169" formatCode="0.000000"/>
    <numFmt numFmtId="170" formatCode="0.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vertAlign val="subscript"/>
      <sz val="8"/>
      <color theme="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vertAlign val="subscript"/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8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DD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D9D9D9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rgb="FFBFBFBF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2" fillId="0" borderId="0"/>
    <xf numFmtId="0" fontId="1" fillId="0" borderId="0"/>
  </cellStyleXfs>
  <cellXfs count="170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6" fontId="23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20" fontId="1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23" fillId="36" borderId="23" xfId="0" applyFont="1" applyFill="1" applyBorder="1" applyAlignment="1">
      <alignment vertical="center"/>
    </xf>
    <xf numFmtId="0" fontId="23" fillId="36" borderId="23" xfId="0" applyFont="1" applyFill="1" applyBorder="1" applyAlignment="1">
      <alignment horizontal="center" vertical="center"/>
    </xf>
    <xf numFmtId="166" fontId="23" fillId="36" borderId="23" xfId="0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67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164" fontId="23" fillId="0" borderId="0" xfId="0" applyNumberFormat="1" applyFont="1" applyFill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3" fillId="0" borderId="0" xfId="0" applyNumberFormat="1" applyFont="1" applyFill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8" fillId="0" borderId="10" xfId="0" applyFont="1" applyBorder="1" applyAlignment="1">
      <alignment horizontal="left" vertical="center"/>
    </xf>
    <xf numFmtId="0" fontId="18" fillId="35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35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center" vertical="center"/>
    </xf>
    <xf numFmtId="170" fontId="18" fillId="0" borderId="10" xfId="0" applyNumberFormat="1" applyFont="1" applyBorder="1" applyAlignment="1">
      <alignment horizontal="center" vertical="center"/>
    </xf>
    <xf numFmtId="169" fontId="18" fillId="0" borderId="10" xfId="0" applyNumberFormat="1" applyFont="1" applyBorder="1" applyAlignment="1">
      <alignment horizontal="center" vertical="center"/>
    </xf>
    <xf numFmtId="168" fontId="18" fillId="0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8" xfId="0" applyFont="1" applyFill="1" applyBorder="1" applyAlignment="1">
      <alignment horizontal="left" vertical="center"/>
    </xf>
    <xf numFmtId="0" fontId="22" fillId="33" borderId="10" xfId="0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2" fontId="18" fillId="0" borderId="18" xfId="0" applyNumberFormat="1" applyFont="1" applyBorder="1" applyAlignment="1">
      <alignment horizontal="center" vertical="center"/>
    </xf>
    <xf numFmtId="0" fontId="18" fillId="34" borderId="20" xfId="0" applyFont="1" applyFill="1" applyBorder="1" applyAlignment="1"/>
    <xf numFmtId="0" fontId="18" fillId="34" borderId="32" xfId="0" applyFont="1" applyFill="1" applyBorder="1" applyAlignment="1"/>
    <xf numFmtId="0" fontId="18" fillId="34" borderId="19" xfId="0" applyFont="1" applyFill="1" applyBorder="1" applyAlignment="1"/>
    <xf numFmtId="0" fontId="18" fillId="34" borderId="0" xfId="0" applyFont="1" applyFill="1" applyBorder="1" applyAlignment="1"/>
    <xf numFmtId="0" fontId="18" fillId="34" borderId="15" xfId="0" applyFont="1" applyFill="1" applyBorder="1" applyAlignment="1"/>
    <xf numFmtId="0" fontId="18" fillId="34" borderId="16" xfId="0" applyFont="1" applyFill="1" applyBorder="1" applyAlignment="1"/>
    <xf numFmtId="166" fontId="23" fillId="0" borderId="23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27" fillId="35" borderId="38" xfId="0" applyFont="1" applyFill="1" applyBorder="1" applyAlignment="1">
      <alignment horizontal="center" vertical="center"/>
    </xf>
    <xf numFmtId="2" fontId="27" fillId="35" borderId="38" xfId="0" applyNumberFormat="1" applyFont="1" applyFill="1" applyBorder="1" applyAlignment="1">
      <alignment horizontal="center" vertical="center"/>
    </xf>
    <xf numFmtId="0" fontId="19" fillId="33" borderId="27" xfId="0" applyNumberFormat="1" applyFont="1" applyFill="1" applyBorder="1" applyAlignment="1" applyProtection="1">
      <alignment horizontal="center" vertical="center" wrapText="1"/>
    </xf>
    <xf numFmtId="0" fontId="19" fillId="33" borderId="33" xfId="0" applyNumberFormat="1" applyFont="1" applyFill="1" applyBorder="1" applyAlignment="1" applyProtection="1">
      <alignment horizontal="center" vertical="center" wrapText="1"/>
    </xf>
    <xf numFmtId="0" fontId="19" fillId="33" borderId="13" xfId="0" applyNumberFormat="1" applyFont="1" applyFill="1" applyBorder="1" applyAlignment="1" applyProtection="1">
      <alignment horizontal="center" vertical="center" wrapText="1"/>
    </xf>
    <xf numFmtId="0" fontId="19" fillId="33" borderId="27" xfId="0" applyNumberFormat="1" applyFont="1" applyFill="1" applyBorder="1" applyAlignment="1" applyProtection="1">
      <alignment horizontal="center" vertical="center" wrapText="1"/>
    </xf>
    <xf numFmtId="0" fontId="31" fillId="0" borderId="0" xfId="0" applyFont="1" applyFill="1" applyAlignment="1">
      <alignment vertical="center"/>
    </xf>
    <xf numFmtId="0" fontId="31" fillId="0" borderId="23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 wrapText="1"/>
    </xf>
    <xf numFmtId="4" fontId="23" fillId="0" borderId="25" xfId="0" applyNumberFormat="1" applyFont="1" applyFill="1" applyBorder="1" applyAlignment="1">
      <alignment horizontal="center" vertical="center" wrapText="1"/>
    </xf>
    <xf numFmtId="4" fontId="23" fillId="0" borderId="23" xfId="0" applyNumberFormat="1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" fontId="23" fillId="0" borderId="25" xfId="0" applyNumberFormat="1" applyFont="1" applyFill="1" applyBorder="1" applyAlignment="1">
      <alignment horizontal="center" vertical="center" wrapText="1"/>
    </xf>
    <xf numFmtId="167" fontId="23" fillId="0" borderId="25" xfId="0" applyNumberFormat="1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4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vertical="center"/>
    </xf>
    <xf numFmtId="164" fontId="18" fillId="0" borderId="0" xfId="0" applyNumberFormat="1" applyFont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18" fillId="0" borderId="49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2" fontId="23" fillId="35" borderId="31" xfId="0" applyNumberFormat="1" applyFont="1" applyFill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4" fontId="18" fillId="35" borderId="10" xfId="0" applyNumberFormat="1" applyFont="1" applyFill="1" applyBorder="1" applyAlignment="1">
      <alignment horizontal="center" vertical="center" wrapText="1"/>
    </xf>
    <xf numFmtId="3" fontId="18" fillId="35" borderId="10" xfId="0" applyNumberFormat="1" applyFont="1" applyFill="1" applyBorder="1" applyAlignment="1">
      <alignment horizontal="center" vertical="center" wrapText="1"/>
    </xf>
    <xf numFmtId="168" fontId="18" fillId="35" borderId="10" xfId="0" applyNumberFormat="1" applyFont="1" applyFill="1" applyBorder="1" applyAlignment="1">
      <alignment horizontal="center" vertical="center"/>
    </xf>
    <xf numFmtId="170" fontId="18" fillId="0" borderId="10" xfId="0" applyNumberFormat="1" applyFont="1" applyFill="1" applyBorder="1" applyAlignment="1">
      <alignment horizontal="center" vertical="center"/>
    </xf>
    <xf numFmtId="167" fontId="23" fillId="0" borderId="25" xfId="0" applyNumberFormat="1" applyFont="1" applyFill="1" applyBorder="1" applyAlignment="1">
      <alignment horizontal="center" vertical="center"/>
    </xf>
    <xf numFmtId="168" fontId="18" fillId="35" borderId="23" xfId="0" applyNumberFormat="1" applyFont="1" applyFill="1" applyBorder="1" applyAlignment="1">
      <alignment horizontal="center" vertical="center"/>
    </xf>
    <xf numFmtId="4" fontId="18" fillId="35" borderId="10" xfId="0" applyNumberFormat="1" applyFont="1" applyFill="1" applyBorder="1" applyAlignment="1">
      <alignment horizontal="center" vertical="center"/>
    </xf>
    <xf numFmtId="170" fontId="18" fillId="0" borderId="18" xfId="0" applyNumberFormat="1" applyFont="1" applyFill="1" applyBorder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19" fillId="33" borderId="5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34" borderId="13" xfId="0" applyFont="1" applyFill="1" applyBorder="1" applyAlignment="1">
      <alignment horizontal="center"/>
    </xf>
    <xf numFmtId="0" fontId="18" fillId="34" borderId="14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left" vertical="center" wrapText="1"/>
    </xf>
    <xf numFmtId="0" fontId="18" fillId="34" borderId="14" xfId="0" applyFont="1" applyFill="1" applyBorder="1" applyAlignment="1">
      <alignment horizontal="left" vertical="center" wrapText="1"/>
    </xf>
    <xf numFmtId="0" fontId="18" fillId="34" borderId="18" xfId="0" applyFont="1" applyFill="1" applyBorder="1" applyAlignment="1">
      <alignment horizontal="left" vertical="center" wrapText="1"/>
    </xf>
    <xf numFmtId="0" fontId="27" fillId="35" borderId="34" xfId="0" applyFont="1" applyFill="1" applyBorder="1" applyAlignment="1">
      <alignment horizontal="center" vertical="center"/>
    </xf>
    <xf numFmtId="0" fontId="27" fillId="35" borderId="39" xfId="0" applyFont="1" applyFill="1" applyBorder="1" applyAlignment="1">
      <alignment horizontal="center" vertical="center"/>
    </xf>
    <xf numFmtId="0" fontId="27" fillId="35" borderId="35" xfId="0" applyFont="1" applyFill="1" applyBorder="1" applyAlignment="1">
      <alignment horizontal="center" vertical="center"/>
    </xf>
    <xf numFmtId="0" fontId="27" fillId="35" borderId="36" xfId="0" applyFont="1" applyFill="1" applyBorder="1" applyAlignment="1">
      <alignment horizontal="center" vertical="center"/>
    </xf>
    <xf numFmtId="0" fontId="27" fillId="35" borderId="37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left" vertical="center"/>
    </xf>
    <xf numFmtId="0" fontId="23" fillId="0" borderId="26" xfId="0" applyFont="1" applyFill="1" applyBorder="1" applyAlignment="1">
      <alignment horizontal="left" vertical="center"/>
    </xf>
    <xf numFmtId="0" fontId="23" fillId="0" borderId="25" xfId="0" applyFont="1" applyFill="1" applyBorder="1" applyAlignment="1">
      <alignment horizontal="left" vertical="center"/>
    </xf>
    <xf numFmtId="0" fontId="21" fillId="34" borderId="13" xfId="0" applyFont="1" applyFill="1" applyBorder="1" applyAlignment="1">
      <alignment horizontal="center" vertical="center"/>
    </xf>
    <xf numFmtId="0" fontId="21" fillId="34" borderId="14" xfId="0" applyFont="1" applyFill="1" applyBorder="1" applyAlignment="1">
      <alignment horizontal="center" vertical="center"/>
    </xf>
    <xf numFmtId="0" fontId="21" fillId="34" borderId="18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18" fillId="35" borderId="16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 wrapText="1"/>
    </xf>
    <xf numFmtId="0" fontId="21" fillId="34" borderId="20" xfId="0" applyFont="1" applyFill="1" applyBorder="1" applyAlignment="1">
      <alignment horizontal="center" vertical="center"/>
    </xf>
    <xf numFmtId="0" fontId="21" fillId="34" borderId="19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18" fillId="34" borderId="20" xfId="0" applyFont="1" applyFill="1" applyBorder="1" applyAlignment="1">
      <alignment horizontal="left" vertical="center" wrapText="1"/>
    </xf>
    <xf numFmtId="0" fontId="18" fillId="34" borderId="32" xfId="0" applyFont="1" applyFill="1" applyBorder="1" applyAlignment="1">
      <alignment horizontal="left" vertical="center" wrapText="1"/>
    </xf>
    <xf numFmtId="0" fontId="18" fillId="34" borderId="19" xfId="0" applyFont="1" applyFill="1" applyBorder="1" applyAlignment="1">
      <alignment horizontal="left" vertical="center" wrapText="1"/>
    </xf>
    <xf numFmtId="0" fontId="18" fillId="34" borderId="0" xfId="0" applyFont="1" applyFill="1" applyBorder="1" applyAlignment="1">
      <alignment horizontal="left" vertical="center" wrapText="1"/>
    </xf>
    <xf numFmtId="0" fontId="18" fillId="34" borderId="15" xfId="0" applyFont="1" applyFill="1" applyBorder="1" applyAlignment="1">
      <alignment horizontal="left" vertical="center" wrapText="1"/>
    </xf>
    <xf numFmtId="0" fontId="18" fillId="34" borderId="16" xfId="0" applyFont="1" applyFill="1" applyBorder="1" applyAlignment="1">
      <alignment horizontal="left" vertical="center" wrapText="1"/>
    </xf>
    <xf numFmtId="0" fontId="21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left" vertical="center" wrapText="1"/>
    </xf>
    <xf numFmtId="0" fontId="18" fillId="35" borderId="11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40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21" xfId="0" applyFont="1" applyFill="1" applyBorder="1" applyAlignment="1">
      <alignment horizontal="center" vertical="center"/>
    </xf>
    <xf numFmtId="0" fontId="19" fillId="33" borderId="29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30" xfId="0" applyFont="1" applyFill="1" applyBorder="1" applyAlignment="1">
      <alignment horizontal="center" vertical="center"/>
    </xf>
    <xf numFmtId="0" fontId="19" fillId="33" borderId="13" xfId="0" applyNumberFormat="1" applyFont="1" applyFill="1" applyBorder="1" applyAlignment="1" applyProtection="1">
      <alignment horizontal="center" vertical="center" wrapText="1"/>
    </xf>
    <xf numFmtId="0" fontId="19" fillId="33" borderId="14" xfId="0" applyNumberFormat="1" applyFont="1" applyFill="1" applyBorder="1" applyAlignment="1" applyProtection="1">
      <alignment horizontal="center" vertical="center" wrapText="1"/>
    </xf>
    <xf numFmtId="0" fontId="19" fillId="33" borderId="51" xfId="0" applyNumberFormat="1" applyFont="1" applyFill="1" applyBorder="1" applyAlignment="1" applyProtection="1">
      <alignment horizontal="center" vertical="center" wrapText="1"/>
    </xf>
    <xf numFmtId="168" fontId="18" fillId="35" borderId="41" xfId="0" applyNumberFormat="1" applyFont="1" applyFill="1" applyBorder="1" applyAlignment="1">
      <alignment horizontal="center" vertical="center"/>
    </xf>
    <xf numFmtId="168" fontId="18" fillId="35" borderId="42" xfId="0" applyNumberFormat="1" applyFont="1" applyFill="1" applyBorder="1" applyAlignment="1">
      <alignment horizontal="center" vertical="center"/>
    </xf>
    <xf numFmtId="168" fontId="18" fillId="35" borderId="43" xfId="0" applyNumberFormat="1" applyFont="1" applyFill="1" applyBorder="1" applyAlignment="1">
      <alignment horizontal="center" vertical="center"/>
    </xf>
    <xf numFmtId="0" fontId="19" fillId="33" borderId="27" xfId="0" applyNumberFormat="1" applyFont="1" applyFill="1" applyBorder="1" applyAlignment="1" applyProtection="1">
      <alignment horizontal="center" vertical="center" wrapText="1"/>
    </xf>
    <xf numFmtId="0" fontId="19" fillId="33" borderId="22" xfId="0" applyNumberFormat="1" applyFont="1" applyFill="1" applyBorder="1" applyAlignment="1" applyProtection="1">
      <alignment horizontal="center" vertical="center" wrapText="1"/>
    </xf>
    <xf numFmtId="0" fontId="19" fillId="33" borderId="28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center" vertical="center" wrapText="1"/>
    </xf>
    <xf numFmtId="0" fontId="19" fillId="33" borderId="50" xfId="0" applyNumberFormat="1" applyFont="1" applyFill="1" applyBorder="1" applyAlignment="1" applyProtection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47" xfId="0" applyNumberFormat="1" applyFont="1" applyFill="1" applyBorder="1" applyAlignment="1" applyProtection="1">
      <alignment horizontal="center" vertical="center" wrapText="1"/>
    </xf>
    <xf numFmtId="0" fontId="19" fillId="33" borderId="48" xfId="0" applyNumberFormat="1" applyFont="1" applyFill="1" applyBorder="1" applyAlignment="1" applyProtection="1">
      <alignment horizontal="center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3" xfId="42"/>
    <cellStyle name="Normal 4" xfId="43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CC"/>
      <color rgb="FFBFBFBF"/>
      <color rgb="FFFFFFDD"/>
      <color rgb="FF9933FF"/>
      <color rgb="FF99FF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21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SpPr txBox="1"/>
          </xdr:nvSpPr>
          <xdr:spPr>
            <a:xfrm>
              <a:off x="2886075" y="5729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2886075" y="5729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6</xdr:row>
      <xdr:rowOff>185737</xdr:rowOff>
    </xdr:from>
    <xdr:ext cx="23431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990600" y="530066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𝑠𝐿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0,91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1,02</m:t>
                            </m:r>
                          </m:sup>
                        </m:s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1−1,2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990600" y="530066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𝐹𝐸=(𝑘 . 〖𝑠𝐿〗^0,91. 𝑊^1,02 )  . (1−1,2𝑃/𝑁) 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3</xdr:col>
      <xdr:colOff>38101</xdr:colOff>
      <xdr:row>6</xdr:row>
      <xdr:rowOff>104775</xdr:rowOff>
    </xdr:from>
    <xdr:to>
      <xdr:col>3</xdr:col>
      <xdr:colOff>962025</xdr:colOff>
      <xdr:row>8</xdr:row>
      <xdr:rowOff>47625</xdr:rowOff>
    </xdr:to>
    <xdr:sp macro="" textlink="">
      <xdr:nvSpPr>
        <xdr:cNvPr id="5" name="Elipse 4"/>
        <xdr:cNvSpPr/>
      </xdr:nvSpPr>
      <xdr:spPr>
        <a:xfrm>
          <a:off x="2409826" y="4791075"/>
          <a:ext cx="923924" cy="32385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5</xdr:row>
      <xdr:rowOff>146771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644361" y="35757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644361" y="35757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customHeight="1" x14ac:dyDescent="0.25"/>
  <cols>
    <col min="1" max="1" width="9.28515625" style="1" customWidth="1"/>
    <col min="2" max="2" width="38.85546875" style="2" bestFit="1" customWidth="1"/>
    <col min="3" max="3" width="10.85546875" style="1" customWidth="1"/>
    <col min="4" max="4" width="14.7109375" style="1" customWidth="1"/>
    <col min="5" max="5" width="10.42578125" style="1" customWidth="1"/>
    <col min="6" max="6" width="9.140625" style="1"/>
    <col min="7" max="7" width="10" style="1" bestFit="1" customWidth="1"/>
    <col min="8" max="8" width="37.85546875" style="1" customWidth="1"/>
    <col min="9" max="16384" width="9.140625" style="1"/>
  </cols>
  <sheetData>
    <row r="1" spans="1:8" ht="15" customHeight="1" x14ac:dyDescent="0.25">
      <c r="A1" s="1" t="s">
        <v>135</v>
      </c>
    </row>
    <row r="3" spans="1:8" ht="20.25" customHeight="1" x14ac:dyDescent="0.25">
      <c r="A3" s="1" t="s">
        <v>14</v>
      </c>
    </row>
    <row r="4" spans="1:8" s="75" customFormat="1" ht="25.5" customHeight="1" x14ac:dyDescent="0.25">
      <c r="A4" s="62" t="s">
        <v>99</v>
      </c>
      <c r="B4" s="62" t="s">
        <v>105</v>
      </c>
      <c r="C4" s="62" t="s">
        <v>107</v>
      </c>
      <c r="D4" s="62" t="s">
        <v>108</v>
      </c>
      <c r="E4" s="62" t="s">
        <v>109</v>
      </c>
    </row>
    <row r="5" spans="1:8" s="11" customFormat="1" ht="15" customHeight="1" x14ac:dyDescent="0.25">
      <c r="A5" s="105" t="s">
        <v>2</v>
      </c>
      <c r="B5" s="82" t="s">
        <v>112</v>
      </c>
      <c r="C5" s="83">
        <v>5934.01</v>
      </c>
      <c r="D5" s="83">
        <v>6362.2</v>
      </c>
      <c r="E5" s="83">
        <f>SUM(C5:D5)</f>
        <v>12296.21</v>
      </c>
      <c r="H5" s="82"/>
    </row>
    <row r="6" spans="1:8" s="11" customFormat="1" ht="15" customHeight="1" x14ac:dyDescent="0.25">
      <c r="A6" s="105"/>
      <c r="B6" s="82" t="s">
        <v>106</v>
      </c>
      <c r="C6" s="83">
        <v>23351.598000000002</v>
      </c>
      <c r="D6" s="83">
        <v>4148.3999999999996</v>
      </c>
      <c r="E6" s="83">
        <f t="shared" ref="E6:E18" si="0">SUM(C6:D6)</f>
        <v>27499.998</v>
      </c>
      <c r="H6" s="82"/>
    </row>
    <row r="7" spans="1:8" s="11" customFormat="1" ht="15" customHeight="1" x14ac:dyDescent="0.25">
      <c r="A7" s="22" t="s">
        <v>0</v>
      </c>
      <c r="B7" s="82" t="s">
        <v>106</v>
      </c>
      <c r="C7" s="83">
        <v>8916.6550000000007</v>
      </c>
      <c r="D7" s="83">
        <v>8378.75</v>
      </c>
      <c r="E7" s="83">
        <f t="shared" si="0"/>
        <v>17295.404999999999</v>
      </c>
      <c r="H7" s="82"/>
    </row>
    <row r="8" spans="1:8" s="11" customFormat="1" ht="15" customHeight="1" x14ac:dyDescent="0.25">
      <c r="A8" s="105" t="s">
        <v>3</v>
      </c>
      <c r="B8" s="82" t="s">
        <v>110</v>
      </c>
      <c r="C8" s="83">
        <v>6176.6</v>
      </c>
      <c r="D8" s="83">
        <v>2823.4</v>
      </c>
      <c r="E8" s="83">
        <f t="shared" si="0"/>
        <v>9000</v>
      </c>
      <c r="H8" s="82"/>
    </row>
    <row r="9" spans="1:8" s="11" customFormat="1" ht="15" customHeight="1" x14ac:dyDescent="0.25">
      <c r="A9" s="105"/>
      <c r="B9" s="82" t="s">
        <v>111</v>
      </c>
      <c r="C9" s="83">
        <v>18652.78</v>
      </c>
      <c r="D9" s="83">
        <v>3371.22</v>
      </c>
      <c r="E9" s="83">
        <f t="shared" si="0"/>
        <v>22024</v>
      </c>
      <c r="H9" s="82"/>
    </row>
    <row r="10" spans="1:8" s="11" customFormat="1" ht="15" customHeight="1" x14ac:dyDescent="0.25">
      <c r="A10" s="22" t="s">
        <v>4</v>
      </c>
      <c r="B10" s="82" t="s">
        <v>113</v>
      </c>
      <c r="C10" s="83">
        <v>3825.16</v>
      </c>
      <c r="D10" s="83">
        <v>174.84</v>
      </c>
      <c r="E10" s="83">
        <f t="shared" si="0"/>
        <v>4000</v>
      </c>
      <c r="H10" s="82"/>
    </row>
    <row r="11" spans="1:8" s="11" customFormat="1" ht="15" customHeight="1" x14ac:dyDescent="0.25">
      <c r="A11" s="22" t="s">
        <v>5</v>
      </c>
      <c r="B11" s="82" t="s">
        <v>106</v>
      </c>
      <c r="C11" s="83">
        <v>12184.36</v>
      </c>
      <c r="D11" s="83">
        <v>14815.64</v>
      </c>
      <c r="E11" s="83">
        <f t="shared" si="0"/>
        <v>27000</v>
      </c>
      <c r="H11" s="82"/>
    </row>
    <row r="12" spans="1:8" s="11" customFormat="1" ht="15" customHeight="1" x14ac:dyDescent="0.25">
      <c r="A12" s="105" t="s">
        <v>7</v>
      </c>
      <c r="B12" s="82" t="s">
        <v>114</v>
      </c>
      <c r="C12" s="83">
        <v>4468.62</v>
      </c>
      <c r="D12" s="83">
        <v>9781.3799999999992</v>
      </c>
      <c r="E12" s="83">
        <f t="shared" si="0"/>
        <v>14250</v>
      </c>
      <c r="H12" s="82"/>
    </row>
    <row r="13" spans="1:8" s="11" customFormat="1" ht="15" customHeight="1" x14ac:dyDescent="0.25">
      <c r="A13" s="105"/>
      <c r="B13" s="82" t="s">
        <v>114</v>
      </c>
      <c r="C13" s="83">
        <v>0</v>
      </c>
      <c r="D13" s="83">
        <v>5211</v>
      </c>
      <c r="E13" s="83">
        <f t="shared" si="0"/>
        <v>5211</v>
      </c>
    </row>
    <row r="14" spans="1:8" s="11" customFormat="1" ht="15" customHeight="1" x14ac:dyDescent="0.25">
      <c r="A14" s="105"/>
      <c r="B14" s="82" t="s">
        <v>115</v>
      </c>
      <c r="C14" s="83">
        <v>9699.7929999999997</v>
      </c>
      <c r="D14" s="83">
        <v>12300.29</v>
      </c>
      <c r="E14" s="83">
        <f t="shared" si="0"/>
        <v>22000.082999999999</v>
      </c>
    </row>
    <row r="15" spans="1:8" s="11" customFormat="1" ht="15" customHeight="1" x14ac:dyDescent="0.25">
      <c r="A15" s="22" t="s">
        <v>8</v>
      </c>
      <c r="B15" s="82" t="s">
        <v>116</v>
      </c>
      <c r="C15" s="83">
        <v>14988.74</v>
      </c>
      <c r="D15" s="83">
        <v>10801.26</v>
      </c>
      <c r="E15" s="83">
        <f t="shared" si="0"/>
        <v>25790</v>
      </c>
    </row>
    <row r="16" spans="1:8" s="11" customFormat="1" ht="15" customHeight="1" x14ac:dyDescent="0.25">
      <c r="A16" s="22" t="s">
        <v>9</v>
      </c>
      <c r="B16" s="82" t="s">
        <v>115</v>
      </c>
      <c r="C16" s="83">
        <v>4942.4799999999996</v>
      </c>
      <c r="D16" s="83">
        <v>0</v>
      </c>
      <c r="E16" s="83">
        <f t="shared" si="0"/>
        <v>4942.4799999999996</v>
      </c>
    </row>
    <row r="17" spans="1:5" s="11" customFormat="1" ht="15" customHeight="1" x14ac:dyDescent="0.25">
      <c r="A17" s="22" t="s">
        <v>10</v>
      </c>
      <c r="B17" s="82" t="s">
        <v>116</v>
      </c>
      <c r="C17" s="83">
        <v>4122.6400000000003</v>
      </c>
      <c r="D17" s="83">
        <v>6818.53</v>
      </c>
      <c r="E17" s="83">
        <f t="shared" si="0"/>
        <v>10941.17</v>
      </c>
    </row>
    <row r="18" spans="1:5" s="11" customFormat="1" ht="15" customHeight="1" x14ac:dyDescent="0.25">
      <c r="A18" s="105" t="s">
        <v>11</v>
      </c>
      <c r="B18" s="82" t="s">
        <v>116</v>
      </c>
      <c r="C18" s="83">
        <v>11182.382</v>
      </c>
      <c r="D18" s="83">
        <v>4344.7299999999996</v>
      </c>
      <c r="E18" s="83">
        <f t="shared" si="0"/>
        <v>15527.111999999999</v>
      </c>
    </row>
    <row r="19" spans="1:5" s="11" customFormat="1" ht="15" customHeight="1" x14ac:dyDescent="0.25">
      <c r="A19" s="105"/>
      <c r="B19" s="82" t="s">
        <v>117</v>
      </c>
      <c r="C19" s="83">
        <v>8464.4410000000007</v>
      </c>
      <c r="D19" s="83">
        <v>4611.22</v>
      </c>
      <c r="E19" s="83">
        <f>SUM(C19:D19)</f>
        <v>13075.661</v>
      </c>
    </row>
    <row r="20" spans="1:5" s="11" customFormat="1" ht="15" customHeight="1" x14ac:dyDescent="0.25">
      <c r="B20" s="22"/>
      <c r="E20" s="84"/>
    </row>
  </sheetData>
  <sheetProtection password="B056" sheet="1" objects="1" scenarios="1"/>
  <autoFilter ref="B3:B28"/>
  <mergeCells count="4">
    <mergeCell ref="A5:A6"/>
    <mergeCell ref="A8:A9"/>
    <mergeCell ref="A12:A14"/>
    <mergeCell ref="A18:A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defaultRowHeight="15" x14ac:dyDescent="0.25"/>
  <cols>
    <col min="1" max="1" width="32.5703125" style="4" customWidth="1"/>
    <col min="2" max="2" width="8.42578125" style="4" customWidth="1"/>
    <col min="3" max="3" width="7.140625" style="4" bestFit="1" customWidth="1"/>
    <col min="4" max="5" width="9.140625" style="4"/>
    <col min="6" max="6" width="8.42578125" style="4" bestFit="1" customWidth="1"/>
    <col min="7" max="9" width="9.140625" style="4"/>
    <col min="12" max="16384" width="9.140625" style="4"/>
  </cols>
  <sheetData>
    <row r="1" spans="1:11" ht="15" customHeight="1" x14ac:dyDescent="0.25">
      <c r="A1" s="1" t="s">
        <v>33</v>
      </c>
      <c r="B1" s="3"/>
      <c r="C1" s="3"/>
      <c r="D1" s="3"/>
      <c r="E1" s="3"/>
      <c r="F1" s="3"/>
      <c r="G1" s="3"/>
      <c r="H1" s="3"/>
      <c r="I1" s="3"/>
    </row>
    <row r="2" spans="1:11" ht="15" customHeight="1" x14ac:dyDescent="0.25">
      <c r="A2" s="5"/>
      <c r="B2" s="6"/>
      <c r="C2" s="7"/>
      <c r="D2" s="7"/>
      <c r="E2" s="7"/>
      <c r="F2" s="7"/>
      <c r="G2" s="7"/>
      <c r="H2" s="7"/>
      <c r="I2" s="7"/>
    </row>
    <row r="3" spans="1:11" ht="15" customHeight="1" x14ac:dyDescent="0.25">
      <c r="A3" s="111" t="s">
        <v>19</v>
      </c>
      <c r="B3" s="113" t="s">
        <v>34</v>
      </c>
      <c r="C3" s="114"/>
      <c r="D3" s="114"/>
      <c r="E3" s="114"/>
      <c r="F3" s="114"/>
      <c r="G3" s="114"/>
      <c r="H3" s="114"/>
      <c r="I3" s="115"/>
    </row>
    <row r="4" spans="1:11" ht="15" customHeight="1" x14ac:dyDescent="0.25">
      <c r="A4" s="112"/>
      <c r="B4" s="58" t="s">
        <v>20</v>
      </c>
      <c r="C4" s="59" t="s">
        <v>21</v>
      </c>
      <c r="D4" s="59" t="s">
        <v>94</v>
      </c>
      <c r="E4" s="59" t="s">
        <v>95</v>
      </c>
      <c r="F4" s="59" t="s">
        <v>18</v>
      </c>
      <c r="G4" s="59" t="s">
        <v>96</v>
      </c>
      <c r="H4" s="59" t="s">
        <v>97</v>
      </c>
      <c r="I4" s="59" t="s">
        <v>98</v>
      </c>
    </row>
    <row r="5" spans="1:11" s="9" customFormat="1" ht="15" customHeight="1" x14ac:dyDescent="0.25">
      <c r="A5" s="116" t="s">
        <v>22</v>
      </c>
      <c r="B5" s="17">
        <v>50</v>
      </c>
      <c r="C5" s="55">
        <v>1.5170261132105924E-2</v>
      </c>
      <c r="D5" s="55">
        <v>1.3596242309705308E-4</v>
      </c>
      <c r="E5" s="55">
        <v>0.12090602488353881</v>
      </c>
      <c r="F5" s="55">
        <v>0.15670198319003961</v>
      </c>
      <c r="G5" s="55">
        <v>7.0513561448611858E-2</v>
      </c>
      <c r="H5" s="55">
        <v>10.517298353837848</v>
      </c>
      <c r="I5" s="55">
        <v>6.3623260948461376E-3</v>
      </c>
      <c r="J5" s="56"/>
      <c r="K5" s="56"/>
    </row>
    <row r="6" spans="1:11" s="9" customFormat="1" ht="15" customHeight="1" x14ac:dyDescent="0.25">
      <c r="A6" s="117"/>
      <c r="B6" s="17">
        <v>120</v>
      </c>
      <c r="C6" s="55">
        <v>3.1450077922275839E-2</v>
      </c>
      <c r="D6" s="55">
        <v>2.6683064743948968E-4</v>
      </c>
      <c r="E6" s="55">
        <v>0.3477842591091701</v>
      </c>
      <c r="F6" s="55">
        <v>0.17484355640909954</v>
      </c>
      <c r="G6" s="55">
        <v>6.0675650460468786E-2</v>
      </c>
      <c r="H6" s="55">
        <v>22.746718560480101</v>
      </c>
      <c r="I6" s="55">
        <v>5.4746671130328963E-3</v>
      </c>
      <c r="J6" s="56"/>
      <c r="K6" s="56"/>
    </row>
    <row r="7" spans="1:11" s="9" customFormat="1" ht="15" customHeight="1" x14ac:dyDescent="0.25">
      <c r="A7" s="117"/>
      <c r="B7" s="17">
        <v>175</v>
      </c>
      <c r="C7" s="55">
        <v>2.7884407664468203E-2</v>
      </c>
      <c r="D7" s="55">
        <v>4.1005372131084207E-4</v>
      </c>
      <c r="E7" s="55">
        <v>0.49934000918466154</v>
      </c>
      <c r="F7" s="55">
        <v>0.22564930784205095</v>
      </c>
      <c r="G7" s="55">
        <v>6.4295255493779249E-2</v>
      </c>
      <c r="H7" s="55">
        <v>36.443665178164139</v>
      </c>
      <c r="I7" s="55">
        <v>5.8012575177646755E-3</v>
      </c>
      <c r="J7" s="56"/>
      <c r="K7" s="56"/>
    </row>
    <row r="8" spans="1:11" s="9" customFormat="1" ht="15" customHeight="1" x14ac:dyDescent="0.25">
      <c r="A8" s="117"/>
      <c r="B8" s="17">
        <v>250</v>
      </c>
      <c r="C8" s="55">
        <v>2.5897455243749198E-2</v>
      </c>
      <c r="D8" s="55">
        <v>5.7242406322174488E-4</v>
      </c>
      <c r="E8" s="55">
        <v>0.66517064787851554</v>
      </c>
      <c r="F8" s="55">
        <v>0.18683152696532357</v>
      </c>
      <c r="G8" s="55">
        <v>6.7039754434552359E-2</v>
      </c>
      <c r="H8" s="55">
        <v>50.874374431572036</v>
      </c>
      <c r="I8" s="55">
        <v>6.0488899851658335E-3</v>
      </c>
      <c r="J8" s="56"/>
      <c r="K8" s="56"/>
    </row>
    <row r="9" spans="1:11" s="9" customFormat="1" ht="15" customHeight="1" x14ac:dyDescent="0.25">
      <c r="A9" s="117"/>
      <c r="B9" s="17">
        <v>500</v>
      </c>
      <c r="C9" s="55">
        <v>3.7138792516272966E-2</v>
      </c>
      <c r="D9" s="55">
        <v>8.0183868816433382E-4</v>
      </c>
      <c r="E9" s="55">
        <v>0.95478182086470209</v>
      </c>
      <c r="F9" s="55">
        <v>0.38480383406526514</v>
      </c>
      <c r="G9" s="55">
        <v>9.6227929791575698E-2</v>
      </c>
      <c r="H9" s="55">
        <v>81.692515485875276</v>
      </c>
      <c r="I9" s="55">
        <v>8.6824922371241259E-3</v>
      </c>
      <c r="J9" s="56"/>
      <c r="K9" s="56"/>
    </row>
    <row r="10" spans="1:11" s="9" customFormat="1" ht="15" customHeight="1" x14ac:dyDescent="0.25">
      <c r="A10" s="117"/>
      <c r="B10" s="17">
        <v>750</v>
      </c>
      <c r="C10" s="55">
        <v>6.3011704998255175E-2</v>
      </c>
      <c r="D10" s="55">
        <v>1.3821084740379291E-3</v>
      </c>
      <c r="E10" s="55">
        <v>1.6418624857671682</v>
      </c>
      <c r="F10" s="55">
        <v>0.64469912411930808</v>
      </c>
      <c r="G10" s="55">
        <v>0.16327907040414899</v>
      </c>
      <c r="H10" s="55">
        <v>137.45862849183945</v>
      </c>
      <c r="I10" s="55">
        <v>1.4732409546589952E-2</v>
      </c>
      <c r="J10" s="56"/>
      <c r="K10" s="56"/>
    </row>
    <row r="11" spans="1:11" s="9" customFormat="1" ht="15" customHeight="1" x14ac:dyDescent="0.25">
      <c r="A11" s="118"/>
      <c r="B11" s="17">
        <v>9999</v>
      </c>
      <c r="C11" s="55">
        <v>0.1970659156325946</v>
      </c>
      <c r="D11" s="55">
        <v>4.4266833407443883E-3</v>
      </c>
      <c r="E11" s="55">
        <v>6.1536369963483475</v>
      </c>
      <c r="F11" s="55">
        <v>2.3711746868071617</v>
      </c>
      <c r="G11" s="55">
        <v>0.57995762972403597</v>
      </c>
      <c r="H11" s="55">
        <v>440.25899293107631</v>
      </c>
      <c r="I11" s="55">
        <v>5.2328641514703823E-2</v>
      </c>
      <c r="J11" s="56"/>
      <c r="K11" s="56"/>
    </row>
    <row r="12" spans="1:11" ht="15" customHeight="1" x14ac:dyDescent="0.25">
      <c r="A12" s="18" t="s">
        <v>23</v>
      </c>
      <c r="B12" s="19"/>
      <c r="C12" s="20">
        <v>3.4238318760376689E-2</v>
      </c>
      <c r="D12" s="20">
        <v>6.2471307515509487E-4</v>
      </c>
      <c r="E12" s="20">
        <v>0.76873126455858876</v>
      </c>
      <c r="F12" s="20">
        <v>0.28873356403415218</v>
      </c>
      <c r="G12" s="20">
        <v>8.5358232444633655E-2</v>
      </c>
      <c r="H12" s="20">
        <v>58.365228685908704</v>
      </c>
      <c r="I12" s="20">
        <v>7.7017365907596389E-3</v>
      </c>
    </row>
    <row r="13" spans="1:11" s="9" customFormat="1" ht="15" customHeight="1" x14ac:dyDescent="0.25">
      <c r="A13" s="116" t="s">
        <v>24</v>
      </c>
      <c r="B13" s="17">
        <v>50</v>
      </c>
      <c r="C13" s="55">
        <v>9.3630013476799761E-3</v>
      </c>
      <c r="D13" s="55">
        <v>8.6033551570891521E-5</v>
      </c>
      <c r="E13" s="55">
        <v>7.4519991808693467E-2</v>
      </c>
      <c r="F13" s="55">
        <v>9.6138212535283471E-2</v>
      </c>
      <c r="G13" s="55">
        <v>4.226926262316423E-2</v>
      </c>
      <c r="H13" s="55">
        <v>6.6550780871892741</v>
      </c>
      <c r="I13" s="55">
        <v>3.8138874603585002E-3</v>
      </c>
    </row>
    <row r="14" spans="1:11" s="9" customFormat="1" ht="15" customHeight="1" x14ac:dyDescent="0.25">
      <c r="A14" s="117"/>
      <c r="B14" s="17">
        <v>120</v>
      </c>
      <c r="C14" s="55">
        <v>1.9432717920016346E-2</v>
      </c>
      <c r="D14" s="55">
        <v>1.6614354833010314E-4</v>
      </c>
      <c r="E14" s="55">
        <v>0.19770476916405869</v>
      </c>
      <c r="F14" s="55">
        <v>0.10602299202233414</v>
      </c>
      <c r="G14" s="55">
        <v>3.5663485612068627E-2</v>
      </c>
      <c r="H14" s="55">
        <v>14.163368243694034</v>
      </c>
      <c r="I14" s="55">
        <v>3.217858921102401E-3</v>
      </c>
      <c r="J14" s="56"/>
      <c r="K14" s="56"/>
    </row>
    <row r="15" spans="1:11" s="9" customFormat="1" ht="15" customHeight="1" x14ac:dyDescent="0.25">
      <c r="A15" s="117"/>
      <c r="B15" s="17">
        <v>175</v>
      </c>
      <c r="C15" s="55">
        <v>1.8879850739384012E-2</v>
      </c>
      <c r="D15" s="55">
        <v>2.8608393717488665E-4</v>
      </c>
      <c r="E15" s="55">
        <v>0.31861247152656436</v>
      </c>
      <c r="F15" s="55">
        <v>0.15162091846570119</v>
      </c>
      <c r="G15" s="55">
        <v>4.2373566784726938E-2</v>
      </c>
      <c r="H15" s="55">
        <v>25.425804730599385</v>
      </c>
      <c r="I15" s="55">
        <v>3.8232977904108984E-3</v>
      </c>
      <c r="J15" s="56"/>
      <c r="K15" s="56"/>
    </row>
    <row r="16" spans="1:11" s="9" customFormat="1" ht="15" customHeight="1" x14ac:dyDescent="0.25">
      <c r="A16" s="117"/>
      <c r="B16" s="17">
        <v>250</v>
      </c>
      <c r="C16" s="55">
        <v>1.2379282144095784E-2</v>
      </c>
      <c r="D16" s="55">
        <v>3.9360565132436678E-4</v>
      </c>
      <c r="E16" s="55">
        <v>0.40506800826818495</v>
      </c>
      <c r="F16" s="55">
        <v>8.7074543299048776E-2</v>
      </c>
      <c r="G16" s="55">
        <v>3.457791520160676E-2</v>
      </c>
      <c r="H16" s="55">
        <v>34.981822100661624</v>
      </c>
      <c r="I16" s="55">
        <v>3.1199098492446938E-3</v>
      </c>
      <c r="J16" s="56"/>
      <c r="K16" s="56"/>
    </row>
    <row r="17" spans="1:11" s="9" customFormat="1" ht="15" customHeight="1" x14ac:dyDescent="0.25">
      <c r="A17" s="118"/>
      <c r="B17" s="17">
        <v>500</v>
      </c>
      <c r="C17" s="55">
        <v>1.6493488182013304E-2</v>
      </c>
      <c r="D17" s="55">
        <v>4.9410057705164077E-4</v>
      </c>
      <c r="E17" s="55">
        <v>0.50757511605008721</v>
      </c>
      <c r="F17" s="55">
        <v>0.12597072839531243</v>
      </c>
      <c r="G17" s="55">
        <v>4.4813003055424828E-2</v>
      </c>
      <c r="H17" s="55">
        <v>50.339707371204433</v>
      </c>
      <c r="I17" s="55">
        <v>4.0434057363924357E-3</v>
      </c>
      <c r="J17" s="56"/>
      <c r="K17" s="56"/>
    </row>
    <row r="18" spans="1:11" s="9" customFormat="1" ht="15" customHeight="1" x14ac:dyDescent="0.25">
      <c r="A18" s="18" t="s">
        <v>25</v>
      </c>
      <c r="B18" s="19"/>
      <c r="C18" s="20">
        <v>1.5679217258560096E-2</v>
      </c>
      <c r="D18" s="20">
        <v>2.7344430397525926E-4</v>
      </c>
      <c r="E18" s="20">
        <v>0.29166478621703318</v>
      </c>
      <c r="F18" s="20">
        <v>0.11318837071254896</v>
      </c>
      <c r="G18" s="20">
        <v>3.9051256187841339E-2</v>
      </c>
      <c r="H18" s="20">
        <v>24.673479409814476</v>
      </c>
      <c r="I18" s="20">
        <v>3.5235318676344273E-3</v>
      </c>
      <c r="J18" s="56"/>
      <c r="K18" s="56"/>
    </row>
    <row r="20" spans="1:11" ht="15" customHeight="1" x14ac:dyDescent="0.25">
      <c r="F20" s="8"/>
    </row>
    <row r="21" spans="1:11" x14ac:dyDescent="0.25">
      <c r="A21" s="119" t="s">
        <v>32</v>
      </c>
      <c r="B21" s="106"/>
      <c r="C21" s="106"/>
      <c r="D21" s="106"/>
      <c r="E21" s="106"/>
      <c r="F21" s="106"/>
    </row>
    <row r="22" spans="1:11" x14ac:dyDescent="0.25">
      <c r="A22" s="120"/>
      <c r="B22" s="107"/>
      <c r="C22" s="107"/>
      <c r="D22" s="107"/>
      <c r="E22" s="107"/>
      <c r="F22" s="107"/>
    </row>
    <row r="23" spans="1:11" x14ac:dyDescent="0.25">
      <c r="A23" s="120"/>
      <c r="B23" s="107"/>
      <c r="C23" s="107"/>
      <c r="D23" s="107"/>
      <c r="E23" s="107"/>
      <c r="F23" s="107"/>
    </row>
    <row r="24" spans="1:11" x14ac:dyDescent="0.25">
      <c r="A24" s="120"/>
      <c r="B24" s="108" t="s">
        <v>92</v>
      </c>
      <c r="C24" s="108"/>
      <c r="D24" s="108"/>
      <c r="E24" s="108"/>
      <c r="F24" s="108"/>
    </row>
    <row r="25" spans="1:11" x14ac:dyDescent="0.25">
      <c r="A25" s="120"/>
      <c r="B25" s="109"/>
      <c r="C25" s="109"/>
      <c r="D25" s="109"/>
      <c r="E25" s="109"/>
      <c r="F25" s="109"/>
    </row>
    <row r="26" spans="1:11" x14ac:dyDescent="0.25">
      <c r="A26" s="120"/>
      <c r="B26" s="109"/>
      <c r="C26" s="109"/>
      <c r="D26" s="109"/>
      <c r="E26" s="109"/>
      <c r="F26" s="109"/>
    </row>
    <row r="27" spans="1:11" x14ac:dyDescent="0.25">
      <c r="A27" s="121"/>
      <c r="B27" s="110"/>
      <c r="C27" s="110"/>
      <c r="D27" s="110"/>
      <c r="E27" s="110"/>
      <c r="F27" s="110"/>
    </row>
    <row r="28" spans="1:11" x14ac:dyDescent="0.25">
      <c r="A28" s="57"/>
      <c r="B28" s="57"/>
      <c r="C28" s="57"/>
      <c r="D28" s="57"/>
      <c r="E28" s="57"/>
      <c r="F28" s="57"/>
    </row>
    <row r="29" spans="1:11" x14ac:dyDescent="0.25">
      <c r="A29" s="1" t="s">
        <v>133</v>
      </c>
      <c r="B29" s="57"/>
      <c r="C29" s="57"/>
      <c r="D29" s="57"/>
      <c r="E29" s="57"/>
      <c r="F29" s="57"/>
    </row>
    <row r="30" spans="1:11" x14ac:dyDescent="0.25">
      <c r="A30" s="1" t="s">
        <v>93</v>
      </c>
      <c r="B30" s="57"/>
      <c r="C30" s="57"/>
      <c r="D30" s="57"/>
      <c r="E30" s="57"/>
      <c r="F30" s="57"/>
    </row>
  </sheetData>
  <sheetProtection password="B056" sheet="1" objects="1" scenarios="1"/>
  <mergeCells count="7">
    <mergeCell ref="B21:F23"/>
    <mergeCell ref="B24:F27"/>
    <mergeCell ref="A3:A4"/>
    <mergeCell ref="B3:I3"/>
    <mergeCell ref="A5:A11"/>
    <mergeCell ref="A13:A17"/>
    <mergeCell ref="A21:A2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opLeftCell="A4" workbookViewId="0">
      <selection activeCell="F22" sqref="F22"/>
    </sheetView>
  </sheetViews>
  <sheetFormatPr defaultColWidth="11.140625" defaultRowHeight="15" x14ac:dyDescent="0.25"/>
  <cols>
    <col min="1" max="1" width="13.28515625" customWidth="1"/>
    <col min="4" max="4" width="16.5703125" customWidth="1"/>
    <col min="6" max="6" width="13.5703125" customWidth="1"/>
    <col min="7" max="7" width="16.5703125" customWidth="1"/>
    <col min="8" max="8" width="17.85546875" customWidth="1"/>
    <col min="9" max="9" width="14.140625" customWidth="1"/>
    <col min="10" max="10" width="14" customWidth="1"/>
  </cols>
  <sheetData>
    <row r="1" spans="1:10" x14ac:dyDescent="0.25">
      <c r="A1" s="1" t="s">
        <v>86</v>
      </c>
      <c r="C1" s="36"/>
      <c r="D1" s="36"/>
      <c r="F1" s="122" t="s">
        <v>65</v>
      </c>
      <c r="G1" s="122"/>
      <c r="H1" s="122"/>
      <c r="I1" s="122"/>
      <c r="J1" s="122"/>
    </row>
    <row r="2" spans="1:10" ht="27.75" customHeight="1" x14ac:dyDescent="0.25">
      <c r="A2" s="125" t="s">
        <v>87</v>
      </c>
      <c r="B2" s="125"/>
      <c r="C2" s="125"/>
      <c r="D2" s="125"/>
      <c r="F2" s="35" t="s">
        <v>66</v>
      </c>
      <c r="G2" s="34" t="s">
        <v>67</v>
      </c>
      <c r="H2" s="34" t="s">
        <v>91</v>
      </c>
      <c r="I2" s="35" t="s">
        <v>68</v>
      </c>
      <c r="J2" s="35" t="s">
        <v>69</v>
      </c>
    </row>
    <row r="3" spans="1:10" x14ac:dyDescent="0.25">
      <c r="A3" s="122" t="s">
        <v>88</v>
      </c>
      <c r="B3" s="122" t="s">
        <v>89</v>
      </c>
      <c r="C3" s="122"/>
      <c r="D3" s="122"/>
      <c r="F3" s="41" t="s">
        <v>70</v>
      </c>
      <c r="G3" s="41">
        <v>0</v>
      </c>
      <c r="H3" s="41">
        <v>0</v>
      </c>
      <c r="I3" s="41">
        <v>31</v>
      </c>
      <c r="J3" s="44">
        <f>1-((1.2*H3)/(I3*24))</f>
        <v>1</v>
      </c>
    </row>
    <row r="4" spans="1:10" x14ac:dyDescent="0.25">
      <c r="A4" s="122"/>
      <c r="B4" s="35" t="s">
        <v>52</v>
      </c>
      <c r="C4" s="35" t="s">
        <v>53</v>
      </c>
      <c r="D4" s="35" t="s">
        <v>54</v>
      </c>
      <c r="F4" s="41" t="s">
        <v>71</v>
      </c>
      <c r="G4" s="41">
        <v>52</v>
      </c>
      <c r="H4" s="41">
        <v>17</v>
      </c>
      <c r="I4" s="41">
        <v>28</v>
      </c>
      <c r="J4" s="44">
        <f t="shared" ref="J4:J13" si="0">1-((1.2*H4)/(I4*24))</f>
        <v>0.96964285714285714</v>
      </c>
    </row>
    <row r="5" spans="1:10" x14ac:dyDescent="0.25">
      <c r="A5" s="47" t="s">
        <v>55</v>
      </c>
      <c r="B5" s="48">
        <v>0.15</v>
      </c>
      <c r="C5" s="15">
        <v>0.62</v>
      </c>
      <c r="D5" s="15">
        <v>3.23</v>
      </c>
      <c r="F5" s="41" t="s">
        <v>72</v>
      </c>
      <c r="G5" s="41">
        <v>69</v>
      </c>
      <c r="H5" s="41">
        <v>21</v>
      </c>
      <c r="I5" s="41">
        <v>31</v>
      </c>
      <c r="J5" s="44">
        <f t="shared" si="0"/>
        <v>0.96612903225806457</v>
      </c>
    </row>
    <row r="6" spans="1:10" x14ac:dyDescent="0.25">
      <c r="C6" s="36"/>
      <c r="D6" s="36"/>
      <c r="F6" s="41" t="s">
        <v>73</v>
      </c>
      <c r="G6" s="41">
        <v>44</v>
      </c>
      <c r="H6" s="41">
        <v>17</v>
      </c>
      <c r="I6" s="41">
        <v>30</v>
      </c>
      <c r="J6" s="44">
        <f t="shared" si="0"/>
        <v>0.97166666666666668</v>
      </c>
    </row>
    <row r="7" spans="1:10" x14ac:dyDescent="0.25">
      <c r="A7" s="126" t="s">
        <v>32</v>
      </c>
      <c r="B7" s="49"/>
      <c r="C7" s="50"/>
      <c r="D7" s="50"/>
      <c r="F7" s="41" t="s">
        <v>74</v>
      </c>
      <c r="G7" s="41">
        <v>185.8</v>
      </c>
      <c r="H7" s="41">
        <v>87</v>
      </c>
      <c r="I7" s="41">
        <v>31</v>
      </c>
      <c r="J7" s="44">
        <f t="shared" si="0"/>
        <v>0.85967741935483866</v>
      </c>
    </row>
    <row r="8" spans="1:10" x14ac:dyDescent="0.25">
      <c r="A8" s="127"/>
      <c r="B8" s="51"/>
      <c r="C8" s="52"/>
      <c r="D8" s="52"/>
      <c r="F8" s="41" t="s">
        <v>75</v>
      </c>
      <c r="G8" s="41">
        <v>119.2</v>
      </c>
      <c r="H8" s="41">
        <v>37</v>
      </c>
      <c r="I8" s="41">
        <v>30</v>
      </c>
      <c r="J8" s="44">
        <f t="shared" si="0"/>
        <v>0.93833333333333335</v>
      </c>
    </row>
    <row r="9" spans="1:10" x14ac:dyDescent="0.25">
      <c r="A9" s="127"/>
      <c r="B9" s="53"/>
      <c r="C9" s="54"/>
      <c r="D9" s="54"/>
      <c r="F9" s="41" t="s">
        <v>76</v>
      </c>
      <c r="G9" s="41">
        <v>17.8</v>
      </c>
      <c r="H9" s="41">
        <v>16</v>
      </c>
      <c r="I9" s="41">
        <v>31</v>
      </c>
      <c r="J9" s="44">
        <f t="shared" si="0"/>
        <v>0.97419354838709682</v>
      </c>
    </row>
    <row r="10" spans="1:10" x14ac:dyDescent="0.25">
      <c r="A10" s="127"/>
      <c r="B10" s="129" t="s">
        <v>90</v>
      </c>
      <c r="C10" s="130"/>
      <c r="D10" s="130"/>
      <c r="F10" s="41" t="s">
        <v>77</v>
      </c>
      <c r="G10" s="41">
        <v>70.2</v>
      </c>
      <c r="H10" s="41">
        <v>41</v>
      </c>
      <c r="I10" s="41">
        <v>31</v>
      </c>
      <c r="J10" s="44">
        <f t="shared" si="0"/>
        <v>0.93387096774193545</v>
      </c>
    </row>
    <row r="11" spans="1:10" x14ac:dyDescent="0.25">
      <c r="A11" s="127"/>
      <c r="B11" s="131"/>
      <c r="C11" s="132"/>
      <c r="D11" s="132"/>
      <c r="F11" s="41" t="s">
        <v>78</v>
      </c>
      <c r="G11" s="41">
        <v>25.2</v>
      </c>
      <c r="H11" s="41">
        <v>20</v>
      </c>
      <c r="I11" s="41">
        <v>30</v>
      </c>
      <c r="J11" s="44">
        <f t="shared" si="0"/>
        <v>0.96666666666666667</v>
      </c>
    </row>
    <row r="12" spans="1:10" x14ac:dyDescent="0.25">
      <c r="A12" s="127"/>
      <c r="B12" s="131"/>
      <c r="C12" s="132"/>
      <c r="D12" s="132"/>
      <c r="F12" s="41" t="s">
        <v>79</v>
      </c>
      <c r="G12" s="41">
        <v>54.4</v>
      </c>
      <c r="H12" s="41">
        <v>29</v>
      </c>
      <c r="I12" s="41">
        <v>31</v>
      </c>
      <c r="J12" s="44">
        <f t="shared" si="0"/>
        <v>0.95322580645161292</v>
      </c>
    </row>
    <row r="13" spans="1:10" x14ac:dyDescent="0.25">
      <c r="A13" s="127"/>
      <c r="B13" s="131"/>
      <c r="C13" s="132"/>
      <c r="D13" s="132"/>
      <c r="F13" s="41" t="s">
        <v>80</v>
      </c>
      <c r="G13" s="45">
        <v>48.6</v>
      </c>
      <c r="H13" s="41">
        <v>30</v>
      </c>
      <c r="I13" s="41">
        <v>30</v>
      </c>
      <c r="J13" s="44">
        <f t="shared" si="0"/>
        <v>0.95</v>
      </c>
    </row>
    <row r="14" spans="1:10" x14ac:dyDescent="0.25">
      <c r="A14" s="127"/>
      <c r="B14" s="131"/>
      <c r="C14" s="132"/>
      <c r="D14" s="132"/>
      <c r="F14" s="41" t="s">
        <v>81</v>
      </c>
      <c r="G14" s="41">
        <v>91.4</v>
      </c>
      <c r="H14" s="41">
        <v>22</v>
      </c>
      <c r="I14" s="41">
        <v>31</v>
      </c>
      <c r="J14" s="44">
        <f>1-((1.2*H14)/(I14*24))</f>
        <v>0.96451612903225803</v>
      </c>
    </row>
    <row r="15" spans="1:10" x14ac:dyDescent="0.25">
      <c r="A15" s="127"/>
      <c r="B15" s="131"/>
      <c r="C15" s="132"/>
      <c r="D15" s="132"/>
      <c r="F15" s="43" t="s">
        <v>82</v>
      </c>
      <c r="G15" s="16">
        <f>(1-(1.2*SUM(H3:H14))/8760)</f>
        <v>0.95383561643835613</v>
      </c>
      <c r="H15" s="1"/>
      <c r="I15" s="2"/>
      <c r="J15" s="1"/>
    </row>
    <row r="16" spans="1:10" x14ac:dyDescent="0.25">
      <c r="A16" s="128"/>
      <c r="B16" s="133"/>
      <c r="C16" s="134"/>
      <c r="D16" s="134"/>
    </row>
    <row r="19" spans="1:14" ht="15" customHeight="1" x14ac:dyDescent="0.25">
      <c r="A19" s="122" t="s">
        <v>56</v>
      </c>
      <c r="B19" s="123" t="s">
        <v>57</v>
      </c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</row>
    <row r="20" spans="1:14" ht="15" customHeight="1" x14ac:dyDescent="0.25">
      <c r="A20" s="122"/>
      <c r="B20" s="122" t="s">
        <v>58</v>
      </c>
      <c r="C20" s="122"/>
      <c r="D20" s="122"/>
      <c r="E20" s="122"/>
      <c r="F20" s="122"/>
      <c r="G20" s="122"/>
      <c r="H20" s="122"/>
      <c r="I20" s="122" t="s">
        <v>84</v>
      </c>
      <c r="J20" s="122"/>
      <c r="K20" s="122"/>
      <c r="L20" s="122" t="s">
        <v>85</v>
      </c>
      <c r="M20" s="122"/>
      <c r="N20" s="122"/>
    </row>
    <row r="21" spans="1:14" ht="15" customHeight="1" x14ac:dyDescent="0.25">
      <c r="A21" s="122"/>
      <c r="B21" s="32" t="s">
        <v>21</v>
      </c>
      <c r="C21" s="32" t="s">
        <v>59</v>
      </c>
      <c r="D21" s="32" t="s">
        <v>60</v>
      </c>
      <c r="E21" s="32" t="s">
        <v>61</v>
      </c>
      <c r="F21" s="32" t="s">
        <v>62</v>
      </c>
      <c r="G21" s="32" t="s">
        <v>18</v>
      </c>
      <c r="H21" s="32" t="s">
        <v>63</v>
      </c>
      <c r="I21" s="35" t="s">
        <v>21</v>
      </c>
      <c r="J21" s="35" t="s">
        <v>59</v>
      </c>
      <c r="K21" s="35" t="s">
        <v>60</v>
      </c>
      <c r="L21" s="35" t="s">
        <v>21</v>
      </c>
      <c r="M21" s="35" t="s">
        <v>59</v>
      </c>
      <c r="N21" s="35" t="s">
        <v>60</v>
      </c>
    </row>
    <row r="22" spans="1:14" ht="15" customHeight="1" x14ac:dyDescent="0.25">
      <c r="A22" s="42" t="s">
        <v>64</v>
      </c>
      <c r="B22" s="102">
        <v>0.17489827604766656</v>
      </c>
      <c r="C22" s="102">
        <v>0.17489827604766656</v>
      </c>
      <c r="D22" s="102">
        <v>0.17489827604766656</v>
      </c>
      <c r="E22" s="102">
        <v>5.4345140567386743</v>
      </c>
      <c r="F22" s="102">
        <v>0.21032135261668511</v>
      </c>
      <c r="G22" s="102">
        <v>1.0383730075038093</v>
      </c>
      <c r="H22" s="102">
        <v>0.24766340643796464</v>
      </c>
      <c r="I22" s="103">
        <v>6.7633804693835883E-2</v>
      </c>
      <c r="J22" s="103">
        <v>5.1332470377789451E-2</v>
      </c>
      <c r="K22" s="103">
        <v>2.7520218195668727E-2</v>
      </c>
      <c r="L22" s="103">
        <v>6.3494136177677976E-2</v>
      </c>
      <c r="M22" s="103">
        <v>3.1747068088838988E-2</v>
      </c>
      <c r="N22" s="103">
        <v>1.7137767759244575E-2</v>
      </c>
    </row>
  </sheetData>
  <sheetProtection password="B056" sheet="1" objects="1" scenarios="1"/>
  <mergeCells count="11">
    <mergeCell ref="F1:J1"/>
    <mergeCell ref="I20:K20"/>
    <mergeCell ref="L20:N20"/>
    <mergeCell ref="B19:N19"/>
    <mergeCell ref="A2:D2"/>
    <mergeCell ref="A3:A4"/>
    <mergeCell ref="B3:D3"/>
    <mergeCell ref="A7:A16"/>
    <mergeCell ref="B10:D16"/>
    <mergeCell ref="A19:A21"/>
    <mergeCell ref="B20:H20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G30" sqref="G30"/>
    </sheetView>
  </sheetViews>
  <sheetFormatPr defaultRowHeight="15" x14ac:dyDescent="0.25"/>
  <cols>
    <col min="1" max="1" width="16.42578125" customWidth="1"/>
    <col min="2" max="5" width="11.5703125" customWidth="1"/>
  </cols>
  <sheetData>
    <row r="1" spans="1:5" x14ac:dyDescent="0.25">
      <c r="A1" s="1" t="s">
        <v>36</v>
      </c>
    </row>
    <row r="2" spans="1:5" x14ac:dyDescent="0.25">
      <c r="A2" s="138" t="s">
        <v>37</v>
      </c>
      <c r="B2" s="139"/>
      <c r="C2" s="139"/>
      <c r="D2" s="139"/>
      <c r="E2" s="140"/>
    </row>
    <row r="3" spans="1:5" x14ac:dyDescent="0.25">
      <c r="A3" s="72" t="s">
        <v>38</v>
      </c>
      <c r="B3" s="72" t="s">
        <v>39</v>
      </c>
      <c r="C3" s="72" t="s">
        <v>40</v>
      </c>
      <c r="D3" s="72" t="s">
        <v>41</v>
      </c>
      <c r="E3" s="72" t="s">
        <v>42</v>
      </c>
    </row>
    <row r="4" spans="1:5" x14ac:dyDescent="0.25">
      <c r="A4" s="73">
        <v>0.74</v>
      </c>
      <c r="B4" s="74">
        <v>0.48</v>
      </c>
      <c r="C4" s="73">
        <v>0.35</v>
      </c>
      <c r="D4" s="74">
        <v>0.2</v>
      </c>
      <c r="E4" s="73">
        <v>5.2999999999999999E-2</v>
      </c>
    </row>
    <row r="6" spans="1:5" x14ac:dyDescent="0.25">
      <c r="A6" s="135" t="s">
        <v>32</v>
      </c>
      <c r="B6" s="136"/>
      <c r="C6" s="136"/>
      <c r="D6" s="136"/>
      <c r="E6" s="136"/>
    </row>
    <row r="7" spans="1:5" x14ac:dyDescent="0.25">
      <c r="A7" s="135"/>
      <c r="B7" s="136"/>
      <c r="C7" s="136"/>
      <c r="D7" s="136"/>
      <c r="E7" s="136"/>
    </row>
    <row r="8" spans="1:5" x14ac:dyDescent="0.25">
      <c r="A8" s="135"/>
      <c r="B8" s="136"/>
      <c r="C8" s="136"/>
      <c r="D8" s="136"/>
      <c r="E8" s="136"/>
    </row>
    <row r="9" spans="1:5" x14ac:dyDescent="0.25">
      <c r="A9" s="135"/>
      <c r="B9" s="136"/>
      <c r="C9" s="136"/>
      <c r="D9" s="136"/>
      <c r="E9" s="136"/>
    </row>
    <row r="10" spans="1:5" x14ac:dyDescent="0.25">
      <c r="A10" s="135"/>
      <c r="B10" s="136"/>
      <c r="C10" s="136"/>
      <c r="D10" s="136"/>
      <c r="E10" s="136"/>
    </row>
    <row r="11" spans="1:5" x14ac:dyDescent="0.25">
      <c r="A11" s="135"/>
      <c r="B11" s="137" t="s">
        <v>44</v>
      </c>
      <c r="C11" s="137"/>
      <c r="D11" s="137"/>
      <c r="E11" s="137"/>
    </row>
    <row r="12" spans="1:5" x14ac:dyDescent="0.25">
      <c r="A12" s="135"/>
      <c r="B12" s="137"/>
      <c r="C12" s="137"/>
      <c r="D12" s="137"/>
      <c r="E12" s="137"/>
    </row>
    <row r="13" spans="1:5" x14ac:dyDescent="0.25">
      <c r="A13" s="135"/>
      <c r="B13" s="137"/>
      <c r="C13" s="137"/>
      <c r="D13" s="137"/>
      <c r="E13" s="137"/>
    </row>
    <row r="14" spans="1:5" x14ac:dyDescent="0.25">
      <c r="A14" s="135"/>
      <c r="B14" s="137"/>
      <c r="C14" s="137"/>
      <c r="D14" s="137"/>
      <c r="E14" s="137"/>
    </row>
    <row r="15" spans="1:5" x14ac:dyDescent="0.25">
      <c r="A15" s="135"/>
      <c r="B15" s="137"/>
      <c r="C15" s="137"/>
      <c r="D15" s="137"/>
      <c r="E15" s="137"/>
    </row>
    <row r="16" spans="1:5" x14ac:dyDescent="0.25">
      <c r="A16" s="135"/>
      <c r="B16" s="137"/>
      <c r="C16" s="137"/>
      <c r="D16" s="137"/>
      <c r="E16" s="137"/>
    </row>
  </sheetData>
  <sheetProtection password="B056" sheet="1" objects="1" scenarios="1"/>
  <mergeCells count="4">
    <mergeCell ref="A6:A16"/>
    <mergeCell ref="B6:E10"/>
    <mergeCell ref="B11:E16"/>
    <mergeCell ref="A2:E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"/>
  <sheetViews>
    <sheetView workbookViewId="0">
      <selection activeCell="N19" sqref="N19"/>
    </sheetView>
  </sheetViews>
  <sheetFormatPr defaultRowHeight="15" customHeight="1" x14ac:dyDescent="0.25"/>
  <cols>
    <col min="1" max="1" width="19.85546875" style="11" customWidth="1"/>
    <col min="2" max="2" width="12.5703125" style="11" customWidth="1"/>
    <col min="3" max="3" width="13.140625" style="11" customWidth="1"/>
    <col min="4" max="4" width="11.85546875" style="11" customWidth="1"/>
    <col min="5" max="5" width="12.28515625" style="22" customWidth="1"/>
    <col min="6" max="6" width="12.28515625" style="81" customWidth="1"/>
    <col min="7" max="7" width="12.42578125" style="11" customWidth="1"/>
    <col min="8" max="8" width="13" style="11" customWidth="1"/>
    <col min="9" max="9" width="9.140625" style="22"/>
    <col min="10" max="16384" width="9.140625" style="11"/>
  </cols>
  <sheetData>
    <row r="1" spans="1:15" ht="15" customHeight="1" x14ac:dyDescent="0.25">
      <c r="A1" s="11" t="s">
        <v>123</v>
      </c>
      <c r="B1" s="94">
        <v>3</v>
      </c>
    </row>
    <row r="2" spans="1:15" ht="15" customHeight="1" x14ac:dyDescent="0.25">
      <c r="A2" s="1" t="s">
        <v>47</v>
      </c>
      <c r="B2" s="27">
        <v>4.1937865160171146</v>
      </c>
    </row>
    <row r="3" spans="1:15" ht="15" customHeight="1" x14ac:dyDescent="0.25">
      <c r="A3" s="1"/>
      <c r="B3" s="85"/>
      <c r="E3" s="90"/>
      <c r="F3" s="90"/>
      <c r="I3" s="90"/>
    </row>
    <row r="4" spans="1:15" ht="15" customHeight="1" x14ac:dyDescent="0.25">
      <c r="A4" s="1" t="s">
        <v>135</v>
      </c>
      <c r="B4" s="27"/>
    </row>
    <row r="5" spans="1:15" s="25" customFormat="1" ht="15" customHeight="1" x14ac:dyDescent="0.25">
      <c r="A5" s="149" t="s">
        <v>1</v>
      </c>
      <c r="B5" s="151" t="s">
        <v>43</v>
      </c>
      <c r="C5" s="154" t="s">
        <v>159</v>
      </c>
      <c r="D5" s="154" t="s">
        <v>160</v>
      </c>
      <c r="E5" s="152" t="s">
        <v>45</v>
      </c>
      <c r="F5" s="153" t="s">
        <v>127</v>
      </c>
      <c r="G5" s="146" t="s">
        <v>46</v>
      </c>
      <c r="H5" s="147"/>
      <c r="I5" s="148"/>
      <c r="J5" s="146" t="s">
        <v>31</v>
      </c>
      <c r="K5" s="147"/>
      <c r="L5" s="147"/>
    </row>
    <row r="6" spans="1:15" s="21" customFormat="1" ht="15" customHeight="1" x14ac:dyDescent="0.25">
      <c r="A6" s="150"/>
      <c r="B6" s="151"/>
      <c r="C6" s="154"/>
      <c r="D6" s="154"/>
      <c r="E6" s="153"/>
      <c r="F6" s="153"/>
      <c r="G6" s="92" t="s">
        <v>21</v>
      </c>
      <c r="H6" s="92" t="s">
        <v>27</v>
      </c>
      <c r="I6" s="92" t="s">
        <v>28</v>
      </c>
      <c r="J6" s="92" t="s">
        <v>21</v>
      </c>
      <c r="K6" s="92" t="s">
        <v>27</v>
      </c>
      <c r="L6" s="92" t="s">
        <v>28</v>
      </c>
      <c r="N6" s="25"/>
      <c r="O6" s="25"/>
    </row>
    <row r="7" spans="1:15" s="21" customFormat="1" ht="15" customHeight="1" x14ac:dyDescent="0.25">
      <c r="A7" s="33" t="s">
        <v>122</v>
      </c>
      <c r="B7" s="141" t="s">
        <v>124</v>
      </c>
      <c r="C7" s="24">
        <v>-20.325144000000002</v>
      </c>
      <c r="D7" s="24">
        <v>-40.338363000000001</v>
      </c>
      <c r="E7" s="26">
        <f>SUM(Dados!E5:E19)/8760</f>
        <v>26.35309577625571</v>
      </c>
      <c r="F7" s="26">
        <v>0</v>
      </c>
      <c r="G7" s="28">
        <f>'FE-Transferências'!$A$4*(0.0016)*(($B$2/2.2)^1.3)/(($B$1/2)^1.4)</f>
        <v>1.5526110379049159E-3</v>
      </c>
      <c r="H7" s="28">
        <f>'FE-Transferências'!$C$4*(0.0016)*(($B$2/2.2)^1.3)/(($B$1/2)^1.4)</f>
        <v>7.3434305846854125E-4</v>
      </c>
      <c r="I7" s="28">
        <f>'FE-Transferências'!$E$4*(0.0016)*(($B$2/2.2)^1.3)/(($B$1/2)^1.4)</f>
        <v>1.1120052028237912E-4</v>
      </c>
      <c r="J7" s="23">
        <f>(E7*G7)*1-(F7/100)</f>
        <v>4.0916107385180034E-2</v>
      </c>
      <c r="K7" s="23">
        <f>(E7*H7)*1-(F7/100)</f>
        <v>1.9352212952450015E-2</v>
      </c>
      <c r="L7" s="23">
        <f>(E7*I7)*1-(F7/100)</f>
        <v>2.9304779613710027E-3</v>
      </c>
    </row>
    <row r="8" spans="1:15" s="21" customFormat="1" ht="15" customHeight="1" x14ac:dyDescent="0.25">
      <c r="A8" s="33" t="s">
        <v>125</v>
      </c>
      <c r="B8" s="141"/>
      <c r="C8" s="24">
        <v>-20.325631000000001</v>
      </c>
      <c r="D8" s="24">
        <v>-40.338898999999998</v>
      </c>
      <c r="E8" s="26">
        <f>SUM(Dados!D5:D19)/8760</f>
        <v>10.724070776255706</v>
      </c>
      <c r="F8" s="26">
        <v>0</v>
      </c>
      <c r="G8" s="28">
        <f>'FE-Transferências'!$A$4*(0.0016)*(($B$2/2.2)^1.3)/(($B$1/2)^1.4)</f>
        <v>1.5526110379049159E-3</v>
      </c>
      <c r="H8" s="28">
        <f>'FE-Transferências'!$C$4*(0.0016)*(($B$2/2.2)^1.3)/(($B$1/2)^1.4)</f>
        <v>7.3434305846854125E-4</v>
      </c>
      <c r="I8" s="28">
        <f>'FE-Transferências'!$E$4*(0.0016)*(($B$2/2.2)^1.3)/(($B$1/2)^1.4)</f>
        <v>1.1120052028237912E-4</v>
      </c>
      <c r="J8" s="23">
        <f t="shared" ref="J8:J9" si="0">(E8*G8)*1-(F8/100)</f>
        <v>1.6650310658488151E-2</v>
      </c>
      <c r="K8" s="23">
        <f t="shared" ref="K8:K9" si="1">(E8*H8)*1-(F8/100)</f>
        <v>7.875146933068719E-3</v>
      </c>
      <c r="L8" s="23">
        <f>(E8*I8)*1-(F8/100)</f>
        <v>1.1925222498646918E-3</v>
      </c>
    </row>
    <row r="9" spans="1:15" ht="15" customHeight="1" x14ac:dyDescent="0.25">
      <c r="A9" s="33" t="s">
        <v>126</v>
      </c>
      <c r="B9" s="142"/>
      <c r="C9" s="24">
        <v>-20.325308</v>
      </c>
      <c r="D9" s="24">
        <v>-40.337375999999999</v>
      </c>
      <c r="E9" s="26">
        <f>E7</f>
        <v>26.35309577625571</v>
      </c>
      <c r="F9" s="26">
        <v>0</v>
      </c>
      <c r="G9" s="28">
        <f>'FE-Transferências'!$A$4*(0.0016)*(($B$2/2.2)^1.3)/(($B$1/2)^1.4)</f>
        <v>1.5526110379049159E-3</v>
      </c>
      <c r="H9" s="28">
        <f>'FE-Transferências'!$C$4*(0.0016)*(($B$2/2.2)^1.3)/(($B$1/2)^1.4)</f>
        <v>7.3434305846854125E-4</v>
      </c>
      <c r="I9" s="28">
        <f>'FE-Transferências'!$E$4*(0.0016)*(($B$2/2.2)^1.3)/(($B$1/2)^1.4)</f>
        <v>1.1120052028237912E-4</v>
      </c>
      <c r="J9" s="23">
        <f t="shared" si="0"/>
        <v>4.0916107385180034E-2</v>
      </c>
      <c r="K9" s="23">
        <f t="shared" si="1"/>
        <v>1.9352212952450015E-2</v>
      </c>
      <c r="L9" s="23">
        <f>(E9*I9)*1-(F9/100)</f>
        <v>2.9304779613710027E-3</v>
      </c>
      <c r="N9" s="21"/>
      <c r="O9" s="21"/>
    </row>
    <row r="10" spans="1:15" ht="15" customHeight="1" x14ac:dyDescent="0.25">
      <c r="A10" s="143" t="s">
        <v>136</v>
      </c>
      <c r="B10" s="144"/>
      <c r="C10" s="144"/>
      <c r="D10" s="144"/>
      <c r="E10" s="144"/>
      <c r="F10" s="144"/>
      <c r="G10" s="144"/>
      <c r="H10" s="144"/>
      <c r="I10" s="145"/>
      <c r="J10" s="93">
        <f>SUM(J7:J9)</f>
        <v>9.8482525428848222E-2</v>
      </c>
      <c r="K10" s="93">
        <f>SUM(K7:K9)</f>
        <v>4.657957283796875E-2</v>
      </c>
      <c r="L10" s="93">
        <f>SUM(L7:L9)</f>
        <v>7.0534781726066973E-3</v>
      </c>
    </row>
    <row r="11" spans="1:15" ht="15" customHeight="1" x14ac:dyDescent="0.25">
      <c r="E11" s="11"/>
      <c r="F11" s="11"/>
      <c r="H11" s="84"/>
    </row>
    <row r="12" spans="1:15" ht="15" customHeight="1" x14ac:dyDescent="0.25">
      <c r="E12" s="11"/>
      <c r="F12" s="11"/>
      <c r="H12" s="84"/>
    </row>
    <row r="14" spans="1:15" ht="15" customHeight="1" x14ac:dyDescent="0.25">
      <c r="E14" s="11"/>
      <c r="F14"/>
    </row>
    <row r="15" spans="1:15" ht="15" customHeight="1" x14ac:dyDescent="0.25">
      <c r="E15" s="11"/>
      <c r="F15"/>
    </row>
    <row r="16" spans="1:15" ht="15" customHeight="1" x14ac:dyDescent="0.25">
      <c r="E16" s="11"/>
      <c r="F16"/>
    </row>
    <row r="17" spans="5:7" ht="15" customHeight="1" x14ac:dyDescent="0.25">
      <c r="E17" s="11"/>
      <c r="F17"/>
      <c r="G17" s="46"/>
    </row>
    <row r="18" spans="5:7" ht="15" customHeight="1" x14ac:dyDescent="0.25">
      <c r="E18" s="11"/>
      <c r="F18"/>
    </row>
    <row r="19" spans="5:7" ht="15" customHeight="1" x14ac:dyDescent="0.25">
      <c r="E19" s="11"/>
      <c r="F19"/>
    </row>
    <row r="20" spans="5:7" ht="15" customHeight="1" x14ac:dyDescent="0.25">
      <c r="E20" s="11"/>
      <c r="F20"/>
    </row>
    <row r="21" spans="5:7" ht="15" customHeight="1" x14ac:dyDescent="0.25">
      <c r="E21" s="11"/>
      <c r="F21"/>
    </row>
    <row r="22" spans="5:7" ht="15" customHeight="1" x14ac:dyDescent="0.25">
      <c r="E22" s="11"/>
      <c r="F22"/>
    </row>
    <row r="23" spans="5:7" ht="15" customHeight="1" x14ac:dyDescent="0.25">
      <c r="E23" s="11"/>
      <c r="F23"/>
    </row>
    <row r="24" spans="5:7" ht="15" customHeight="1" x14ac:dyDescent="0.25">
      <c r="E24" s="11"/>
      <c r="F24"/>
    </row>
    <row r="25" spans="5:7" ht="15" customHeight="1" x14ac:dyDescent="0.25">
      <c r="E25" s="11"/>
      <c r="F25"/>
    </row>
    <row r="26" spans="5:7" ht="15" customHeight="1" x14ac:dyDescent="0.25">
      <c r="E26" s="11"/>
      <c r="F26" s="86"/>
    </row>
    <row r="27" spans="5:7" ht="15" customHeight="1" x14ac:dyDescent="0.25">
      <c r="E27" s="11"/>
      <c r="F27" s="86"/>
    </row>
    <row r="28" spans="5:7" ht="15" customHeight="1" x14ac:dyDescent="0.25">
      <c r="E28" s="11"/>
      <c r="F28" s="86"/>
    </row>
    <row r="29" spans="5:7" ht="15" customHeight="1" x14ac:dyDescent="0.25">
      <c r="E29" s="11"/>
      <c r="F29" s="86"/>
    </row>
    <row r="40" spans="1:1" ht="15" customHeight="1" x14ac:dyDescent="0.25">
      <c r="A40" s="13"/>
    </row>
  </sheetData>
  <sheetProtection password="B056" sheet="1" objects="1" scenarios="1"/>
  <mergeCells count="10">
    <mergeCell ref="B7:B9"/>
    <mergeCell ref="A10:I10"/>
    <mergeCell ref="G5:I5"/>
    <mergeCell ref="J5:L5"/>
    <mergeCell ref="A5:A6"/>
    <mergeCell ref="B5:B6"/>
    <mergeCell ref="E5:E6"/>
    <mergeCell ref="F5:F6"/>
    <mergeCell ref="C5:C6"/>
    <mergeCell ref="D5:D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"/>
  <sheetViews>
    <sheetView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H19" sqref="H19"/>
    </sheetView>
  </sheetViews>
  <sheetFormatPr defaultRowHeight="15" customHeight="1" x14ac:dyDescent="0.25"/>
  <cols>
    <col min="1" max="1" width="24.5703125" style="1" customWidth="1"/>
    <col min="2" max="2" width="13.140625" style="1" customWidth="1"/>
    <col min="3" max="3" width="10.7109375" style="1" customWidth="1"/>
    <col min="4" max="4" width="13.5703125" style="1" customWidth="1"/>
    <col min="5" max="5" width="15.28515625" style="1" customWidth="1"/>
    <col min="6" max="6" width="16" style="1" customWidth="1"/>
    <col min="7" max="7" width="14.85546875" style="1" customWidth="1"/>
    <col min="8" max="12" width="10.140625" style="1" customWidth="1"/>
    <col min="13" max="19" width="8.5703125" style="1" customWidth="1"/>
    <col min="20" max="20" width="10.140625" style="1" customWidth="1"/>
    <col min="21" max="16384" width="9.140625" style="1"/>
  </cols>
  <sheetData>
    <row r="1" spans="1:20" ht="15" customHeight="1" x14ac:dyDescent="0.25">
      <c r="A1" s="1" t="s">
        <v>135</v>
      </c>
    </row>
    <row r="3" spans="1:20" ht="15" customHeight="1" x14ac:dyDescent="0.25">
      <c r="A3" s="158" t="s">
        <v>15</v>
      </c>
      <c r="B3" s="158" t="s">
        <v>16</v>
      </c>
      <c r="C3" s="158" t="s">
        <v>17</v>
      </c>
      <c r="D3" s="158" t="s">
        <v>26</v>
      </c>
      <c r="E3" s="158" t="s">
        <v>156</v>
      </c>
      <c r="F3" s="158" t="s">
        <v>157</v>
      </c>
      <c r="G3" s="160" t="s">
        <v>35</v>
      </c>
      <c r="H3" s="158" t="s">
        <v>34</v>
      </c>
      <c r="I3" s="158"/>
      <c r="J3" s="158"/>
      <c r="K3" s="158"/>
      <c r="L3" s="158"/>
      <c r="M3" s="160" t="s">
        <v>31</v>
      </c>
      <c r="N3" s="161"/>
      <c r="O3" s="161"/>
      <c r="P3" s="161"/>
      <c r="Q3" s="161"/>
      <c r="R3" s="161"/>
      <c r="S3" s="162"/>
    </row>
    <row r="4" spans="1:20" ht="15" customHeight="1" x14ac:dyDescent="0.25">
      <c r="A4" s="159"/>
      <c r="B4" s="159"/>
      <c r="C4" s="159"/>
      <c r="D4" s="159"/>
      <c r="E4" s="159"/>
      <c r="F4" s="159"/>
      <c r="G4" s="160"/>
      <c r="H4" s="104" t="s">
        <v>21</v>
      </c>
      <c r="I4" s="104" t="s">
        <v>30</v>
      </c>
      <c r="J4" s="104" t="s">
        <v>29</v>
      </c>
      <c r="K4" s="104" t="s">
        <v>18</v>
      </c>
      <c r="L4" s="104" t="s">
        <v>158</v>
      </c>
      <c r="M4" s="104" t="s">
        <v>21</v>
      </c>
      <c r="N4" s="104" t="s">
        <v>27</v>
      </c>
      <c r="O4" s="104" t="s">
        <v>50</v>
      </c>
      <c r="P4" s="104" t="s">
        <v>30</v>
      </c>
      <c r="Q4" s="104" t="s">
        <v>29</v>
      </c>
      <c r="R4" s="104" t="s">
        <v>18</v>
      </c>
      <c r="S4" s="104" t="s">
        <v>158</v>
      </c>
    </row>
    <row r="5" spans="1:20" s="64" customFormat="1" ht="15" customHeight="1" x14ac:dyDescent="0.25">
      <c r="A5" s="66" t="s">
        <v>100</v>
      </c>
      <c r="B5" s="68" t="s">
        <v>101</v>
      </c>
      <c r="C5" s="68">
        <v>1</v>
      </c>
      <c r="D5" s="76">
        <f>310*0.98632</f>
        <v>305.75919999999996</v>
      </c>
      <c r="E5" s="70">
        <f>512/12</f>
        <v>42.666666666666664</v>
      </c>
      <c r="F5" s="70">
        <f>E5/30</f>
        <v>1.4222222222222221</v>
      </c>
      <c r="G5" s="70" t="s">
        <v>22</v>
      </c>
      <c r="H5" s="77">
        <f>'FE-Maq e Equip'!C12</f>
        <v>3.4238318760376689E-2</v>
      </c>
      <c r="I5" s="77">
        <f>'FE-Maq e Equip'!E12</f>
        <v>0.76873126455858876</v>
      </c>
      <c r="J5" s="77">
        <f>'FE-Maq e Equip'!D12</f>
        <v>6.2471307515509487E-4</v>
      </c>
      <c r="K5" s="77">
        <f>'FE-Maq e Equip'!F12</f>
        <v>0.28873356403415218</v>
      </c>
      <c r="L5" s="77">
        <f>'FE-Maq e Equip'!G12</f>
        <v>8.5358232444633655E-2</v>
      </c>
      <c r="M5" s="99">
        <f>H5*$C$5*($F$5/24)</f>
        <v>2.0289374080223223E-3</v>
      </c>
      <c r="N5" s="99">
        <f>M5</f>
        <v>2.0289374080223223E-3</v>
      </c>
      <c r="O5" s="99">
        <f>N5</f>
        <v>2.0289374080223223E-3</v>
      </c>
      <c r="P5" s="99">
        <f t="shared" ref="P5:Q8" si="0">I5*$C5*($F5/24)</f>
        <v>4.5554445307175624E-2</v>
      </c>
      <c r="Q5" s="99">
        <f t="shared" si="0"/>
        <v>3.7020034083264878E-5</v>
      </c>
      <c r="R5" s="99">
        <f t="shared" ref="R5:S8" si="1">K5*$C5*($F5/24)</f>
        <v>1.7110137127949756E-2</v>
      </c>
      <c r="S5" s="99">
        <f t="shared" si="1"/>
        <v>5.0582656263486606E-3</v>
      </c>
    </row>
    <row r="6" spans="1:20" s="64" customFormat="1" ht="15" customHeight="1" x14ac:dyDescent="0.25">
      <c r="A6" s="67" t="s">
        <v>100</v>
      </c>
      <c r="B6" s="69" t="s">
        <v>102</v>
      </c>
      <c r="C6" s="69">
        <v>1</v>
      </c>
      <c r="D6" s="76">
        <f>250*0.98632</f>
        <v>246.57999999999998</v>
      </c>
      <c r="E6" s="71">
        <f>46/12</f>
        <v>3.8333333333333335</v>
      </c>
      <c r="F6" s="70">
        <f t="shared" ref="F6:F8" si="2">E6/30</f>
        <v>0.1277777777777778</v>
      </c>
      <c r="G6" s="70" t="s">
        <v>22</v>
      </c>
      <c r="H6" s="77">
        <f>'FE-Maq e Equip'!C8</f>
        <v>2.5897455243749198E-2</v>
      </c>
      <c r="I6" s="77">
        <f>'FE-Maq e Equip'!E8</f>
        <v>0.66517064787851554</v>
      </c>
      <c r="J6" s="77">
        <f>'FE-Maq e Equip'!D8</f>
        <v>5.7242406322174488E-4</v>
      </c>
      <c r="K6" s="77">
        <f>'FE-Maq e Equip'!F8</f>
        <v>0.18683152696532357</v>
      </c>
      <c r="L6" s="77">
        <f>'FE-Maq e Equip'!G8</f>
        <v>6.7039754434552359E-2</v>
      </c>
      <c r="M6" s="99">
        <f>H6*C6*(F6/24)</f>
        <v>1.3787997004773882E-4</v>
      </c>
      <c r="N6" s="99">
        <f t="shared" ref="N6:O8" si="3">M6</f>
        <v>1.3787997004773882E-4</v>
      </c>
      <c r="O6" s="99">
        <f t="shared" si="3"/>
        <v>1.3787997004773882E-4</v>
      </c>
      <c r="P6" s="99">
        <f t="shared" si="0"/>
        <v>3.54141780120506E-3</v>
      </c>
      <c r="Q6" s="99">
        <f t="shared" si="0"/>
        <v>3.047628114375031E-6</v>
      </c>
      <c r="R6" s="99">
        <f t="shared" si="1"/>
        <v>9.9470488893575065E-4</v>
      </c>
      <c r="S6" s="99">
        <f t="shared" si="1"/>
        <v>3.5692461851729272E-4</v>
      </c>
    </row>
    <row r="7" spans="1:20" s="64" customFormat="1" ht="15" customHeight="1" x14ac:dyDescent="0.25">
      <c r="A7" s="67" t="s">
        <v>103</v>
      </c>
      <c r="B7" s="65"/>
      <c r="C7" s="69">
        <v>1</v>
      </c>
      <c r="D7" s="69">
        <v>155</v>
      </c>
      <c r="E7" s="24">
        <f>618/12</f>
        <v>51.5</v>
      </c>
      <c r="F7" s="70">
        <f t="shared" si="2"/>
        <v>1.7166666666666666</v>
      </c>
      <c r="G7" s="70" t="s">
        <v>24</v>
      </c>
      <c r="H7" s="77">
        <f>'FE-Maq e Equip'!C15</f>
        <v>1.8879850739384012E-2</v>
      </c>
      <c r="I7" s="77">
        <f>'FE-Maq e Equip'!E15</f>
        <v>0.31861247152656436</v>
      </c>
      <c r="J7" s="77">
        <f>'FE-Maq e Equip'!D15</f>
        <v>2.8608393717488665E-4</v>
      </c>
      <c r="K7" s="77">
        <f>'FE-Maq e Equip'!F15</f>
        <v>0.15162091846570119</v>
      </c>
      <c r="L7" s="77">
        <f>'FE-Maq e Equip'!G15</f>
        <v>4.2373566784726938E-2</v>
      </c>
      <c r="M7" s="99">
        <f>H7*C7*(F7/24)</f>
        <v>1.3504337681642731E-3</v>
      </c>
      <c r="N7" s="99">
        <f t="shared" si="3"/>
        <v>1.3504337681642731E-3</v>
      </c>
      <c r="O7" s="99">
        <f t="shared" si="3"/>
        <v>1.3504337681642731E-3</v>
      </c>
      <c r="P7" s="99">
        <f t="shared" si="0"/>
        <v>2.2789642060580644E-2</v>
      </c>
      <c r="Q7" s="99">
        <f t="shared" si="0"/>
        <v>2.046294828403703E-5</v>
      </c>
      <c r="R7" s="99">
        <f t="shared" si="1"/>
        <v>1.0845107362477237E-2</v>
      </c>
      <c r="S7" s="99">
        <f t="shared" si="1"/>
        <v>3.0308870686297736E-3</v>
      </c>
    </row>
    <row r="8" spans="1:20" s="64" customFormat="1" ht="15" customHeight="1" x14ac:dyDescent="0.25">
      <c r="A8" s="67" t="s">
        <v>104</v>
      </c>
      <c r="B8" s="65"/>
      <c r="C8" s="69">
        <v>1</v>
      </c>
      <c r="D8" s="69">
        <v>78</v>
      </c>
      <c r="E8" s="71">
        <f>480/12</f>
        <v>40</v>
      </c>
      <c r="F8" s="70">
        <f t="shared" si="2"/>
        <v>1.3333333333333333</v>
      </c>
      <c r="G8" s="70" t="s">
        <v>24</v>
      </c>
      <c r="H8" s="77">
        <f>'FE-Maq e Equip'!C14</f>
        <v>1.9432717920016346E-2</v>
      </c>
      <c r="I8" s="77">
        <f>'FE-Maq e Equip'!E14</f>
        <v>0.19770476916405869</v>
      </c>
      <c r="J8" s="77">
        <f>'FE-Maq e Equip'!D14</f>
        <v>1.6614354833010314E-4</v>
      </c>
      <c r="K8" s="77">
        <f>'FE-Maq e Equip'!F14</f>
        <v>0.10602299202233414</v>
      </c>
      <c r="L8" s="77">
        <f>'FE-Maq e Equip'!G14</f>
        <v>3.5663485612068627E-2</v>
      </c>
      <c r="M8" s="99">
        <f>H8*C8*(F8/24)</f>
        <v>1.0795954400009081E-3</v>
      </c>
      <c r="N8" s="99">
        <f t="shared" si="3"/>
        <v>1.0795954400009081E-3</v>
      </c>
      <c r="O8" s="99">
        <f t="shared" si="3"/>
        <v>1.0795954400009081E-3</v>
      </c>
      <c r="P8" s="99">
        <f t="shared" si="0"/>
        <v>1.0983598286892148E-2</v>
      </c>
      <c r="Q8" s="99">
        <f t="shared" si="0"/>
        <v>9.2301971294501737E-6</v>
      </c>
      <c r="R8" s="99">
        <f t="shared" si="1"/>
        <v>5.8901662234630081E-3</v>
      </c>
      <c r="S8" s="99">
        <f t="shared" si="1"/>
        <v>1.9813047562260346E-3</v>
      </c>
    </row>
    <row r="9" spans="1:20" ht="15" customHeight="1" x14ac:dyDescent="0.25">
      <c r="A9" s="155" t="s">
        <v>136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7"/>
      <c r="M9" s="100">
        <f t="shared" ref="M9:S9" si="4">SUM(M5:M8)</f>
        <v>4.5968465862352426E-3</v>
      </c>
      <c r="N9" s="100">
        <f t="shared" si="4"/>
        <v>4.5968465862352426E-3</v>
      </c>
      <c r="O9" s="100">
        <f t="shared" si="4"/>
        <v>4.5968465862352426E-3</v>
      </c>
      <c r="P9" s="100">
        <f>SUM(P5:P8)</f>
        <v>8.2869103455853479E-2</v>
      </c>
      <c r="Q9" s="100">
        <f t="shared" si="4"/>
        <v>6.9760807611127113E-5</v>
      </c>
      <c r="R9" s="100">
        <f t="shared" si="4"/>
        <v>3.4840115602825752E-2</v>
      </c>
      <c r="S9" s="100">
        <f t="shared" si="4"/>
        <v>1.0427382069721762E-2</v>
      </c>
    </row>
    <row r="11" spans="1:20" ht="15" customHeight="1" x14ac:dyDescent="0.25">
      <c r="R11" s="10"/>
      <c r="S11" s="10"/>
    </row>
    <row r="15" spans="1:20" ht="15" customHeight="1" x14ac:dyDescent="0.25">
      <c r="R15" s="10"/>
      <c r="S15" s="10"/>
      <c r="T15" s="10"/>
    </row>
  </sheetData>
  <sheetProtection password="B056" sheet="1" objects="1" scenarios="1"/>
  <mergeCells count="10">
    <mergeCell ref="M3:S3"/>
    <mergeCell ref="C3:C4"/>
    <mergeCell ref="D3:D4"/>
    <mergeCell ref="E3:E4"/>
    <mergeCell ref="F3:F4"/>
    <mergeCell ref="A9:L9"/>
    <mergeCell ref="A3:A4"/>
    <mergeCell ref="B3:B4"/>
    <mergeCell ref="G3:G4"/>
    <mergeCell ref="H3:L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O8" sqref="O8"/>
    </sheetView>
  </sheetViews>
  <sheetFormatPr defaultRowHeight="15" customHeight="1" x14ac:dyDescent="0.25"/>
  <cols>
    <col min="1" max="1" width="20.5703125" style="2" customWidth="1"/>
    <col min="2" max="2" width="9.7109375" style="2" bestFit="1" customWidth="1"/>
    <col min="3" max="3" width="11.140625" style="2" customWidth="1"/>
    <col min="4" max="4" width="11.5703125" style="2" customWidth="1"/>
    <col min="5" max="5" width="12" style="2" customWidth="1"/>
    <col min="6" max="6" width="11.42578125" style="2" customWidth="1"/>
    <col min="7" max="7" width="11.140625" style="2" customWidth="1"/>
    <col min="8" max="8" width="12.85546875" style="2" customWidth="1"/>
    <col min="9" max="9" width="12.5703125" style="2" customWidth="1"/>
    <col min="10" max="10" width="9.7109375" style="2" customWidth="1"/>
    <col min="11" max="11" width="11.28515625" style="2" customWidth="1"/>
    <col min="12" max="12" width="12.42578125" style="2" customWidth="1"/>
    <col min="13" max="13" width="9.140625" style="2" customWidth="1"/>
    <col min="14" max="21" width="9.140625" style="2"/>
    <col min="22" max="27" width="9.140625" style="2" customWidth="1"/>
    <col min="28" max="16384" width="9.140625" style="2"/>
  </cols>
  <sheetData>
    <row r="1" spans="1:12" ht="44.25" customHeight="1" x14ac:dyDescent="0.25">
      <c r="A1" s="60" t="s">
        <v>99</v>
      </c>
      <c r="B1" s="60" t="s">
        <v>137</v>
      </c>
      <c r="C1" s="60" t="s">
        <v>138</v>
      </c>
      <c r="D1" s="63" t="s">
        <v>139</v>
      </c>
      <c r="E1" s="61" t="s">
        <v>140</v>
      </c>
      <c r="F1" s="60" t="s">
        <v>141</v>
      </c>
      <c r="G1" s="60" t="s">
        <v>142</v>
      </c>
      <c r="H1" s="60" t="s">
        <v>143</v>
      </c>
      <c r="I1" s="60" t="s">
        <v>144</v>
      </c>
      <c r="J1" s="60" t="s">
        <v>145</v>
      </c>
      <c r="K1" s="60" t="s">
        <v>146</v>
      </c>
      <c r="L1" s="60" t="s">
        <v>161</v>
      </c>
    </row>
    <row r="2" spans="1:12" ht="15" customHeight="1" x14ac:dyDescent="0.25">
      <c r="A2" s="2" t="s">
        <v>2</v>
      </c>
      <c r="B2" s="2">
        <v>221</v>
      </c>
      <c r="C2" s="2">
        <v>562</v>
      </c>
      <c r="D2" s="2">
        <v>866</v>
      </c>
      <c r="E2" s="2">
        <v>84</v>
      </c>
      <c r="F2" s="2">
        <v>84</v>
      </c>
      <c r="G2" s="2">
        <v>13</v>
      </c>
      <c r="H2" s="2">
        <v>19</v>
      </c>
      <c r="I2" s="2">
        <v>3</v>
      </c>
      <c r="J2" s="2">
        <v>39</v>
      </c>
      <c r="K2" s="2">
        <v>1</v>
      </c>
      <c r="L2" s="2">
        <v>0</v>
      </c>
    </row>
    <row r="3" spans="1:12" ht="15" customHeight="1" x14ac:dyDescent="0.25">
      <c r="A3" s="2" t="s">
        <v>0</v>
      </c>
      <c r="B3" s="2">
        <v>229</v>
      </c>
      <c r="C3" s="2">
        <v>185</v>
      </c>
      <c r="D3" s="2">
        <v>759</v>
      </c>
      <c r="E3" s="2">
        <v>114</v>
      </c>
      <c r="F3" s="2">
        <v>51</v>
      </c>
      <c r="G3" s="2">
        <v>11</v>
      </c>
      <c r="H3" s="2">
        <v>17</v>
      </c>
      <c r="I3" s="2">
        <v>2</v>
      </c>
      <c r="J3" s="2">
        <v>42</v>
      </c>
      <c r="K3" s="2">
        <v>1</v>
      </c>
      <c r="L3" s="2">
        <v>0</v>
      </c>
    </row>
    <row r="4" spans="1:12" ht="15" customHeight="1" x14ac:dyDescent="0.25">
      <c r="A4" s="2" t="s">
        <v>3</v>
      </c>
      <c r="B4" s="2">
        <v>453</v>
      </c>
      <c r="C4" s="2">
        <v>362</v>
      </c>
      <c r="D4" s="2">
        <v>270</v>
      </c>
      <c r="E4" s="2">
        <v>178</v>
      </c>
      <c r="F4" s="2">
        <v>58</v>
      </c>
      <c r="G4" s="2">
        <v>5</v>
      </c>
      <c r="H4" s="2">
        <v>21</v>
      </c>
      <c r="I4" s="2">
        <v>14</v>
      </c>
      <c r="J4" s="2">
        <v>33</v>
      </c>
      <c r="K4" s="2">
        <v>2</v>
      </c>
      <c r="L4" s="2">
        <v>0</v>
      </c>
    </row>
    <row r="5" spans="1:12" ht="15" customHeight="1" x14ac:dyDescent="0.25">
      <c r="A5" s="2" t="s">
        <v>4</v>
      </c>
      <c r="B5" s="2">
        <v>52</v>
      </c>
      <c r="C5" s="2">
        <v>51</v>
      </c>
      <c r="D5" s="2">
        <v>527</v>
      </c>
      <c r="E5" s="2">
        <v>84</v>
      </c>
      <c r="F5" s="2">
        <v>47</v>
      </c>
      <c r="G5" s="2">
        <v>6</v>
      </c>
      <c r="H5" s="2">
        <v>16</v>
      </c>
      <c r="I5" s="2">
        <v>2</v>
      </c>
      <c r="J5" s="2">
        <v>29</v>
      </c>
      <c r="K5" s="2">
        <v>0</v>
      </c>
      <c r="L5" s="2">
        <v>0</v>
      </c>
    </row>
    <row r="6" spans="1:12" ht="15" customHeight="1" x14ac:dyDescent="0.25">
      <c r="A6" s="2" t="s">
        <v>5</v>
      </c>
      <c r="B6" s="2">
        <v>37</v>
      </c>
      <c r="C6" s="2">
        <v>40</v>
      </c>
      <c r="D6" s="2">
        <v>530</v>
      </c>
      <c r="E6" s="2">
        <v>90</v>
      </c>
      <c r="F6" s="2">
        <v>4</v>
      </c>
      <c r="G6" s="2">
        <v>4</v>
      </c>
      <c r="H6" s="2">
        <v>13</v>
      </c>
      <c r="I6" s="2">
        <v>0</v>
      </c>
      <c r="J6" s="2">
        <v>51</v>
      </c>
      <c r="K6" s="2">
        <v>1</v>
      </c>
      <c r="L6" s="2">
        <v>0</v>
      </c>
    </row>
    <row r="7" spans="1:12" ht="15" customHeight="1" x14ac:dyDescent="0.25">
      <c r="A7" s="2" t="s">
        <v>6</v>
      </c>
      <c r="B7" s="2">
        <v>291</v>
      </c>
      <c r="C7" s="2">
        <v>175</v>
      </c>
      <c r="D7" s="2">
        <v>825</v>
      </c>
      <c r="E7" s="2">
        <v>90</v>
      </c>
      <c r="F7" s="2">
        <v>14</v>
      </c>
      <c r="G7" s="2">
        <v>14</v>
      </c>
      <c r="H7" s="2">
        <v>11</v>
      </c>
      <c r="I7" s="2">
        <v>0</v>
      </c>
      <c r="J7" s="2">
        <v>20</v>
      </c>
      <c r="K7" s="2">
        <v>2</v>
      </c>
      <c r="L7" s="2">
        <v>0</v>
      </c>
    </row>
    <row r="8" spans="1:12" ht="15" customHeight="1" x14ac:dyDescent="0.25">
      <c r="A8" s="2" t="s">
        <v>7</v>
      </c>
      <c r="B8" s="2">
        <v>237</v>
      </c>
      <c r="C8" s="2">
        <v>208</v>
      </c>
      <c r="D8" s="2">
        <v>1421</v>
      </c>
      <c r="E8" s="2">
        <v>93</v>
      </c>
      <c r="F8" s="2">
        <v>17</v>
      </c>
      <c r="G8" s="2">
        <v>9</v>
      </c>
      <c r="H8" s="2">
        <v>5</v>
      </c>
      <c r="I8" s="2">
        <v>5</v>
      </c>
      <c r="J8" s="2">
        <v>10</v>
      </c>
      <c r="K8" s="2">
        <v>2</v>
      </c>
      <c r="L8" s="2">
        <v>0</v>
      </c>
    </row>
    <row r="9" spans="1:12" ht="15" customHeight="1" x14ac:dyDescent="0.25">
      <c r="A9" s="2" t="s">
        <v>8</v>
      </c>
      <c r="B9" s="2">
        <v>289</v>
      </c>
      <c r="C9" s="2">
        <v>275</v>
      </c>
      <c r="D9" s="2">
        <v>813</v>
      </c>
      <c r="E9" s="2">
        <v>123</v>
      </c>
      <c r="F9" s="2">
        <v>13</v>
      </c>
      <c r="G9" s="2">
        <v>21</v>
      </c>
      <c r="H9" s="2">
        <v>4</v>
      </c>
      <c r="I9" s="2">
        <v>2</v>
      </c>
      <c r="J9" s="2">
        <v>6</v>
      </c>
      <c r="K9" s="2">
        <v>0</v>
      </c>
      <c r="L9" s="2">
        <v>0</v>
      </c>
    </row>
    <row r="10" spans="1:12" ht="15" customHeight="1" x14ac:dyDescent="0.25">
      <c r="A10" s="2" t="s">
        <v>9</v>
      </c>
      <c r="B10" s="2">
        <v>173</v>
      </c>
      <c r="C10" s="2">
        <v>233</v>
      </c>
      <c r="D10" s="2">
        <v>349</v>
      </c>
      <c r="E10" s="2">
        <v>113</v>
      </c>
      <c r="F10" s="2">
        <v>11</v>
      </c>
      <c r="G10" s="2">
        <v>132</v>
      </c>
      <c r="H10" s="2">
        <v>6</v>
      </c>
      <c r="I10" s="2">
        <v>1</v>
      </c>
      <c r="J10" s="2">
        <v>10</v>
      </c>
      <c r="K10" s="2">
        <v>0</v>
      </c>
      <c r="L10" s="2">
        <v>0</v>
      </c>
    </row>
    <row r="11" spans="1:12" ht="15" customHeight="1" x14ac:dyDescent="0.25">
      <c r="A11" s="2" t="s">
        <v>10</v>
      </c>
      <c r="B11" s="2">
        <v>226</v>
      </c>
      <c r="C11" s="2">
        <v>227</v>
      </c>
      <c r="D11" s="2">
        <v>464</v>
      </c>
      <c r="E11" s="2">
        <v>117</v>
      </c>
      <c r="F11" s="2">
        <v>14</v>
      </c>
      <c r="G11" s="2">
        <v>24</v>
      </c>
      <c r="H11" s="2">
        <v>13</v>
      </c>
      <c r="I11" s="2">
        <v>1</v>
      </c>
      <c r="J11" s="2">
        <v>14</v>
      </c>
      <c r="K11" s="2">
        <v>0</v>
      </c>
      <c r="L11" s="2">
        <v>0</v>
      </c>
    </row>
    <row r="12" spans="1:12" ht="15" customHeight="1" x14ac:dyDescent="0.25">
      <c r="A12" s="2" t="s">
        <v>11</v>
      </c>
      <c r="B12" s="2">
        <v>318</v>
      </c>
      <c r="C12" s="2">
        <v>352</v>
      </c>
      <c r="D12" s="2">
        <v>815</v>
      </c>
      <c r="E12" s="2">
        <v>116</v>
      </c>
      <c r="F12" s="2">
        <v>26</v>
      </c>
      <c r="G12" s="2">
        <v>15</v>
      </c>
      <c r="H12" s="2">
        <v>12</v>
      </c>
      <c r="I12" s="2">
        <v>0</v>
      </c>
      <c r="J12" s="2">
        <v>15</v>
      </c>
      <c r="K12" s="2">
        <v>0</v>
      </c>
      <c r="L12" s="2">
        <v>0</v>
      </c>
    </row>
    <row r="13" spans="1:12" ht="15" customHeight="1" x14ac:dyDescent="0.25">
      <c r="A13" s="2" t="s">
        <v>12</v>
      </c>
      <c r="B13" s="2">
        <v>0</v>
      </c>
      <c r="C13" s="2">
        <v>1</v>
      </c>
      <c r="D13" s="2">
        <v>436</v>
      </c>
      <c r="E13" s="2">
        <v>137</v>
      </c>
      <c r="F13" s="2">
        <v>20</v>
      </c>
      <c r="G13" s="2">
        <v>124</v>
      </c>
      <c r="H13" s="2">
        <v>7</v>
      </c>
      <c r="I13" s="2">
        <v>0</v>
      </c>
      <c r="J13" s="2">
        <v>9</v>
      </c>
      <c r="K13" s="2">
        <v>1</v>
      </c>
      <c r="L13" s="2">
        <v>0</v>
      </c>
    </row>
    <row r="14" spans="1:12" ht="15" customHeight="1" x14ac:dyDescent="0.25">
      <c r="A14" s="95" t="s">
        <v>13</v>
      </c>
      <c r="B14" s="96">
        <f t="shared" ref="B14:C14" si="0">SUM(B2:B13)</f>
        <v>2526</v>
      </c>
      <c r="C14" s="96">
        <f t="shared" si="0"/>
        <v>2671</v>
      </c>
      <c r="D14" s="96">
        <f>SUM(D2:D13)</f>
        <v>8075</v>
      </c>
      <c r="E14" s="96">
        <f t="shared" ref="E14:L14" si="1">SUM(E2:E13)</f>
        <v>1339</v>
      </c>
      <c r="F14" s="96">
        <f t="shared" si="1"/>
        <v>359</v>
      </c>
      <c r="G14" s="96">
        <f t="shared" si="1"/>
        <v>378</v>
      </c>
      <c r="H14" s="96">
        <f t="shared" si="1"/>
        <v>144</v>
      </c>
      <c r="I14" s="96">
        <f t="shared" si="1"/>
        <v>30</v>
      </c>
      <c r="J14" s="96">
        <f t="shared" si="1"/>
        <v>278</v>
      </c>
      <c r="K14" s="96">
        <f t="shared" si="1"/>
        <v>10</v>
      </c>
      <c r="L14" s="96">
        <f t="shared" si="1"/>
        <v>0</v>
      </c>
    </row>
    <row r="15" spans="1:12" ht="15" customHeight="1" x14ac:dyDescent="0.25">
      <c r="A15" s="33" t="s">
        <v>118</v>
      </c>
      <c r="B15" s="2">
        <v>24</v>
      </c>
      <c r="C15" s="2">
        <v>24</v>
      </c>
      <c r="D15" s="2">
        <v>14.5</v>
      </c>
      <c r="E15" s="2">
        <v>9</v>
      </c>
      <c r="F15" s="2">
        <v>10</v>
      </c>
      <c r="G15" s="2">
        <v>9</v>
      </c>
      <c r="H15" s="2">
        <v>12.35</v>
      </c>
      <c r="I15" s="2">
        <v>12.35</v>
      </c>
      <c r="J15" s="2">
        <v>2.88</v>
      </c>
    </row>
    <row r="16" spans="1:12" ht="15" customHeight="1" x14ac:dyDescent="0.25">
      <c r="A16" s="33" t="s">
        <v>119</v>
      </c>
      <c r="B16" s="2">
        <v>74</v>
      </c>
      <c r="C16" s="2">
        <v>57</v>
      </c>
      <c r="D16" s="2">
        <v>41.5</v>
      </c>
      <c r="E16" s="2">
        <v>23</v>
      </c>
      <c r="F16" s="2">
        <v>16</v>
      </c>
      <c r="G16" s="2">
        <v>23</v>
      </c>
      <c r="H16" s="2">
        <v>26.35</v>
      </c>
      <c r="I16" s="2">
        <v>26.35</v>
      </c>
      <c r="J16" s="2">
        <v>3.88</v>
      </c>
    </row>
    <row r="17" spans="1:32" ht="15" customHeight="1" x14ac:dyDescent="0.25">
      <c r="A17" s="33" t="s">
        <v>120</v>
      </c>
      <c r="B17" s="2">
        <f>AVERAGE(B15:B16)</f>
        <v>49</v>
      </c>
      <c r="C17" s="2">
        <f t="shared" ref="C17:J17" si="2">AVERAGE(C15:C16)</f>
        <v>40.5</v>
      </c>
      <c r="D17" s="2">
        <f t="shared" si="2"/>
        <v>28</v>
      </c>
      <c r="E17" s="2">
        <f t="shared" si="2"/>
        <v>16</v>
      </c>
      <c r="F17" s="2">
        <f t="shared" si="2"/>
        <v>13</v>
      </c>
      <c r="G17" s="2">
        <f t="shared" si="2"/>
        <v>16</v>
      </c>
      <c r="H17" s="2">
        <f t="shared" si="2"/>
        <v>19.350000000000001</v>
      </c>
      <c r="I17" s="2">
        <f t="shared" si="2"/>
        <v>19.350000000000001</v>
      </c>
      <c r="J17" s="2">
        <f t="shared" si="2"/>
        <v>3.38</v>
      </c>
    </row>
    <row r="18" spans="1:32" ht="15" customHeight="1" x14ac:dyDescent="0.25">
      <c r="A18" s="33" t="s">
        <v>121</v>
      </c>
      <c r="B18" s="78">
        <f>SUM(B14:J14)</f>
        <v>15800</v>
      </c>
      <c r="K18" s="78"/>
    </row>
    <row r="21" spans="1:32" s="1" customFormat="1" ht="26.25" customHeight="1" x14ac:dyDescent="0.25">
      <c r="A21" s="163" t="s">
        <v>48</v>
      </c>
      <c r="B21" s="163" t="s">
        <v>49</v>
      </c>
      <c r="C21" s="154" t="s">
        <v>159</v>
      </c>
      <c r="D21" s="154" t="s">
        <v>160</v>
      </c>
      <c r="E21" s="163" t="s">
        <v>147</v>
      </c>
      <c r="F21" s="163" t="s">
        <v>148</v>
      </c>
      <c r="G21" s="163" t="s">
        <v>149</v>
      </c>
      <c r="H21" s="163" t="s">
        <v>150</v>
      </c>
      <c r="I21" s="163" t="s">
        <v>151</v>
      </c>
      <c r="J21" s="163" t="s">
        <v>152</v>
      </c>
      <c r="K21" s="163"/>
      <c r="L21" s="163"/>
      <c r="M21" s="163" t="s">
        <v>153</v>
      </c>
      <c r="N21" s="163"/>
      <c r="O21" s="163"/>
      <c r="P21" s="163"/>
      <c r="Q21" s="163"/>
      <c r="R21" s="163"/>
      <c r="S21" s="163"/>
      <c r="T21" s="165" t="s">
        <v>154</v>
      </c>
      <c r="U21" s="166"/>
      <c r="V21" s="167"/>
      <c r="W21" s="165" t="s">
        <v>155</v>
      </c>
      <c r="X21" s="166"/>
      <c r="Y21" s="167"/>
      <c r="Z21" s="164" t="s">
        <v>31</v>
      </c>
      <c r="AA21" s="164"/>
      <c r="AB21" s="164"/>
      <c r="AC21" s="164"/>
      <c r="AD21" s="164"/>
      <c r="AE21" s="164"/>
      <c r="AF21" s="164"/>
    </row>
    <row r="22" spans="1:32" s="1" customFormat="1" ht="15" customHeight="1" x14ac:dyDescent="0.25">
      <c r="A22" s="163"/>
      <c r="B22" s="163"/>
      <c r="C22" s="154"/>
      <c r="D22" s="154"/>
      <c r="E22" s="163"/>
      <c r="F22" s="163"/>
      <c r="G22" s="163"/>
      <c r="H22" s="163"/>
      <c r="I22" s="163"/>
      <c r="J22" s="37" t="s">
        <v>21</v>
      </c>
      <c r="K22" s="37" t="s">
        <v>27</v>
      </c>
      <c r="L22" s="37" t="s">
        <v>50</v>
      </c>
      <c r="M22" s="37" t="s">
        <v>21</v>
      </c>
      <c r="N22" s="37" t="s">
        <v>27</v>
      </c>
      <c r="O22" s="37" t="s">
        <v>50</v>
      </c>
      <c r="P22" s="37" t="s">
        <v>30</v>
      </c>
      <c r="Q22" s="37" t="s">
        <v>29</v>
      </c>
      <c r="R22" s="37" t="s">
        <v>18</v>
      </c>
      <c r="S22" s="91" t="s">
        <v>158</v>
      </c>
      <c r="T22" s="37" t="s">
        <v>21</v>
      </c>
      <c r="U22" s="37" t="s">
        <v>27</v>
      </c>
      <c r="V22" s="37" t="s">
        <v>50</v>
      </c>
      <c r="W22" s="37" t="s">
        <v>21</v>
      </c>
      <c r="X22" s="37" t="s">
        <v>27</v>
      </c>
      <c r="Y22" s="37" t="s">
        <v>50</v>
      </c>
      <c r="Z22" s="37" t="s">
        <v>21</v>
      </c>
      <c r="AA22" s="37" t="s">
        <v>27</v>
      </c>
      <c r="AB22" s="37" t="s">
        <v>50</v>
      </c>
      <c r="AC22" s="37" t="s">
        <v>30</v>
      </c>
      <c r="AD22" s="37" t="s">
        <v>29</v>
      </c>
      <c r="AE22" s="37" t="s">
        <v>18</v>
      </c>
      <c r="AF22" s="37" t="s">
        <v>158</v>
      </c>
    </row>
    <row r="23" spans="1:32" ht="15" customHeight="1" x14ac:dyDescent="0.25">
      <c r="A23" s="31" t="s">
        <v>51</v>
      </c>
      <c r="B23" s="14" t="s">
        <v>83</v>
      </c>
      <c r="C23" s="14">
        <v>-20.326148</v>
      </c>
      <c r="D23" s="14">
        <v>-40.338171000000003</v>
      </c>
      <c r="E23" s="14">
        <v>160</v>
      </c>
      <c r="F23" s="15">
        <f>SUM(B14:J14)/8760</f>
        <v>1.8036529680365296</v>
      </c>
      <c r="G23" s="29">
        <f>E23*F23/1000</f>
        <v>0.28858447488584477</v>
      </c>
      <c r="H23" s="79">
        <v>9.6999999999999993</v>
      </c>
      <c r="I23" s="15">
        <f>(B14*B17/B18)+(C14*C17/B18)+(D14*D17/B18)+(E14*E17/B18)+(F14*F17/B18)+(G14*G17/B18)+(H14*H17/B18)+(I14*I17/B18)+(J14*J17/B18)</f>
        <v>31.297154430379752</v>
      </c>
      <c r="J23" s="15">
        <f>('FE-Vias'!D5*(H23^0.91)*(I23^1.02)/1000)*'FE-Vias'!G15</f>
        <v>0.81668256751930146</v>
      </c>
      <c r="K23" s="15">
        <f>('FE-Vias'!C5*(H23^0.91)*(I23^1.02)/1000)*'FE-Vias'!G15</f>
        <v>0.15676259809968018</v>
      </c>
      <c r="L23" s="15">
        <f>('FE-Vias'!B5*(H23^0.91)*(I23^1.02)/1000)*'FE-Vias'!G15</f>
        <v>3.7926435024116169E-2</v>
      </c>
      <c r="M23" s="38">
        <f>'FE-Vias'!$B$22/1000</f>
        <v>1.7489827604766657E-4</v>
      </c>
      <c r="N23" s="38">
        <f>'FE-Vias'!$C$22/1000</f>
        <v>1.7489827604766657E-4</v>
      </c>
      <c r="O23" s="38">
        <f>'FE-Vias'!$D$22/1000</f>
        <v>1.7489827604766657E-4</v>
      </c>
      <c r="P23" s="38">
        <f>'FE-Vias'!$E$22/1000</f>
        <v>5.4345140567386742E-3</v>
      </c>
      <c r="Q23" s="39">
        <f>'FE-Vias'!$F$22/1000</f>
        <v>2.1032135261668511E-4</v>
      </c>
      <c r="R23" s="38">
        <f>'FE-Vias'!$G$22/1000</f>
        <v>1.0383730075038094E-3</v>
      </c>
      <c r="S23" s="38">
        <f>'FE-Vias'!$H$22/1000</f>
        <v>2.4766340643796463E-4</v>
      </c>
      <c r="T23" s="98">
        <f>'FE-Vias'!$I$22/1000</f>
        <v>6.7633804693835879E-5</v>
      </c>
      <c r="U23" s="98">
        <f>'FE-Vias'!$J$22/1000</f>
        <v>5.1332470377789449E-5</v>
      </c>
      <c r="V23" s="98">
        <f>'FE-Vias'!$K$22/1000</f>
        <v>2.7520218195668728E-5</v>
      </c>
      <c r="W23" s="98">
        <f>'FE-Vias'!$L$22/1000</f>
        <v>6.3494136177677979E-5</v>
      </c>
      <c r="X23" s="98">
        <f>'FE-Vias'!$M$22/1000</f>
        <v>3.1747068088838989E-5</v>
      </c>
      <c r="Y23" s="98">
        <f>'FE-Vias'!$N$22/1000</f>
        <v>1.7137767759244576E-5</v>
      </c>
      <c r="Z23" s="40">
        <f>(J23*G23)+(M23*G23)+(T23*G23)+(W23*G23)</f>
        <v>0.23577022431109199</v>
      </c>
      <c r="AA23" s="40">
        <f>(K23*G23)+(N23*G23)+(U23*G23)+(X23*G23)</f>
        <v>4.5313700446470741E-2</v>
      </c>
      <c r="AB23" s="40">
        <f>(L23*G23)+(O23*G23)+(V23*G23)+(Y23*G23)</f>
        <v>1.100834086430459E-2</v>
      </c>
      <c r="AC23" s="40">
        <f>P23*G23</f>
        <v>1.5683163853236722E-3</v>
      </c>
      <c r="AD23" s="40">
        <f>Q23*$G$23</f>
        <v>6.0695477102166667E-5</v>
      </c>
      <c r="AE23" s="40">
        <f>R23*$G$23</f>
        <v>2.9965832910612219E-4</v>
      </c>
      <c r="AF23" s="40">
        <f>S23*$G$23</f>
        <v>7.1471814095339569E-5</v>
      </c>
    </row>
    <row r="24" spans="1:32" s="1" customFormat="1" ht="15" customHeight="1" x14ac:dyDescent="0.25">
      <c r="A24" s="138" t="s">
        <v>136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40"/>
      <c r="Z24" s="97">
        <f t="shared" ref="Z24:AF24" si="3">SUM(Z23:Z23)</f>
        <v>0.23577022431109199</v>
      </c>
      <c r="AA24" s="97">
        <f>SUM(AA23:AA23)</f>
        <v>4.5313700446470741E-2</v>
      </c>
      <c r="AB24" s="97">
        <f t="shared" si="3"/>
        <v>1.100834086430459E-2</v>
      </c>
      <c r="AC24" s="97">
        <f t="shared" si="3"/>
        <v>1.5683163853236722E-3</v>
      </c>
      <c r="AD24" s="97">
        <f>SUM(AD23:AD23)</f>
        <v>6.0695477102166667E-5</v>
      </c>
      <c r="AE24" s="97">
        <f>SUM(AE23:AE23)</f>
        <v>2.9965832910612219E-4</v>
      </c>
      <c r="AF24" s="97">
        <f t="shared" si="3"/>
        <v>7.1471814095339569E-5</v>
      </c>
    </row>
    <row r="25" spans="1:32" s="1" customFormat="1" ht="14.25" customHeight="1" x14ac:dyDescent="0.25"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32" s="1" customFormat="1" ht="15" customHeight="1" x14ac:dyDescent="0.25">
      <c r="B26" s="16"/>
      <c r="C26" s="80"/>
      <c r="D26" s="16"/>
      <c r="E26" s="16"/>
      <c r="F26" s="16"/>
      <c r="G26" s="16"/>
      <c r="H26" s="16"/>
      <c r="I26" s="16"/>
      <c r="J26" s="16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8" spans="1:32" ht="15" customHeight="1" x14ac:dyDescent="0.25">
      <c r="B28" s="27"/>
      <c r="C28" s="27"/>
      <c r="D28" s="27"/>
      <c r="E28" s="27"/>
      <c r="F28" s="27"/>
      <c r="G28" s="27"/>
      <c r="H28" s="27"/>
      <c r="I28" s="27"/>
      <c r="J28" s="27"/>
    </row>
  </sheetData>
  <sheetProtection password="B056" sheet="1" objects="1" scenarios="1"/>
  <mergeCells count="15">
    <mergeCell ref="M21:S21"/>
    <mergeCell ref="A24:Y24"/>
    <mergeCell ref="Z21:AF21"/>
    <mergeCell ref="T21:V21"/>
    <mergeCell ref="W21:Y21"/>
    <mergeCell ref="F21:F22"/>
    <mergeCell ref="G21:G22"/>
    <mergeCell ref="H21:H22"/>
    <mergeCell ref="I21:I22"/>
    <mergeCell ref="J21:L21"/>
    <mergeCell ref="A21:A22"/>
    <mergeCell ref="B21:B22"/>
    <mergeCell ref="C21:C22"/>
    <mergeCell ref="D21:D22"/>
    <mergeCell ref="E21:E2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K17" sqref="K17"/>
    </sheetView>
  </sheetViews>
  <sheetFormatPr defaultRowHeight="15" customHeight="1" x14ac:dyDescent="0.25"/>
  <cols>
    <col min="1" max="1" width="18.7109375" style="1" customWidth="1"/>
    <col min="2" max="2" width="9.140625" style="1" customWidth="1"/>
    <col min="3" max="16384" width="9.140625" style="1"/>
  </cols>
  <sheetData>
    <row r="1" spans="1:12" ht="15" customHeight="1" x14ac:dyDescent="0.25">
      <c r="A1" s="168" t="s">
        <v>1</v>
      </c>
      <c r="B1" s="164" t="s">
        <v>31</v>
      </c>
      <c r="C1" s="164"/>
      <c r="D1" s="164"/>
      <c r="E1" s="164"/>
      <c r="F1" s="164"/>
      <c r="G1" s="164"/>
      <c r="H1" s="164"/>
    </row>
    <row r="2" spans="1:12" ht="15" customHeight="1" x14ac:dyDescent="0.25">
      <c r="A2" s="169"/>
      <c r="B2" s="87" t="s">
        <v>21</v>
      </c>
      <c r="C2" s="87" t="s">
        <v>27</v>
      </c>
      <c r="D2" s="87" t="s">
        <v>50</v>
      </c>
      <c r="E2" s="87" t="s">
        <v>30</v>
      </c>
      <c r="F2" s="87" t="s">
        <v>29</v>
      </c>
      <c r="G2" s="87" t="s">
        <v>18</v>
      </c>
      <c r="H2" s="87" t="s">
        <v>158</v>
      </c>
    </row>
    <row r="3" spans="1:12" ht="15" customHeight="1" x14ac:dyDescent="0.25">
      <c r="A3" s="89" t="s">
        <v>35</v>
      </c>
      <c r="B3" s="40">
        <f>'Emissão Maq e Equip'!M9</f>
        <v>4.5968465862352426E-3</v>
      </c>
      <c r="C3" s="40">
        <f>'Emissão Maq e Equip'!N9</f>
        <v>4.5968465862352426E-3</v>
      </c>
      <c r="D3" s="40">
        <f>'Emissão Maq e Equip'!O9</f>
        <v>4.5968465862352426E-3</v>
      </c>
      <c r="E3" s="40">
        <f>'Emissão Maq e Equip'!P9</f>
        <v>8.2869103455853479E-2</v>
      </c>
      <c r="F3" s="40">
        <f>'Emissão Maq e Equip'!Q9</f>
        <v>6.9760807611127113E-5</v>
      </c>
      <c r="G3" s="40">
        <f>'Emissão Maq e Equip'!R9</f>
        <v>3.4840115602825752E-2</v>
      </c>
      <c r="H3" s="40">
        <f>'Emissão Maq e Equip'!S9</f>
        <v>1.0427382069721762E-2</v>
      </c>
    </row>
    <row r="4" spans="1:12" ht="15" customHeight="1" x14ac:dyDescent="0.25">
      <c r="A4" s="1" t="s">
        <v>128</v>
      </c>
      <c r="B4" s="40">
        <f>'Emissão Vias'!Z24</f>
        <v>0.23577022431109199</v>
      </c>
      <c r="C4" s="40">
        <f>'Emissão Vias'!AA24</f>
        <v>4.5313700446470741E-2</v>
      </c>
      <c r="D4" s="40">
        <f>'Emissão Vias'!AB24</f>
        <v>1.100834086430459E-2</v>
      </c>
      <c r="E4" s="40">
        <f>'Emissão Vias'!AC24</f>
        <v>1.5683163853236722E-3</v>
      </c>
      <c r="F4" s="40">
        <f>'Emissão Vias'!AD24</f>
        <v>6.0695477102166667E-5</v>
      </c>
      <c r="G4" s="40">
        <f>'Emissão Vias'!AE24</f>
        <v>2.9965832910612219E-4</v>
      </c>
      <c r="H4" s="40">
        <f>'Emissão Vias'!AF24</f>
        <v>7.1471814095339569E-5</v>
      </c>
    </row>
    <row r="5" spans="1:12" ht="15" customHeight="1" x14ac:dyDescent="0.25">
      <c r="A5" s="1" t="s">
        <v>129</v>
      </c>
      <c r="B5" s="40">
        <f>'Emissão Transferências'!J10</f>
        <v>9.8482525428848222E-2</v>
      </c>
      <c r="C5" s="40">
        <f>'Emissão Transferências'!K10</f>
        <v>4.657957283796875E-2</v>
      </c>
      <c r="D5" s="40">
        <f>'Emissão Transferências'!L10</f>
        <v>7.0534781726066973E-3</v>
      </c>
      <c r="E5" s="40" t="s">
        <v>131</v>
      </c>
      <c r="F5" s="40" t="s">
        <v>131</v>
      </c>
      <c r="G5" s="40" t="s">
        <v>131</v>
      </c>
      <c r="H5" s="40" t="s">
        <v>131</v>
      </c>
    </row>
    <row r="6" spans="1:12" ht="15" customHeight="1" x14ac:dyDescent="0.25">
      <c r="A6" s="1" t="s">
        <v>132</v>
      </c>
      <c r="B6" s="40">
        <v>3.6112513567728874</v>
      </c>
      <c r="C6" s="40">
        <v>3.6112513567728874</v>
      </c>
      <c r="D6" s="40">
        <v>3.6112513567728874</v>
      </c>
      <c r="E6" s="40">
        <v>28.178211130208936</v>
      </c>
      <c r="F6" s="40">
        <v>26.518510791555489</v>
      </c>
      <c r="G6" s="40">
        <v>3.5256585793542481</v>
      </c>
      <c r="H6" s="40">
        <v>2.3342410006107697</v>
      </c>
    </row>
    <row r="7" spans="1:12" ht="15" customHeight="1" x14ac:dyDescent="0.25">
      <c r="A7" s="101" t="s">
        <v>136</v>
      </c>
      <c r="B7" s="101">
        <f>SUM(B3:B6)</f>
        <v>3.9501009530990627</v>
      </c>
      <c r="C7" s="101">
        <f>SUM(C3:C6)</f>
        <v>3.7077414766435624</v>
      </c>
      <c r="D7" s="101">
        <f>SUM(D3:D6)</f>
        <v>3.6339100223960341</v>
      </c>
      <c r="E7" s="101">
        <f t="shared" ref="E7:H7" si="0">SUM(E3:E6)</f>
        <v>28.262648550050113</v>
      </c>
      <c r="F7" s="101">
        <f>SUM(F3:F6)</f>
        <v>26.5186412478402</v>
      </c>
      <c r="G7" s="101">
        <f t="shared" si="0"/>
        <v>3.56079835328618</v>
      </c>
      <c r="H7" s="101">
        <f t="shared" si="0"/>
        <v>2.3447398544945868</v>
      </c>
    </row>
    <row r="8" spans="1:12" ht="15" customHeight="1" x14ac:dyDescent="0.25">
      <c r="A8" s="1" t="s">
        <v>134</v>
      </c>
    </row>
    <row r="11" spans="1:12" ht="15" customHeight="1" x14ac:dyDescent="0.25">
      <c r="B11" s="88"/>
    </row>
    <row r="14" spans="1:12" ht="15" customHeight="1" x14ac:dyDescent="0.25">
      <c r="L14" s="1" t="s">
        <v>130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</vt:lpstr>
      <vt:lpstr>FE-Maq e Equip</vt:lpstr>
      <vt:lpstr>FE-Vias</vt:lpstr>
      <vt:lpstr>FE-Transferências</vt:lpstr>
      <vt:lpstr>Emissão Transferências</vt:lpstr>
      <vt:lpstr>Emissão Maq e Equip</vt:lpstr>
      <vt:lpstr>Emissão Vias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Vanessa Brusco Filete</cp:lastModifiedBy>
  <dcterms:created xsi:type="dcterms:W3CDTF">2017-03-21T18:13:02Z</dcterms:created>
  <dcterms:modified xsi:type="dcterms:W3CDTF">2019-06-06T20:40:27Z</dcterms:modified>
</cp:coreProperties>
</file>