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Pneus Vitória\"/>
    </mc:Choice>
  </mc:AlternateContent>
  <bookViews>
    <workbookView xWindow="0" yWindow="0" windowWidth="24000" windowHeight="9435" activeTab="4"/>
  </bookViews>
  <sheets>
    <sheet name="FE-Combustão" sheetId="8" r:id="rId1"/>
    <sheet name="Massa Específica" sheetId="9" r:id="rId2"/>
    <sheet name="Dados" sheetId="7" r:id="rId3"/>
    <sheet name="Monitoramento" sheetId="3" r:id="rId4"/>
    <sheet name="Emissão Chaminé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4" l="1"/>
  <c r="S7" i="4" l="1"/>
  <c r="M7" i="4"/>
  <c r="R7" i="4"/>
  <c r="L7" i="4"/>
  <c r="T7" i="4" l="1"/>
  <c r="Q8" i="4"/>
  <c r="Q7" i="4"/>
  <c r="I7" i="4"/>
  <c r="U7" i="4"/>
  <c r="H7" i="4"/>
  <c r="F7" i="4" l="1"/>
  <c r="E7" i="4"/>
  <c r="B1" i="4" l="1"/>
  <c r="D7" i="4" s="1"/>
  <c r="F18" i="7"/>
  <c r="F14" i="7"/>
  <c r="P7" i="4"/>
  <c r="O7" i="4"/>
  <c r="N7" i="4"/>
  <c r="B9" i="9"/>
  <c r="T8" i="4"/>
  <c r="N2" i="8"/>
  <c r="L21" i="8" s="1"/>
  <c r="V7" i="4" l="1"/>
  <c r="V8" i="4" s="1"/>
  <c r="W7" i="4"/>
  <c r="W8" i="4" s="1"/>
  <c r="D5" i="8"/>
  <c r="G6" i="8"/>
  <c r="J7" i="8"/>
  <c r="D9" i="8"/>
  <c r="G10" i="8"/>
  <c r="J11" i="8"/>
  <c r="D13" i="8"/>
  <c r="G14" i="8"/>
  <c r="F20" i="8"/>
  <c r="F21" i="8"/>
  <c r="J4" i="8"/>
  <c r="J8" i="8"/>
  <c r="C20" i="8"/>
  <c r="D4" i="8"/>
  <c r="G5" i="8"/>
  <c r="J6" i="8"/>
  <c r="D8" i="8"/>
  <c r="G9" i="8"/>
  <c r="J10" i="8"/>
  <c r="D12" i="8"/>
  <c r="G13" i="8"/>
  <c r="J14" i="8"/>
  <c r="I20" i="8"/>
  <c r="I21" i="8"/>
  <c r="D6" i="8"/>
  <c r="G7" i="8"/>
  <c r="D10" i="8"/>
  <c r="G11" i="8"/>
  <c r="J12" i="8"/>
  <c r="D14" i="8"/>
  <c r="C21" i="8"/>
  <c r="G4" i="8"/>
  <c r="J5" i="8"/>
  <c r="D7" i="8"/>
  <c r="G8" i="8"/>
  <c r="J9" i="8"/>
  <c r="D11" i="8"/>
  <c r="G12" i="8"/>
  <c r="J13" i="8"/>
  <c r="D16" i="8"/>
  <c r="L20" i="8"/>
  <c r="K7" i="4" l="1"/>
  <c r="G7" i="4"/>
  <c r="F21" i="3"/>
  <c r="F14" i="3"/>
  <c r="F15" i="3"/>
  <c r="F16" i="3"/>
  <c r="F18" i="3"/>
  <c r="F11" i="3"/>
  <c r="F20" i="3" l="1"/>
  <c r="F19" i="3"/>
  <c r="F17" i="3"/>
  <c r="F12" i="3"/>
  <c r="F10" i="3"/>
  <c r="F9" i="3"/>
  <c r="F8" i="3"/>
  <c r="F7" i="3"/>
  <c r="J7" i="4" s="1"/>
  <c r="S8" i="4" l="1"/>
  <c r="R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M2" authorId="0" shapeId="0">
      <text>
        <r>
          <rPr>
            <sz val="9"/>
            <color indexed="81"/>
            <rFont val="Segoe UI"/>
            <family val="2"/>
          </rPr>
          <t xml:space="preserve">Biomass Energy Databook - Edition 4 (US Department of Energy, 2011). Appendix A
Disponível em: </t>
        </r>
        <r>
          <rPr>
            <sz val="9"/>
            <color indexed="81"/>
            <rFont val="Segoe UI"/>
            <family val="2"/>
          </rPr>
          <t>http://info.ornl.gov/sites/publications/Files/Pub33120.pdf</t>
        </r>
      </text>
    </comment>
    <comment ref="N2" authorId="0" shapeId="0">
      <text>
        <r>
          <rPr>
            <sz val="9"/>
            <color indexed="81"/>
            <rFont val="Segoe UI"/>
            <family val="2"/>
          </rPr>
          <t>Foi utilizado o dado médio de HHV do eucalipto, obtido a partir das faixas: 8.174 - 8.432 Btu/lb</t>
        </r>
      </text>
    </comment>
  </commentList>
</comments>
</file>

<file path=xl/comments2.xml><?xml version="1.0" encoding="utf-8"?>
<comments xmlns="http://schemas.openxmlformats.org/spreadsheetml/2006/main">
  <authors>
    <author>Gabriel Aarão Gonçalves</author>
  </authors>
  <commentList>
    <comment ref="B9" authorId="0" shapeId="0">
      <text>
        <r>
          <rPr>
            <sz val="9"/>
            <color indexed="81"/>
            <rFont val="Segoe UI"/>
            <family val="2"/>
          </rPr>
          <t xml:space="preserve">Latitude fornecida pela empresa (-20,337º) foi corrigida, pois a coordenada fornecida foi a da rua do empreendimento, e não do local da chaminé
</t>
        </r>
      </text>
    </comment>
    <comment ref="B10" authorId="0" shapeId="0">
      <text>
        <r>
          <rPr>
            <sz val="9"/>
            <color indexed="81"/>
            <rFont val="Segoe UI"/>
            <family val="2"/>
          </rPr>
          <t>Latitude fornecida pela empresa (-40,403361º) foi corrigida, pois a coordenada fornecida foi a da rua do empreendimento, e não do local da chaminé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11" authorId="0" shapeId="0">
      <text>
        <r>
          <rPr>
            <sz val="9"/>
            <color indexed="81"/>
            <rFont val="Segoe UI"/>
            <family val="2"/>
          </rPr>
          <t xml:space="preserve">Em resposta ao oficio do IEMA 122/2017, o empreendimento destacou que no momento estava sem equipamento de controle
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  <author>Gabriel Aarão Gonçalves</author>
  </authors>
  <commentList>
    <comment ref="L6" authorId="0" shapeId="0">
      <text>
        <r>
          <rPr>
            <sz val="9"/>
            <color indexed="81"/>
            <rFont val="Segoe UI"/>
            <family val="2"/>
          </rPr>
          <t xml:space="preserve">Considerada relação PM10/PM obtida na Table 1.6-5 do AP-42
</t>
        </r>
      </text>
    </comment>
    <comment ref="M6" authorId="0" shapeId="0">
      <text>
        <r>
          <rPr>
            <sz val="9"/>
            <color indexed="81"/>
            <rFont val="Segoe UI"/>
            <family val="2"/>
          </rPr>
          <t xml:space="preserve">Considerada relação PM2.5/PM obtida na Table 1.6-5 do AP-42
</t>
        </r>
      </text>
    </comment>
    <comment ref="Q6" authorId="1" shapeId="0">
      <text>
        <r>
          <rPr>
            <sz val="9"/>
            <color indexed="81"/>
            <rFont val="Segoe UI"/>
            <family val="2"/>
          </rPr>
          <t xml:space="preserve">Dado de monitoramento referente ao ano de 2015
</t>
        </r>
      </text>
    </comment>
    <comment ref="T6" authorId="0" shapeId="0">
      <text>
        <r>
          <rPr>
            <sz val="9"/>
            <color indexed="81"/>
            <rFont val="Segoe UI"/>
            <family val="2"/>
          </rPr>
          <t>Dado de monitoramento referente ao ano de 2015</t>
        </r>
      </text>
    </comment>
  </commentList>
</comments>
</file>

<file path=xl/sharedStrings.xml><?xml version="1.0" encoding="utf-8"?>
<sst xmlns="http://schemas.openxmlformats.org/spreadsheetml/2006/main" count="248" uniqueCount="149">
  <si>
    <t>Diâmetro (m)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</si>
  <si>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</si>
  <si>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</si>
  <si>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</si>
  <si>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</si>
  <si>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</si>
  <si>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</si>
  <si>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</si>
  <si>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</si>
  <si>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</si>
  <si>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</si>
  <si>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</si>
  <si>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</si>
  <si>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</si>
  <si>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 xml:space="preserve">Parâmetros </t>
  </si>
  <si>
    <t>Amostragem</t>
  </si>
  <si>
    <t>Média</t>
  </si>
  <si>
    <t>Unidade</t>
  </si>
  <si>
    <t>Dados de Medição</t>
  </si>
  <si>
    <t>Temperatura dos Gases</t>
  </si>
  <si>
    <t>ºC</t>
  </si>
  <si>
    <t>Velocidade do Gás</t>
  </si>
  <si>
    <t>m/s</t>
  </si>
  <si>
    <t>Umidade do Gás</t>
  </si>
  <si>
    <t>%</t>
  </si>
  <si>
    <t>Vazão nas Condições da Chaminé</t>
  </si>
  <si>
    <t>m³/h</t>
  </si>
  <si>
    <t>Vazão Normal Base Seca (Qnbs)</t>
  </si>
  <si>
    <t>Nm³/h</t>
  </si>
  <si>
    <t>Variação Isocinética</t>
  </si>
  <si>
    <t>Poluentes</t>
  </si>
  <si>
    <t>Material Particulado</t>
  </si>
  <si>
    <t>mg/Nm³</t>
  </si>
  <si>
    <r>
      <t xml:space="preserve">Concentração </t>
    </r>
    <r>
      <rPr>
        <vertAlign val="superscript"/>
        <sz val="8"/>
        <color theme="1"/>
        <rFont val="Arial"/>
        <family val="2"/>
      </rPr>
      <t>(b)</t>
    </r>
  </si>
  <si>
    <t>Taxa de Emissão</t>
  </si>
  <si>
    <t>kg/h</t>
  </si>
  <si>
    <r>
      <t>O</t>
    </r>
    <r>
      <rPr>
        <vertAlign val="subscript"/>
        <sz val="8"/>
        <color theme="1"/>
        <rFont val="Arial"/>
        <family val="2"/>
      </rPr>
      <t>2</t>
    </r>
  </si>
  <si>
    <t>Teor</t>
  </si>
  <si>
    <r>
      <t>CO</t>
    </r>
    <r>
      <rPr>
        <vertAlign val="subscript"/>
        <sz val="8"/>
        <color theme="1"/>
        <rFont val="Arial"/>
        <family val="2"/>
      </rPr>
      <t>2</t>
    </r>
  </si>
  <si>
    <t>&lt;0,01</t>
  </si>
  <si>
    <r>
      <rPr>
        <vertAlign val="superscript"/>
        <sz val="8"/>
        <color theme="1"/>
        <rFont val="Arial"/>
        <family val="2"/>
      </rPr>
      <t>(b)</t>
    </r>
    <r>
      <rPr>
        <sz val="8"/>
        <color theme="1"/>
        <rFont val="Arial"/>
        <family val="2"/>
      </rPr>
      <t xml:space="preserve"> nas condições normais de temperatura e pressão (0°C e 1 atm) e base seca</t>
    </r>
  </si>
  <si>
    <t>Fonte Emissora</t>
  </si>
  <si>
    <t>Equipamento de Controle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</si>
  <si>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</si>
  <si>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</si>
  <si>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</si>
  <si>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</si>
  <si>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-</t>
  </si>
  <si>
    <t>TOTAL</t>
  </si>
  <si>
    <t>Emission Factor Rating</t>
  </si>
  <si>
    <t>Equação Geral:</t>
  </si>
  <si>
    <t>Onde:
E - emissão
EF - fator de emissão
ER - eficiência de redução de emissão</t>
  </si>
  <si>
    <t>Monitoramento de Emissões Atmosféricas - abril/2015</t>
  </si>
  <si>
    <t>Chaminé da Caldeira</t>
  </si>
  <si>
    <r>
      <t xml:space="preserve">Concentração </t>
    </r>
    <r>
      <rPr>
        <vertAlign val="superscript"/>
        <sz val="8"/>
        <color theme="1"/>
        <rFont val="Arial"/>
        <family val="2"/>
      </rPr>
      <t>(a)</t>
    </r>
  </si>
  <si>
    <r>
      <rPr>
        <vertAlign val="superscript"/>
        <sz val="8"/>
        <color theme="1"/>
        <rFont val="Arial"/>
        <family val="2"/>
      </rPr>
      <t>(b)</t>
    </r>
    <r>
      <rPr>
        <sz val="8"/>
        <color theme="1"/>
        <rFont val="Arial"/>
        <family val="2"/>
      </rPr>
      <t xml:space="preserve"> nas condições normais de temperatura e pressão (0°C e 1 atm), corrigido a 8% de excesso de O</t>
    </r>
    <r>
      <rPr>
        <vertAlign val="subscript"/>
        <sz val="8"/>
        <color theme="1"/>
        <rFont val="Arial"/>
        <family val="2"/>
      </rPr>
      <t>2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</si>
  <si>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</si>
  <si>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t>Fonte: Informações enviadas pelo empreendimento através dos Ofícios IEMA N° 122/2017</t>
  </si>
  <si>
    <t>Lenha</t>
  </si>
  <si>
    <t>Caldeira</t>
  </si>
  <si>
    <t>Combustível</t>
  </si>
  <si>
    <t>Alimentação (m³/h)</t>
  </si>
  <si>
    <t>CO</t>
  </si>
  <si>
    <t>Altura da chaminé (m)</t>
  </si>
  <si>
    <t>Latitude</t>
  </si>
  <si>
    <t>Longitude</t>
  </si>
  <si>
    <t xml:space="preserve">Equipamento de Controle </t>
  </si>
  <si>
    <t>Sem controle</t>
  </si>
  <si>
    <t>Referência: AP-42 (EPA, 2003): https://www3.epa.gov/ttn/chief/ap42/ch01/final/c01s06.pdf</t>
  </si>
  <si>
    <t>Table 1.6-1 - EMISSION FACTORS FOR PM FROM WOOD RESIDUE COMBUSTION</t>
  </si>
  <si>
    <t>HHV - Eucalipto (MMBTU/lb)</t>
  </si>
  <si>
    <t>Fuel</t>
  </si>
  <si>
    <t>PM Control Device</t>
  </si>
  <si>
    <t>Filterable PM (lb/MMbtu)</t>
  </si>
  <si>
    <t>Filterable PM (lb/ton)</t>
  </si>
  <si>
    <r>
      <t>Filterable PM</t>
    </r>
    <r>
      <rPr>
        <vertAlign val="subscript"/>
        <sz val="8"/>
        <color theme="1"/>
        <rFont val="Arial"/>
        <family val="2"/>
      </rPr>
      <t xml:space="preserve">10 </t>
    </r>
    <r>
      <rPr>
        <sz val="8"/>
        <color theme="1"/>
        <rFont val="Arial"/>
        <family val="2"/>
      </rPr>
      <t>(lb/MMbtu)</t>
    </r>
  </si>
  <si>
    <r>
      <t>Filterable PM</t>
    </r>
    <r>
      <rPr>
        <vertAlign val="subscript"/>
        <sz val="8"/>
        <color theme="1"/>
        <rFont val="Arial"/>
        <family val="2"/>
      </rPr>
      <t xml:space="preserve">10 </t>
    </r>
    <r>
      <rPr>
        <sz val="8"/>
        <color theme="1"/>
        <rFont val="Arial"/>
        <family val="2"/>
      </rPr>
      <t>(lb/ton)</t>
    </r>
  </si>
  <si>
    <r>
      <t>Filterable PM</t>
    </r>
    <r>
      <rPr>
        <vertAlign val="subscript"/>
        <sz val="8"/>
        <color theme="1"/>
        <rFont val="Arial"/>
        <family val="2"/>
      </rPr>
      <t xml:space="preserve">2.5 </t>
    </r>
    <r>
      <rPr>
        <sz val="8"/>
        <color theme="1"/>
        <rFont val="Arial"/>
        <family val="2"/>
      </rPr>
      <t>(lb/MMbtu)</t>
    </r>
  </si>
  <si>
    <r>
      <t>Filterable PM</t>
    </r>
    <r>
      <rPr>
        <vertAlign val="subscript"/>
        <sz val="8"/>
        <color theme="1"/>
        <rFont val="Arial"/>
        <family val="2"/>
      </rPr>
      <t xml:space="preserve">2.5 </t>
    </r>
    <r>
      <rPr>
        <sz val="8"/>
        <color theme="1"/>
        <rFont val="Arial"/>
        <family val="2"/>
      </rPr>
      <t>(lb/ton)</t>
    </r>
  </si>
  <si>
    <t>Para conversão de lb/MMBtu para lb/ton, o fator deve ser multiplicado por (HHV*2000), onde HHV é dado em MMbtu/lb.</t>
  </si>
  <si>
    <t>Bark/Bark and Wet Wood</t>
  </si>
  <si>
    <t>No Control</t>
  </si>
  <si>
    <t>C</t>
  </si>
  <si>
    <t>D</t>
  </si>
  <si>
    <t>Dry Wood</t>
  </si>
  <si>
    <t>A</t>
  </si>
  <si>
    <t>Wet Wood</t>
  </si>
  <si>
    <t>Bark</t>
  </si>
  <si>
    <t>Mechanical Collector</t>
  </si>
  <si>
    <t>Bark and Wet Wood</t>
  </si>
  <si>
    <t>All Fuels</t>
  </si>
  <si>
    <t>Electrolyzed Gravel Bed</t>
  </si>
  <si>
    <t>Wet Scrubber</t>
  </si>
  <si>
    <t>Fabric Filter</t>
  </si>
  <si>
    <t>Eletrostatic Precipitator</t>
  </si>
  <si>
    <t>B</t>
  </si>
  <si>
    <t>Condensible PM (lb/MMbtu)</t>
  </si>
  <si>
    <t>Condensible PM (lb/ton)</t>
  </si>
  <si>
    <t>All Controls/No Controls</t>
  </si>
  <si>
    <r>
      <t>Table 1.6-2 - EMISSION FACTORS FOR NO</t>
    </r>
    <r>
      <rPr>
        <vertAlign val="subscript"/>
        <sz val="8"/>
        <color theme="1"/>
        <rFont val="Arial"/>
        <family val="2"/>
      </rPr>
      <t>x</t>
    </r>
    <r>
      <rPr>
        <sz val="8"/>
        <color theme="1"/>
        <rFont val="Arial"/>
        <family val="2"/>
      </rPr>
      <t xml:space="preserve"> , SO</t>
    </r>
    <r>
      <rPr>
        <vertAlign val="sub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, AND CO FROM WOOD RESIDUE COMBUSTION</t>
    </r>
  </si>
  <si>
    <t>Source Category</t>
  </si>
  <si>
    <r>
      <t>NO</t>
    </r>
    <r>
      <rPr>
        <vertAlign val="subscript"/>
        <sz val="8"/>
        <color theme="1"/>
        <rFont val="Arial"/>
        <family val="2"/>
      </rPr>
      <t xml:space="preserve">X </t>
    </r>
    <r>
      <rPr>
        <sz val="8"/>
        <color theme="1"/>
        <rFont val="Arial"/>
        <family val="2"/>
      </rPr>
      <t>- Emission Factor (lb/MMbtu)</t>
    </r>
  </si>
  <si>
    <r>
      <t>NO</t>
    </r>
    <r>
      <rPr>
        <vertAlign val="subscript"/>
        <sz val="8"/>
        <color theme="1"/>
        <rFont val="Arial"/>
        <family val="2"/>
      </rPr>
      <t xml:space="preserve">X </t>
    </r>
    <r>
      <rPr>
        <sz val="8"/>
        <color theme="1"/>
        <rFont val="Arial"/>
        <family val="2"/>
      </rPr>
      <t>- Emission Factor (lb/ton)</t>
    </r>
  </si>
  <si>
    <r>
      <t>SO</t>
    </r>
    <r>
      <rPr>
        <vertAlign val="subscript"/>
        <sz val="8"/>
        <color theme="1"/>
        <rFont val="Arial"/>
        <family val="2"/>
      </rPr>
      <t xml:space="preserve">2 </t>
    </r>
    <r>
      <rPr>
        <sz val="8"/>
        <color theme="1"/>
        <rFont val="Arial"/>
        <family val="2"/>
      </rPr>
      <t>- Emission Factor (lb/MMbtu)</t>
    </r>
  </si>
  <si>
    <r>
      <t>SO</t>
    </r>
    <r>
      <rPr>
        <vertAlign val="subscript"/>
        <sz val="8"/>
        <color theme="1"/>
        <rFont val="Arial"/>
        <family val="2"/>
      </rPr>
      <t xml:space="preserve">2 </t>
    </r>
    <r>
      <rPr>
        <sz val="8"/>
        <color theme="1"/>
        <rFont val="Arial"/>
        <family val="2"/>
      </rPr>
      <t>- Emission Factor (lb/ton)</t>
    </r>
  </si>
  <si>
    <r>
      <t>CO</t>
    </r>
    <r>
      <rPr>
        <vertAlign val="subscript"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- Emission Factor (lb/MMbtu)</t>
    </r>
  </si>
  <si>
    <r>
      <t>CO</t>
    </r>
    <r>
      <rPr>
        <vertAlign val="subscript"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- Emission Factor (lb/ton)</t>
    </r>
  </si>
  <si>
    <r>
      <t>COV</t>
    </r>
    <r>
      <rPr>
        <vertAlign val="subscript"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- Emission Factor (lb/MMbtu)</t>
    </r>
  </si>
  <si>
    <r>
      <t>COV</t>
    </r>
    <r>
      <rPr>
        <vertAlign val="subscript"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- Emission Factor (lb/ton)</t>
    </r>
  </si>
  <si>
    <t>Bar/bark and wet wood/wet wood-fired boiler</t>
  </si>
  <si>
    <t>Dry wood-fired boilers</t>
  </si>
  <si>
    <t>Lenha (madeira de eucalipto)</t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</si>
  <si>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</si>
  <si>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</si>
  <si>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t>Tipo Madeira</t>
  </si>
  <si>
    <t>Densidade (g/cm³)</t>
  </si>
  <si>
    <t>Referência</t>
  </si>
  <si>
    <t>Eucalyptus 
spp</t>
  </si>
  <si>
    <r>
      <t xml:space="preserve">GATTO et </t>
    </r>
    <r>
      <rPr>
        <i/>
        <sz val="8"/>
        <color theme="1"/>
        <rFont val="Arial"/>
        <family val="2"/>
      </rPr>
      <t>al.</t>
    </r>
    <r>
      <rPr>
        <sz val="8"/>
        <color theme="1"/>
        <rFont val="Arial"/>
        <family val="2"/>
      </rPr>
      <t xml:space="preserve"> (2000)</t>
    </r>
  </si>
  <si>
    <t>Eucalyptus grandis - Eucalyptus urophylla</t>
  </si>
  <si>
    <t>0,447-0,552</t>
  </si>
  <si>
    <r>
      <t>QUEIROZ et</t>
    </r>
    <r>
      <rPr>
        <i/>
        <sz val="8"/>
        <color theme="1"/>
        <rFont val="Arial"/>
        <family val="2"/>
      </rPr>
      <t xml:space="preserve"> al.</t>
    </r>
    <r>
      <rPr>
        <sz val="8"/>
        <color theme="1"/>
        <rFont val="Arial"/>
        <family val="2"/>
      </rPr>
      <t xml:space="preserve"> (2004)</t>
    </r>
  </si>
  <si>
    <t>Eucalyptus pellita</t>
  </si>
  <si>
    <r>
      <t xml:space="preserve">OLIVEIRA et </t>
    </r>
    <r>
      <rPr>
        <i/>
        <sz val="8"/>
        <color theme="1"/>
        <rFont val="Arial"/>
        <family val="2"/>
      </rPr>
      <t xml:space="preserve">al. </t>
    </r>
    <r>
      <rPr>
        <sz val="8"/>
        <color theme="1"/>
        <rFont val="Arial"/>
        <family val="2"/>
      </rPr>
      <t>(2010)</t>
    </r>
  </si>
  <si>
    <t>Eucalyptus grandis</t>
  </si>
  <si>
    <t>0,508-0,597</t>
  </si>
  <si>
    <r>
      <t xml:space="preserve">TRUGILHO et </t>
    </r>
    <r>
      <rPr>
        <i/>
        <sz val="8"/>
        <color theme="1"/>
        <rFont val="Arial"/>
        <family val="2"/>
      </rPr>
      <t xml:space="preserve">al. </t>
    </r>
    <r>
      <rPr>
        <sz val="8"/>
        <color theme="1"/>
        <rFont val="Arial"/>
        <family val="2"/>
      </rPr>
      <t>(2001)</t>
    </r>
  </si>
  <si>
    <t>Eucalyptus saligna</t>
  </si>
  <si>
    <t>0,514-0,603</t>
  </si>
  <si>
    <t>0,46-0,72</t>
  </si>
  <si>
    <t>SILVA (1998)</t>
  </si>
  <si>
    <t>Consumo de Lenha (m³/h):</t>
  </si>
  <si>
    <t>Consumo Combustível [t/h]</t>
  </si>
  <si>
    <t>Processo Produtivo</t>
  </si>
  <si>
    <t>Mês</t>
  </si>
  <si>
    <t>Quantidade de Lenha Eucalipto Comprada (m³)</t>
  </si>
  <si>
    <t>Fator de Emissão [lb/t]</t>
  </si>
  <si>
    <t>Conversão de lb/ton para kg/t:</t>
  </si>
  <si>
    <t>Fração Material Particulado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</si>
  <si>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>/PM</t>
    </r>
  </si>
  <si>
    <r>
      <t>PM</t>
    </r>
    <r>
      <rPr>
        <b/>
        <vertAlign val="subscript"/>
        <sz val="8"/>
        <color theme="0"/>
        <rFont val="Arial"/>
        <family val="2"/>
      </rPr>
      <t>2.5</t>
    </r>
    <r>
      <rPr>
        <b/>
        <sz val="8"/>
        <color theme="0"/>
        <rFont val="Arial"/>
        <family val="2"/>
      </rPr>
      <t>/PM</t>
    </r>
  </si>
  <si>
    <t>VOC</t>
  </si>
  <si>
    <t>Vazão [Nm³/h]</t>
  </si>
  <si>
    <t>Latitude [º]</t>
  </si>
  <si>
    <t>Longitude [º]</t>
  </si>
  <si>
    <t>Diâmetro [m]</t>
  </si>
  <si>
    <t>Vazão [m³/h]</t>
  </si>
  <si>
    <t>Temperatura [ºC]</t>
  </si>
  <si>
    <t>Altura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</si>
</sst>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#,##0.000"/>
    <numFmt numFmtId="165" formatCode="#,##0.0"/>
    <numFmt numFmtId="166" formatCode="0.000000"/>
    <numFmt numFmtId="167" formatCode="0.0000"/>
    <numFmt numFmtId="168" formatCode="#,##0.0000"/>
    <numFmt numFmtId="169" formatCode="#,##0.00000"/>
    <numFmt numFmtId="170" formatCode="0.00000"/>
    <numFmt numFmtId="171" formatCode="0.000"/>
    <numFmt numFmtId="172" formatCode="[&gt;=0.005]\ #,##0.00;[&lt;0.005]&quot;&lt;0,01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color rgb="FFFF0000"/>
      <name val="Arial"/>
      <family val="2"/>
    </font>
    <font>
      <sz val="9"/>
      <color indexed="81"/>
      <name val="Segoe UI"/>
      <family val="2"/>
    </font>
    <font>
      <b/>
      <i/>
      <sz val="8"/>
      <color theme="1"/>
      <name val="Arial"/>
      <family val="2"/>
    </font>
    <font>
      <sz val="7"/>
      <color theme="1"/>
      <name val="Arial"/>
      <family val="2"/>
    </font>
    <font>
      <i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4" fontId="2" fillId="0" borderId="1" xfId="1" applyNumberFormat="1" applyFont="1" applyBorder="1" applyAlignment="1">
      <alignment horizontal="center"/>
    </xf>
    <xf numFmtId="3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" fontId="2" fillId="0" borderId="1" xfId="1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/>
    <xf numFmtId="165" fontId="2" fillId="0" borderId="1" xfId="1" applyNumberFormat="1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6" fillId="2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vertical="center"/>
    </xf>
    <xf numFmtId="1" fontId="2" fillId="0" borderId="2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0" applyNumberFormat="1" applyFont="1"/>
    <xf numFmtId="169" fontId="2" fillId="0" borderId="0" xfId="0" applyNumberFormat="1" applyFont="1" applyAlignment="1">
      <alignment horizontal="center" vertical="center"/>
    </xf>
    <xf numFmtId="0" fontId="2" fillId="0" borderId="0" xfId="0" applyFont="1" applyFill="1"/>
    <xf numFmtId="2" fontId="2" fillId="0" borderId="0" xfId="0" applyNumberFormat="1" applyFont="1" applyFill="1"/>
    <xf numFmtId="0" fontId="2" fillId="0" borderId="1" xfId="0" applyFont="1" applyFill="1" applyBorder="1" applyAlignment="1">
      <alignment horizontal="left"/>
    </xf>
    <xf numFmtId="4" fontId="2" fillId="0" borderId="1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12" xfId="0" applyFont="1" applyFill="1" applyBorder="1"/>
    <xf numFmtId="0" fontId="2" fillId="4" borderId="13" xfId="0" applyFont="1" applyFill="1" applyBorder="1"/>
    <xf numFmtId="0" fontId="2" fillId="4" borderId="4" xfId="0" applyFont="1" applyFill="1" applyBorder="1"/>
    <xf numFmtId="0" fontId="2" fillId="4" borderId="14" xfId="0" applyFont="1" applyFill="1" applyBorder="1"/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2" borderId="2" xfId="0" applyNumberFormat="1" applyFont="1" applyFill="1" applyBorder="1" applyAlignment="1" applyProtection="1">
      <alignment horizontal="center" vertical="center" wrapText="1"/>
    </xf>
    <xf numFmtId="166" fontId="2" fillId="0" borderId="0" xfId="0" applyNumberFormat="1" applyFont="1" applyFill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67" fontId="2" fillId="0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1" fontId="2" fillId="0" borderId="2" xfId="0" applyNumberFormat="1" applyFont="1" applyBorder="1" applyAlignment="1">
      <alignment horizontal="center" vertical="center"/>
    </xf>
    <xf numFmtId="171" fontId="4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17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67" fontId="2" fillId="0" borderId="0" xfId="0" applyNumberFormat="1" applyFont="1" applyAlignment="1">
      <alignment horizontal="center" vertical="center"/>
    </xf>
    <xf numFmtId="172" fontId="2" fillId="3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167" fontId="2" fillId="0" borderId="0" xfId="0" applyNumberFormat="1" applyFont="1" applyFill="1" applyAlignment="1">
      <alignment horizontal="center" vertical="center"/>
    </xf>
    <xf numFmtId="0" fontId="6" fillId="2" borderId="15" xfId="0" applyNumberFormat="1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left" vertical="center" wrapText="1"/>
    </xf>
    <xf numFmtId="0" fontId="2" fillId="4" borderId="1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14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2" fontId="2" fillId="0" borderId="2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2" borderId="18" xfId="0" applyNumberFormat="1" applyFont="1" applyFill="1" applyBorder="1" applyAlignment="1" applyProtection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 applyProtection="1">
      <alignment horizontal="center" vertical="center" wrapText="1"/>
    </xf>
    <xf numFmtId="0" fontId="6" fillId="2" borderId="5" xfId="0" applyNumberFormat="1" applyFont="1" applyFill="1" applyBorder="1" applyAlignment="1" applyProtection="1">
      <alignment horizontal="center" vertical="center" wrapText="1"/>
    </xf>
    <xf numFmtId="0" fontId="6" fillId="2" borderId="2" xfId="0" applyNumberFormat="1" applyFont="1" applyFill="1" applyBorder="1" applyAlignment="1" applyProtection="1">
      <alignment horizontal="center" vertical="center" wrapText="1"/>
    </xf>
    <xf numFmtId="0" fontId="6" fillId="2" borderId="11" xfId="0" applyNumberFormat="1" applyFont="1" applyFill="1" applyBorder="1" applyAlignment="1" applyProtection="1">
      <alignment horizontal="center" vertical="center" wrapText="1"/>
    </xf>
    <xf numFmtId="0" fontId="6" fillId="2" borderId="6" xfId="0" applyNumberFormat="1" applyFont="1" applyFill="1" applyBorder="1" applyAlignment="1" applyProtection="1">
      <alignment horizontal="center" vertical="center" wrapText="1"/>
    </xf>
    <xf numFmtId="0" fontId="6" fillId="2" borderId="16" xfId="0" applyNumberFormat="1" applyFont="1" applyFill="1" applyBorder="1" applyAlignment="1" applyProtection="1">
      <alignment horizontal="center" vertical="center" wrapText="1"/>
    </xf>
    <xf numFmtId="0" fontId="6" fillId="2" borderId="17" xfId="0" applyNumberFormat="1" applyFont="1" applyFill="1" applyBorder="1" applyAlignment="1" applyProtection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23</xdr:row>
      <xdr:rowOff>71437</xdr:rowOff>
    </xdr:from>
    <xdr:ext cx="1609725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381250" y="4738687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(1−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381250" y="4738687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𝐸=𝐴 𝑥 𝐸𝐹 𝑥 (1−𝐸𝑅/100)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A5" sqref="A5"/>
    </sheetView>
  </sheetViews>
  <sheetFormatPr defaultRowHeight="11.25" x14ac:dyDescent="0.2"/>
  <cols>
    <col min="1" max="1" width="32.85546875" style="14" customWidth="1"/>
    <col min="2" max="2" width="17.7109375" style="14" customWidth="1"/>
    <col min="3" max="4" width="11.85546875" style="14" bestFit="1" customWidth="1"/>
    <col min="5" max="5" width="13.140625" style="14" bestFit="1" customWidth="1"/>
    <col min="6" max="6" width="11.85546875" style="14" bestFit="1" customWidth="1"/>
    <col min="7" max="7" width="11.85546875" style="14" customWidth="1"/>
    <col min="8" max="8" width="13.140625" style="14" bestFit="1" customWidth="1"/>
    <col min="9" max="9" width="11.85546875" style="14" bestFit="1" customWidth="1"/>
    <col min="10" max="10" width="11.85546875" style="14" customWidth="1"/>
    <col min="11" max="11" width="13.140625" style="14" customWidth="1"/>
    <col min="12" max="12" width="13.5703125" style="14" customWidth="1"/>
    <col min="13" max="13" width="21.42578125" style="14" customWidth="1"/>
    <col min="14" max="14" width="12.28515625" style="14" bestFit="1" customWidth="1"/>
    <col min="15" max="16384" width="9.140625" style="14"/>
  </cols>
  <sheetData>
    <row r="1" spans="1:14" ht="15" customHeight="1" x14ac:dyDescent="0.2">
      <c r="A1" s="19" t="s">
        <v>68</v>
      </c>
    </row>
    <row r="2" spans="1:14" ht="15" customHeight="1" x14ac:dyDescent="0.2">
      <c r="A2" s="69" t="s">
        <v>69</v>
      </c>
      <c r="B2" s="69"/>
      <c r="C2" s="69"/>
      <c r="D2" s="69"/>
      <c r="E2" s="69"/>
      <c r="F2" s="69"/>
      <c r="G2" s="69"/>
      <c r="H2" s="69"/>
      <c r="I2" s="69"/>
      <c r="J2" s="69"/>
      <c r="K2" s="69"/>
      <c r="M2" s="36" t="s">
        <v>70</v>
      </c>
      <c r="N2" s="41">
        <f>8303/10^6</f>
        <v>8.3029999999999996E-3</v>
      </c>
    </row>
    <row r="3" spans="1:14" ht="22.5" x14ac:dyDescent="0.2">
      <c r="A3" s="47" t="s">
        <v>71</v>
      </c>
      <c r="B3" s="47" t="s">
        <v>72</v>
      </c>
      <c r="C3" s="31" t="s">
        <v>73</v>
      </c>
      <c r="D3" s="31" t="s">
        <v>74</v>
      </c>
      <c r="E3" s="31" t="s">
        <v>49</v>
      </c>
      <c r="F3" s="31" t="s">
        <v>75</v>
      </c>
      <c r="G3" s="31" t="s">
        <v>76</v>
      </c>
      <c r="H3" s="31" t="s">
        <v>49</v>
      </c>
      <c r="I3" s="31" t="s">
        <v>77</v>
      </c>
      <c r="J3" s="31" t="s">
        <v>78</v>
      </c>
      <c r="K3" s="31" t="s">
        <v>49</v>
      </c>
      <c r="M3" s="48" t="s">
        <v>79</v>
      </c>
    </row>
    <row r="4" spans="1:14" ht="15" customHeight="1" x14ac:dyDescent="0.2">
      <c r="A4" s="49" t="s">
        <v>80</v>
      </c>
      <c r="B4" s="49" t="s">
        <v>81</v>
      </c>
      <c r="C4" s="50">
        <v>0.56000000000000005</v>
      </c>
      <c r="D4" s="50">
        <f t="shared" ref="D4:D14" si="0">C4*$N$2*2000</f>
        <v>9.2993600000000018</v>
      </c>
      <c r="E4" s="51" t="s">
        <v>82</v>
      </c>
      <c r="F4" s="50">
        <v>0.5</v>
      </c>
      <c r="G4" s="50">
        <f t="shared" ref="G4:G14" si="1">F4*$N$2*2000</f>
        <v>8.302999999999999</v>
      </c>
      <c r="H4" s="51" t="s">
        <v>83</v>
      </c>
      <c r="I4" s="50">
        <v>0.43</v>
      </c>
      <c r="J4" s="50">
        <f t="shared" ref="J4:J14" si="2">I4*$N$2*2000</f>
        <v>7.1405799999999999</v>
      </c>
      <c r="K4" s="51" t="s">
        <v>83</v>
      </c>
    </row>
    <row r="5" spans="1:14" ht="15" customHeight="1" x14ac:dyDescent="0.2">
      <c r="A5" s="52" t="s">
        <v>84</v>
      </c>
      <c r="B5" s="52" t="s">
        <v>81</v>
      </c>
      <c r="C5" s="53">
        <v>0.4</v>
      </c>
      <c r="D5" s="53">
        <f t="shared" si="0"/>
        <v>6.6423999999999994</v>
      </c>
      <c r="E5" s="54" t="s">
        <v>85</v>
      </c>
      <c r="F5" s="53">
        <v>0.36</v>
      </c>
      <c r="G5" s="53">
        <f t="shared" si="1"/>
        <v>5.9781599999999999</v>
      </c>
      <c r="H5" s="54" t="s">
        <v>83</v>
      </c>
      <c r="I5" s="53">
        <v>0.31</v>
      </c>
      <c r="J5" s="53">
        <f t="shared" si="2"/>
        <v>5.1478599999999997</v>
      </c>
      <c r="K5" s="54" t="s">
        <v>83</v>
      </c>
    </row>
    <row r="6" spans="1:14" ht="15" customHeight="1" x14ac:dyDescent="0.2">
      <c r="A6" s="49" t="s">
        <v>86</v>
      </c>
      <c r="B6" s="49" t="s">
        <v>81</v>
      </c>
      <c r="C6" s="50">
        <v>0.33</v>
      </c>
      <c r="D6" s="50">
        <f t="shared" si="0"/>
        <v>5.4799799999999994</v>
      </c>
      <c r="E6" s="51" t="s">
        <v>85</v>
      </c>
      <c r="F6" s="50">
        <v>0.28999999999999998</v>
      </c>
      <c r="G6" s="50">
        <f t="shared" si="1"/>
        <v>4.8157399999999999</v>
      </c>
      <c r="H6" s="51" t="s">
        <v>83</v>
      </c>
      <c r="I6" s="50">
        <v>0.25</v>
      </c>
      <c r="J6" s="50">
        <f t="shared" si="2"/>
        <v>4.1514999999999995</v>
      </c>
      <c r="K6" s="51" t="s">
        <v>83</v>
      </c>
    </row>
    <row r="7" spans="1:14" ht="15" customHeight="1" x14ac:dyDescent="0.2">
      <c r="A7" s="49" t="s">
        <v>87</v>
      </c>
      <c r="B7" s="49" t="s">
        <v>88</v>
      </c>
      <c r="C7" s="50">
        <v>0.54</v>
      </c>
      <c r="D7" s="50">
        <f t="shared" si="0"/>
        <v>8.9672400000000003</v>
      </c>
      <c r="E7" s="51" t="s">
        <v>83</v>
      </c>
      <c r="F7" s="50">
        <v>0.49</v>
      </c>
      <c r="G7" s="50">
        <f t="shared" si="1"/>
        <v>8.1369399999999992</v>
      </c>
      <c r="H7" s="51" t="s">
        <v>83</v>
      </c>
      <c r="I7" s="50">
        <v>0.28999999999999998</v>
      </c>
      <c r="J7" s="50">
        <f t="shared" si="2"/>
        <v>4.8157399999999999</v>
      </c>
      <c r="K7" s="51" t="s">
        <v>83</v>
      </c>
    </row>
    <row r="8" spans="1:14" ht="15" customHeight="1" x14ac:dyDescent="0.2">
      <c r="A8" s="49" t="s">
        <v>89</v>
      </c>
      <c r="B8" s="49" t="s">
        <v>88</v>
      </c>
      <c r="C8" s="50">
        <v>0.35</v>
      </c>
      <c r="D8" s="50">
        <f t="shared" si="0"/>
        <v>5.8121</v>
      </c>
      <c r="E8" s="51" t="s">
        <v>82</v>
      </c>
      <c r="F8" s="50">
        <v>0.32</v>
      </c>
      <c r="G8" s="50">
        <f t="shared" si="1"/>
        <v>5.3139199999999995</v>
      </c>
      <c r="H8" s="51" t="s">
        <v>83</v>
      </c>
      <c r="I8" s="50">
        <v>0.19</v>
      </c>
      <c r="J8" s="50">
        <f t="shared" si="2"/>
        <v>3.1551399999999998</v>
      </c>
      <c r="K8" s="51" t="s">
        <v>83</v>
      </c>
      <c r="M8" s="60"/>
    </row>
    <row r="9" spans="1:14" ht="15" customHeight="1" x14ac:dyDescent="0.2">
      <c r="A9" s="49" t="s">
        <v>84</v>
      </c>
      <c r="B9" s="49" t="s">
        <v>88</v>
      </c>
      <c r="C9" s="50">
        <v>0.3</v>
      </c>
      <c r="D9" s="50">
        <f t="shared" si="0"/>
        <v>4.9817999999999998</v>
      </c>
      <c r="E9" s="51" t="s">
        <v>85</v>
      </c>
      <c r="F9" s="50">
        <v>0.27</v>
      </c>
      <c r="G9" s="50">
        <f t="shared" si="1"/>
        <v>4.4836200000000002</v>
      </c>
      <c r="H9" s="51" t="s">
        <v>83</v>
      </c>
      <c r="I9" s="50">
        <v>0.16</v>
      </c>
      <c r="J9" s="50">
        <f t="shared" si="2"/>
        <v>2.6569599999999998</v>
      </c>
      <c r="K9" s="51" t="s">
        <v>83</v>
      </c>
    </row>
    <row r="10" spans="1:14" ht="15" customHeight="1" x14ac:dyDescent="0.2">
      <c r="A10" s="49" t="s">
        <v>86</v>
      </c>
      <c r="B10" s="49" t="s">
        <v>88</v>
      </c>
      <c r="C10" s="50">
        <v>0.22</v>
      </c>
      <c r="D10" s="50">
        <f t="shared" si="0"/>
        <v>3.6533199999999999</v>
      </c>
      <c r="E10" s="51" t="s">
        <v>85</v>
      </c>
      <c r="F10" s="50">
        <v>0.2</v>
      </c>
      <c r="G10" s="50">
        <f t="shared" si="1"/>
        <v>3.3211999999999997</v>
      </c>
      <c r="H10" s="51" t="s">
        <v>83</v>
      </c>
      <c r="I10" s="50">
        <v>0.12</v>
      </c>
      <c r="J10" s="50">
        <f t="shared" si="2"/>
        <v>1.9927199999999998</v>
      </c>
      <c r="K10" s="51" t="s">
        <v>83</v>
      </c>
    </row>
    <row r="11" spans="1:14" ht="15" customHeight="1" x14ac:dyDescent="0.2">
      <c r="A11" s="49" t="s">
        <v>90</v>
      </c>
      <c r="B11" s="49" t="s">
        <v>91</v>
      </c>
      <c r="C11" s="50">
        <v>0.1</v>
      </c>
      <c r="D11" s="50">
        <f t="shared" si="0"/>
        <v>1.6605999999999999</v>
      </c>
      <c r="E11" s="51" t="s">
        <v>83</v>
      </c>
      <c r="F11" s="55">
        <v>7.3999999999999996E-2</v>
      </c>
      <c r="G11" s="50">
        <f t="shared" si="1"/>
        <v>1.228844</v>
      </c>
      <c r="H11" s="51" t="s">
        <v>83</v>
      </c>
      <c r="I11" s="55">
        <v>6.5000000000000002E-2</v>
      </c>
      <c r="J11" s="50">
        <f t="shared" si="2"/>
        <v>1.0793899999999998</v>
      </c>
      <c r="K11" s="51" t="s">
        <v>83</v>
      </c>
    </row>
    <row r="12" spans="1:14" ht="15" customHeight="1" x14ac:dyDescent="0.2">
      <c r="A12" s="49" t="s">
        <v>90</v>
      </c>
      <c r="B12" s="49" t="s">
        <v>92</v>
      </c>
      <c r="C12" s="55">
        <v>6.6000000000000003E-2</v>
      </c>
      <c r="D12" s="50">
        <f t="shared" si="0"/>
        <v>1.095996</v>
      </c>
      <c r="E12" s="51" t="s">
        <v>85</v>
      </c>
      <c r="F12" s="55">
        <v>6.5000000000000002E-2</v>
      </c>
      <c r="G12" s="50">
        <f t="shared" si="1"/>
        <v>1.0793899999999998</v>
      </c>
      <c r="H12" s="51" t="s">
        <v>83</v>
      </c>
      <c r="I12" s="55">
        <v>6.5000000000000002E-2</v>
      </c>
      <c r="J12" s="50">
        <f t="shared" si="2"/>
        <v>1.0793899999999998</v>
      </c>
      <c r="K12" s="51" t="s">
        <v>83</v>
      </c>
    </row>
    <row r="13" spans="1:14" ht="15" customHeight="1" x14ac:dyDescent="0.2">
      <c r="A13" s="49" t="s">
        <v>90</v>
      </c>
      <c r="B13" s="49" t="s">
        <v>93</v>
      </c>
      <c r="C13" s="50">
        <v>0.1</v>
      </c>
      <c r="D13" s="50">
        <f t="shared" si="0"/>
        <v>1.6605999999999999</v>
      </c>
      <c r="E13" s="51" t="s">
        <v>82</v>
      </c>
      <c r="F13" s="55">
        <v>7.3999999999999996E-2</v>
      </c>
      <c r="G13" s="50">
        <f t="shared" si="1"/>
        <v>1.228844</v>
      </c>
      <c r="H13" s="51" t="s">
        <v>83</v>
      </c>
      <c r="I13" s="51">
        <v>6.5000000000000002E-2</v>
      </c>
      <c r="J13" s="50">
        <f t="shared" si="2"/>
        <v>1.0793899999999998</v>
      </c>
      <c r="K13" s="51" t="s">
        <v>47</v>
      </c>
    </row>
    <row r="14" spans="1:14" ht="15" customHeight="1" x14ac:dyDescent="0.2">
      <c r="A14" s="49" t="s">
        <v>90</v>
      </c>
      <c r="B14" s="49" t="s">
        <v>94</v>
      </c>
      <c r="C14" s="55">
        <v>5.3999999999999999E-2</v>
      </c>
      <c r="D14" s="50">
        <f t="shared" si="0"/>
        <v>0.89672399999999997</v>
      </c>
      <c r="E14" s="51" t="s">
        <v>95</v>
      </c>
      <c r="F14" s="50">
        <v>0.04</v>
      </c>
      <c r="G14" s="50">
        <f t="shared" si="1"/>
        <v>0.66423999999999994</v>
      </c>
      <c r="H14" s="51" t="s">
        <v>83</v>
      </c>
      <c r="I14" s="51">
        <v>3.5000000000000003E-2</v>
      </c>
      <c r="J14" s="50">
        <f t="shared" si="2"/>
        <v>0.58121000000000012</v>
      </c>
      <c r="K14" s="51" t="s">
        <v>47</v>
      </c>
    </row>
    <row r="15" spans="1:14" ht="22.5" x14ac:dyDescent="0.2">
      <c r="A15" s="47" t="s">
        <v>71</v>
      </c>
      <c r="B15" s="47" t="s">
        <v>72</v>
      </c>
      <c r="C15" s="31" t="s">
        <v>96</v>
      </c>
      <c r="D15" s="31" t="s">
        <v>97</v>
      </c>
      <c r="E15" s="31" t="s">
        <v>49</v>
      </c>
      <c r="F15" s="31" t="s">
        <v>75</v>
      </c>
      <c r="G15" s="31" t="s">
        <v>76</v>
      </c>
      <c r="H15" s="31" t="s">
        <v>49</v>
      </c>
      <c r="I15" s="31" t="s">
        <v>77</v>
      </c>
      <c r="J15" s="31" t="s">
        <v>78</v>
      </c>
      <c r="K15" s="31" t="s">
        <v>49</v>
      </c>
    </row>
    <row r="16" spans="1:14" ht="15" customHeight="1" x14ac:dyDescent="0.2">
      <c r="A16" s="49" t="s">
        <v>90</v>
      </c>
      <c r="B16" s="49" t="s">
        <v>98</v>
      </c>
      <c r="C16" s="55">
        <v>1.7000000000000001E-2</v>
      </c>
      <c r="D16" s="50">
        <f>C16*$N$2*2000</f>
        <v>0.282302</v>
      </c>
      <c r="E16" s="51" t="s">
        <v>85</v>
      </c>
      <c r="F16" s="51" t="s">
        <v>47</v>
      </c>
      <c r="G16" s="51" t="s">
        <v>47</v>
      </c>
      <c r="H16" s="51" t="s">
        <v>47</v>
      </c>
      <c r="I16" s="51" t="s">
        <v>47</v>
      </c>
      <c r="J16" s="51" t="s">
        <v>47</v>
      </c>
      <c r="K16" s="51" t="s">
        <v>47</v>
      </c>
    </row>
    <row r="17" spans="1:13" ht="15" customHeight="1" x14ac:dyDescent="0.2"/>
    <row r="18" spans="1:13" ht="15" customHeight="1" x14ac:dyDescent="0.2">
      <c r="A18" s="69" t="s">
        <v>99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ht="22.5" x14ac:dyDescent="0.2">
      <c r="A19" s="31" t="s">
        <v>100</v>
      </c>
      <c r="B19" s="31" t="s">
        <v>101</v>
      </c>
      <c r="C19" s="31" t="s">
        <v>102</v>
      </c>
      <c r="D19" s="31" t="s">
        <v>49</v>
      </c>
      <c r="E19" s="31" t="s">
        <v>103</v>
      </c>
      <c r="F19" s="31" t="s">
        <v>104</v>
      </c>
      <c r="G19" s="31" t="s">
        <v>49</v>
      </c>
      <c r="H19" s="31" t="s">
        <v>105</v>
      </c>
      <c r="I19" s="31" t="s">
        <v>106</v>
      </c>
      <c r="J19" s="31" t="s">
        <v>49</v>
      </c>
      <c r="K19" s="31" t="s">
        <v>107</v>
      </c>
      <c r="L19" s="31" t="s">
        <v>108</v>
      </c>
      <c r="M19" s="31" t="s">
        <v>49</v>
      </c>
    </row>
    <row r="20" spans="1:13" ht="15" customHeight="1" x14ac:dyDescent="0.2">
      <c r="A20" s="49" t="s">
        <v>109</v>
      </c>
      <c r="B20" s="50">
        <v>0.22</v>
      </c>
      <c r="C20" s="50">
        <f>B20*$N$2*2000</f>
        <v>3.6533199999999999</v>
      </c>
      <c r="D20" s="50" t="s">
        <v>85</v>
      </c>
      <c r="E20" s="55">
        <v>2.5000000000000001E-2</v>
      </c>
      <c r="F20" s="50">
        <f>E20*$N$2*2000</f>
        <v>0.41514999999999996</v>
      </c>
      <c r="G20" s="50" t="s">
        <v>85</v>
      </c>
      <c r="H20" s="50">
        <v>0.6</v>
      </c>
      <c r="I20" s="50">
        <f>H20*$N$2*2000</f>
        <v>9.9635999999999996</v>
      </c>
      <c r="J20" s="50" t="s">
        <v>85</v>
      </c>
      <c r="K20" s="51">
        <v>1.7000000000000001E-2</v>
      </c>
      <c r="L20" s="50">
        <f>K20*$N$2*2000</f>
        <v>0.282302</v>
      </c>
      <c r="M20" s="51" t="s">
        <v>83</v>
      </c>
    </row>
    <row r="21" spans="1:13" ht="15" customHeight="1" x14ac:dyDescent="0.2">
      <c r="A21" s="52" t="s">
        <v>110</v>
      </c>
      <c r="B21" s="53">
        <v>0.49</v>
      </c>
      <c r="C21" s="53">
        <f>B21*$N$2*2000</f>
        <v>8.1369399999999992</v>
      </c>
      <c r="D21" s="53" t="s">
        <v>82</v>
      </c>
      <c r="E21" s="56">
        <v>2.5000000000000001E-2</v>
      </c>
      <c r="F21" s="53">
        <f>E21*$N$2*2000</f>
        <v>0.41514999999999996</v>
      </c>
      <c r="G21" s="53" t="s">
        <v>85</v>
      </c>
      <c r="H21" s="53">
        <v>0.6</v>
      </c>
      <c r="I21" s="53">
        <f>H21*$N$2*2000</f>
        <v>9.9635999999999996</v>
      </c>
      <c r="J21" s="53" t="s">
        <v>85</v>
      </c>
      <c r="K21" s="54">
        <v>1.7000000000000001E-2</v>
      </c>
      <c r="L21" s="53">
        <f>K21*$N$2*2000</f>
        <v>0.282302</v>
      </c>
      <c r="M21" s="54" t="s">
        <v>83</v>
      </c>
    </row>
    <row r="22" spans="1:13" ht="15" customHeight="1" x14ac:dyDescent="0.2"/>
    <row r="23" spans="1:13" ht="15" customHeight="1" x14ac:dyDescent="0.2"/>
    <row r="24" spans="1:13" x14ac:dyDescent="0.2">
      <c r="A24" s="70" t="s">
        <v>50</v>
      </c>
      <c r="B24" s="32"/>
      <c r="C24" s="33"/>
    </row>
    <row r="25" spans="1:13" x14ac:dyDescent="0.2">
      <c r="A25" s="71"/>
      <c r="B25" s="34"/>
      <c r="C25" s="35"/>
    </row>
    <row r="26" spans="1:13" x14ac:dyDescent="0.2">
      <c r="A26" s="71"/>
      <c r="B26" s="34"/>
      <c r="C26" s="35"/>
    </row>
    <row r="27" spans="1:13" x14ac:dyDescent="0.2">
      <c r="A27" s="71"/>
      <c r="B27" s="73" t="s">
        <v>51</v>
      </c>
      <c r="C27" s="74"/>
    </row>
    <row r="28" spans="1:13" x14ac:dyDescent="0.2">
      <c r="A28" s="71"/>
      <c r="B28" s="75"/>
      <c r="C28" s="76"/>
    </row>
    <row r="29" spans="1:13" x14ac:dyDescent="0.2">
      <c r="A29" s="71"/>
      <c r="B29" s="75"/>
      <c r="C29" s="76"/>
    </row>
    <row r="30" spans="1:13" x14ac:dyDescent="0.2">
      <c r="A30" s="72"/>
      <c r="B30" s="77"/>
      <c r="C30" s="78"/>
    </row>
  </sheetData>
  <sheetProtection password="B056" sheet="1" objects="1" scenarios="1"/>
  <mergeCells count="4">
    <mergeCell ref="A2:K2"/>
    <mergeCell ref="A18:M18"/>
    <mergeCell ref="A24:A30"/>
    <mergeCell ref="B27:C3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9" sqref="B9:C9"/>
    </sheetView>
  </sheetViews>
  <sheetFormatPr defaultRowHeight="15" customHeight="1" x14ac:dyDescent="0.2"/>
  <cols>
    <col min="1" max="1" width="30.5703125" style="14" bestFit="1" customWidth="1"/>
    <col min="2" max="2" width="15.42578125" style="14" bestFit="1" customWidth="1"/>
    <col min="3" max="3" width="17.7109375" style="14" bestFit="1" customWidth="1"/>
    <col min="4" max="16384" width="9.140625" style="14"/>
  </cols>
  <sheetData>
    <row r="2" spans="1:3" ht="15" customHeight="1" x14ac:dyDescent="0.2">
      <c r="A2" s="47" t="s">
        <v>114</v>
      </c>
      <c r="B2" s="47" t="s">
        <v>115</v>
      </c>
      <c r="C2" s="47" t="s">
        <v>116</v>
      </c>
    </row>
    <row r="3" spans="1:3" ht="15" customHeight="1" x14ac:dyDescent="0.2">
      <c r="A3" s="49" t="s">
        <v>117</v>
      </c>
      <c r="B3" s="51">
        <v>0.44</v>
      </c>
      <c r="C3" s="49" t="s">
        <v>118</v>
      </c>
    </row>
    <row r="4" spans="1:3" ht="15" customHeight="1" x14ac:dyDescent="0.2">
      <c r="A4" s="49" t="s">
        <v>119</v>
      </c>
      <c r="B4" s="51" t="s">
        <v>120</v>
      </c>
      <c r="C4" s="49" t="s">
        <v>121</v>
      </c>
    </row>
    <row r="5" spans="1:3" ht="15" customHeight="1" x14ac:dyDescent="0.2">
      <c r="A5" s="49" t="s">
        <v>122</v>
      </c>
      <c r="B5" s="51">
        <v>0.55800000000000005</v>
      </c>
      <c r="C5" s="49" t="s">
        <v>123</v>
      </c>
    </row>
    <row r="6" spans="1:3" ht="15" customHeight="1" x14ac:dyDescent="0.2">
      <c r="A6" s="49" t="s">
        <v>124</v>
      </c>
      <c r="B6" s="51" t="s">
        <v>125</v>
      </c>
      <c r="C6" s="49" t="s">
        <v>126</v>
      </c>
    </row>
    <row r="7" spans="1:3" ht="15" customHeight="1" x14ac:dyDescent="0.2">
      <c r="A7" s="49" t="s">
        <v>127</v>
      </c>
      <c r="B7" s="51" t="s">
        <v>128</v>
      </c>
      <c r="C7" s="49" t="s">
        <v>126</v>
      </c>
    </row>
    <row r="8" spans="1:3" ht="15" customHeight="1" x14ac:dyDescent="0.2">
      <c r="A8" s="49" t="s">
        <v>117</v>
      </c>
      <c r="B8" s="51" t="s">
        <v>129</v>
      </c>
      <c r="C8" s="49" t="s">
        <v>130</v>
      </c>
    </row>
    <row r="9" spans="1:3" ht="15" customHeight="1" x14ac:dyDescent="0.2">
      <c r="A9" s="51" t="s">
        <v>16</v>
      </c>
      <c r="B9" s="79">
        <f>(B3+0.447+0.552+B5+0.508+0.597+0.514+0.603+0.46+0.72)/10</f>
        <v>0.53989999999999994</v>
      </c>
      <c r="C9" s="79"/>
    </row>
  </sheetData>
  <sheetProtection password="B056" sheet="1" objects="1" scenarios="1"/>
  <mergeCells count="1">
    <mergeCell ref="B9:C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3"/>
  <sheetViews>
    <sheetView workbookViewId="0">
      <selection activeCell="C21" sqref="C21"/>
    </sheetView>
  </sheetViews>
  <sheetFormatPr defaultRowHeight="15" x14ac:dyDescent="0.25"/>
  <cols>
    <col min="1" max="1" width="26.140625" customWidth="1"/>
    <col min="2" max="2" width="27.42578125" bestFit="1" customWidth="1"/>
    <col min="5" max="5" width="18.28515625" bestFit="1" customWidth="1"/>
    <col min="6" max="6" width="43.28515625" bestFit="1" customWidth="1"/>
  </cols>
  <sheetData>
    <row r="1" spans="1:6" x14ac:dyDescent="0.25">
      <c r="A1" s="1" t="s">
        <v>57</v>
      </c>
      <c r="B1" s="14"/>
      <c r="C1" s="14"/>
      <c r="D1" s="14"/>
      <c r="E1" s="14"/>
      <c r="F1" s="14"/>
    </row>
    <row r="2" spans="1:6" x14ac:dyDescent="0.25">
      <c r="A2" s="14"/>
      <c r="B2" s="14"/>
      <c r="C2" s="14"/>
      <c r="D2" s="14"/>
      <c r="E2" s="14"/>
      <c r="F2" s="14"/>
    </row>
    <row r="3" spans="1:6" x14ac:dyDescent="0.25">
      <c r="A3" s="14"/>
      <c r="C3" s="14"/>
      <c r="D3" s="14"/>
      <c r="E3" s="14"/>
      <c r="F3" s="14"/>
    </row>
    <row r="4" spans="1:6" x14ac:dyDescent="0.25">
      <c r="A4" s="80" t="s">
        <v>59</v>
      </c>
      <c r="B4" s="81"/>
      <c r="C4" s="14"/>
      <c r="D4" s="14"/>
      <c r="E4" s="80" t="s">
        <v>133</v>
      </c>
      <c r="F4" s="81"/>
    </row>
    <row r="5" spans="1:6" x14ac:dyDescent="0.25">
      <c r="A5" s="2" t="s">
        <v>60</v>
      </c>
      <c r="B5" s="40" t="s">
        <v>111</v>
      </c>
      <c r="C5" s="14"/>
      <c r="D5" s="14"/>
      <c r="E5" s="62" t="s">
        <v>134</v>
      </c>
      <c r="F5" s="63" t="s">
        <v>135</v>
      </c>
    </row>
    <row r="6" spans="1:6" x14ac:dyDescent="0.25">
      <c r="A6" s="2" t="s">
        <v>61</v>
      </c>
      <c r="B6" s="40">
        <v>0.4</v>
      </c>
      <c r="C6" s="14"/>
      <c r="D6" s="14"/>
      <c r="E6" s="2" t="s">
        <v>1</v>
      </c>
      <c r="F6" s="40" t="s">
        <v>47</v>
      </c>
    </row>
    <row r="7" spans="1:6" x14ac:dyDescent="0.25">
      <c r="A7" s="2" t="s">
        <v>63</v>
      </c>
      <c r="B7" s="40">
        <v>7</v>
      </c>
      <c r="C7" s="14"/>
      <c r="D7" s="14"/>
      <c r="E7" s="2" t="s">
        <v>2</v>
      </c>
      <c r="F7" s="40">
        <v>44.16</v>
      </c>
    </row>
    <row r="8" spans="1:6" x14ac:dyDescent="0.25">
      <c r="A8" s="2" t="s">
        <v>0</v>
      </c>
      <c r="B8" s="40">
        <v>0.35</v>
      </c>
      <c r="C8" s="14"/>
      <c r="D8" s="14"/>
      <c r="E8" s="2" t="s">
        <v>3</v>
      </c>
      <c r="F8" s="40">
        <v>43.97</v>
      </c>
    </row>
    <row r="9" spans="1:6" x14ac:dyDescent="0.25">
      <c r="A9" s="2" t="s">
        <v>64</v>
      </c>
      <c r="B9" s="40">
        <v>-20.336752000000001</v>
      </c>
      <c r="C9" s="14"/>
      <c r="D9" s="14"/>
      <c r="E9" s="2" t="s">
        <v>4</v>
      </c>
      <c r="F9" s="40">
        <v>44.92</v>
      </c>
    </row>
    <row r="10" spans="1:6" x14ac:dyDescent="0.25">
      <c r="A10" s="2" t="s">
        <v>65</v>
      </c>
      <c r="B10" s="40">
        <v>-40.403404999999999</v>
      </c>
      <c r="C10" s="14"/>
      <c r="D10" s="14"/>
      <c r="E10" s="2" t="s">
        <v>5</v>
      </c>
      <c r="F10" s="40">
        <v>44.36</v>
      </c>
    </row>
    <row r="11" spans="1:6" x14ac:dyDescent="0.25">
      <c r="A11" s="2" t="s">
        <v>66</v>
      </c>
      <c r="B11" s="40" t="s">
        <v>67</v>
      </c>
      <c r="C11" s="14"/>
      <c r="D11" s="14"/>
      <c r="E11" s="2" t="s">
        <v>6</v>
      </c>
      <c r="F11" s="40">
        <v>45.51</v>
      </c>
    </row>
    <row r="12" spans="1:6" x14ac:dyDescent="0.25">
      <c r="C12" s="14"/>
      <c r="D12" s="14"/>
      <c r="E12" s="2" t="s">
        <v>7</v>
      </c>
      <c r="F12" s="40" t="s">
        <v>47</v>
      </c>
    </row>
    <row r="13" spans="1:6" x14ac:dyDescent="0.25">
      <c r="C13" s="14"/>
      <c r="D13" s="14"/>
      <c r="E13" s="2" t="s">
        <v>8</v>
      </c>
      <c r="F13" s="40">
        <v>45.12</v>
      </c>
    </row>
    <row r="14" spans="1:6" x14ac:dyDescent="0.25">
      <c r="A14" s="14"/>
      <c r="B14" s="14"/>
      <c r="C14" s="14"/>
      <c r="D14" s="14"/>
      <c r="E14" s="2" t="s">
        <v>9</v>
      </c>
      <c r="F14" s="40">
        <f>18.44+45.32</f>
        <v>63.760000000000005</v>
      </c>
    </row>
    <row r="15" spans="1:6" x14ac:dyDescent="0.25">
      <c r="A15" s="14"/>
      <c r="B15" s="14"/>
      <c r="C15" s="14"/>
      <c r="D15" s="14"/>
      <c r="E15" s="2" t="s">
        <v>10</v>
      </c>
      <c r="F15" s="40">
        <v>46.03</v>
      </c>
    </row>
    <row r="16" spans="1:6" x14ac:dyDescent="0.25">
      <c r="A16" s="14"/>
      <c r="B16" s="14"/>
      <c r="C16" s="14"/>
      <c r="D16" s="14"/>
      <c r="E16" s="2" t="s">
        <v>11</v>
      </c>
      <c r="F16" s="40">
        <v>45.51</v>
      </c>
    </row>
    <row r="17" spans="1:6" x14ac:dyDescent="0.25">
      <c r="A17" s="14"/>
      <c r="B17" s="14"/>
      <c r="C17" s="14"/>
      <c r="D17" s="14"/>
      <c r="E17" s="2" t="s">
        <v>12</v>
      </c>
      <c r="F17" s="40">
        <v>54.87</v>
      </c>
    </row>
    <row r="18" spans="1:6" x14ac:dyDescent="0.25">
      <c r="C18" s="14"/>
      <c r="D18" s="14"/>
      <c r="E18" s="2" t="s">
        <v>13</v>
      </c>
      <c r="F18" s="40">
        <f>SUM(F6:F17)</f>
        <v>478.21000000000004</v>
      </c>
    </row>
    <row r="19" spans="1:6" x14ac:dyDescent="0.25">
      <c r="A19" s="14"/>
      <c r="B19" s="14"/>
      <c r="C19" s="14"/>
      <c r="D19" s="14"/>
      <c r="E19" s="14"/>
      <c r="F19" s="14"/>
    </row>
    <row r="22" spans="1:6" x14ac:dyDescent="0.25">
      <c r="A22" s="61"/>
    </row>
    <row r="23" spans="1:6" x14ac:dyDescent="0.25">
      <c r="A23" s="40"/>
    </row>
  </sheetData>
  <sheetProtection password="B056" sheet="1" objects="1" scenarios="1"/>
  <mergeCells count="2">
    <mergeCell ref="A4:B4"/>
    <mergeCell ref="E4:F4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115" zoomScaleNormal="115" workbookViewId="0">
      <selection activeCell="F10" sqref="F10"/>
    </sheetView>
  </sheetViews>
  <sheetFormatPr defaultRowHeight="15" x14ac:dyDescent="0.25"/>
  <cols>
    <col min="1" max="1" width="20.7109375" customWidth="1"/>
    <col min="2" max="2" width="12.7109375" bestFit="1" customWidth="1"/>
    <col min="3" max="3" width="12.85546875" customWidth="1"/>
    <col min="4" max="4" width="13.42578125" customWidth="1"/>
    <col min="5" max="6" width="10.7109375" customWidth="1"/>
    <col min="8" max="8" width="9.140625" customWidth="1"/>
  </cols>
  <sheetData>
    <row r="1" spans="1:7" x14ac:dyDescent="0.25">
      <c r="A1" s="1" t="s">
        <v>57</v>
      </c>
    </row>
    <row r="2" spans="1:7" x14ac:dyDescent="0.25">
      <c r="A2" s="84" t="s">
        <v>52</v>
      </c>
      <c r="B2" s="84"/>
      <c r="C2" s="84"/>
      <c r="D2" s="84"/>
      <c r="E2" s="84"/>
      <c r="F2" s="84"/>
      <c r="G2" s="84"/>
    </row>
    <row r="3" spans="1:7" x14ac:dyDescent="0.25">
      <c r="A3" s="83" t="s">
        <v>53</v>
      </c>
      <c r="B3" s="83"/>
      <c r="C3" s="83"/>
      <c r="D3" s="83"/>
      <c r="E3" s="83"/>
      <c r="F3" s="83"/>
      <c r="G3" s="83"/>
    </row>
    <row r="4" spans="1:7" x14ac:dyDescent="0.25">
      <c r="A4" s="83" t="s">
        <v>14</v>
      </c>
      <c r="B4" s="83"/>
      <c r="C4" s="85" t="s">
        <v>15</v>
      </c>
      <c r="D4" s="85"/>
      <c r="E4" s="85"/>
      <c r="F4" s="83" t="s">
        <v>16</v>
      </c>
      <c r="G4" s="83" t="s">
        <v>17</v>
      </c>
    </row>
    <row r="5" spans="1:7" x14ac:dyDescent="0.25">
      <c r="A5" s="83"/>
      <c r="B5" s="83"/>
      <c r="C5" s="3">
        <v>1</v>
      </c>
      <c r="D5" s="3">
        <v>2</v>
      </c>
      <c r="E5" s="3">
        <v>3</v>
      </c>
      <c r="F5" s="83"/>
      <c r="G5" s="83"/>
    </row>
    <row r="6" spans="1:7" x14ac:dyDescent="0.25">
      <c r="A6" s="83" t="s">
        <v>18</v>
      </c>
      <c r="B6" s="83"/>
      <c r="C6" s="83"/>
      <c r="D6" s="83"/>
      <c r="E6" s="83"/>
      <c r="F6" s="83"/>
      <c r="G6" s="83"/>
    </row>
    <row r="7" spans="1:7" x14ac:dyDescent="0.25">
      <c r="A7" s="82" t="s">
        <v>19</v>
      </c>
      <c r="B7" s="82"/>
      <c r="C7" s="4">
        <v>135.33000000000001</v>
      </c>
      <c r="D7" s="4">
        <v>135.91999999999999</v>
      </c>
      <c r="E7" s="4">
        <v>135.83000000000001</v>
      </c>
      <c r="F7" s="4">
        <f>AVERAGE(C7:E7)</f>
        <v>135.69333333333336</v>
      </c>
      <c r="G7" s="3" t="s">
        <v>20</v>
      </c>
    </row>
    <row r="8" spans="1:7" x14ac:dyDescent="0.25">
      <c r="A8" s="82" t="s">
        <v>21</v>
      </c>
      <c r="B8" s="82"/>
      <c r="C8" s="4">
        <v>7.31</v>
      </c>
      <c r="D8" s="4">
        <v>7.41</v>
      </c>
      <c r="E8" s="4">
        <v>7.41</v>
      </c>
      <c r="F8" s="4">
        <f t="shared" ref="F8:F12" si="0">AVERAGE(C8:E8)</f>
        <v>7.376666666666666</v>
      </c>
      <c r="G8" s="3" t="s">
        <v>22</v>
      </c>
    </row>
    <row r="9" spans="1:7" x14ac:dyDescent="0.25">
      <c r="A9" s="82" t="s">
        <v>23</v>
      </c>
      <c r="B9" s="82"/>
      <c r="C9" s="4">
        <v>1.24</v>
      </c>
      <c r="D9" s="4">
        <v>1.46</v>
      </c>
      <c r="E9" s="4">
        <v>1.1299999999999999</v>
      </c>
      <c r="F9" s="4">
        <f t="shared" si="0"/>
        <v>1.2766666666666666</v>
      </c>
      <c r="G9" s="3" t="s">
        <v>24</v>
      </c>
    </row>
    <row r="10" spans="1:7" x14ac:dyDescent="0.25">
      <c r="A10" s="82" t="s">
        <v>25</v>
      </c>
      <c r="B10" s="82"/>
      <c r="C10" s="5">
        <v>2532</v>
      </c>
      <c r="D10" s="5">
        <v>2566</v>
      </c>
      <c r="E10" s="5">
        <v>2565</v>
      </c>
      <c r="F10" s="5">
        <f>AVERAGE(C10:E10)</f>
        <v>2554.3333333333335</v>
      </c>
      <c r="G10" s="3" t="s">
        <v>26</v>
      </c>
    </row>
    <row r="11" spans="1:7" x14ac:dyDescent="0.25">
      <c r="A11" s="82" t="s">
        <v>27</v>
      </c>
      <c r="B11" s="82"/>
      <c r="C11" s="5">
        <v>1666</v>
      </c>
      <c r="D11" s="5">
        <v>1682</v>
      </c>
      <c r="E11" s="5">
        <v>1689</v>
      </c>
      <c r="F11" s="5">
        <f>AVERAGE(C11:E11)</f>
        <v>1679</v>
      </c>
      <c r="G11" s="3" t="s">
        <v>28</v>
      </c>
    </row>
    <row r="12" spans="1:7" x14ac:dyDescent="0.25">
      <c r="A12" s="82" t="s">
        <v>29</v>
      </c>
      <c r="B12" s="82"/>
      <c r="C12" s="15">
        <v>96</v>
      </c>
      <c r="D12" s="15">
        <v>96</v>
      </c>
      <c r="E12" s="15">
        <v>95</v>
      </c>
      <c r="F12" s="5">
        <f t="shared" si="0"/>
        <v>95.666666666666671</v>
      </c>
      <c r="G12" s="3" t="s">
        <v>24</v>
      </c>
    </row>
    <row r="13" spans="1:7" x14ac:dyDescent="0.25">
      <c r="A13" s="83" t="s">
        <v>30</v>
      </c>
      <c r="B13" s="83"/>
      <c r="C13" s="83"/>
      <c r="D13" s="83"/>
      <c r="E13" s="83"/>
      <c r="F13" s="83"/>
      <c r="G13" s="83"/>
    </row>
    <row r="14" spans="1:7" x14ac:dyDescent="0.25">
      <c r="A14" s="83" t="s">
        <v>56</v>
      </c>
      <c r="B14" s="28" t="s">
        <v>54</v>
      </c>
      <c r="C14" s="29">
        <v>67.819999999999993</v>
      </c>
      <c r="D14" s="29">
        <v>69.87</v>
      </c>
      <c r="E14" s="29">
        <v>78.09</v>
      </c>
      <c r="F14" s="29">
        <f t="shared" ref="F14:F16" si="1">AVERAGE(C14:E14)</f>
        <v>71.926666666666662</v>
      </c>
      <c r="G14" s="30" t="s">
        <v>32</v>
      </c>
    </row>
    <row r="15" spans="1:7" x14ac:dyDescent="0.25">
      <c r="A15" s="83"/>
      <c r="B15" s="28" t="s">
        <v>33</v>
      </c>
      <c r="C15" s="29">
        <v>103.72</v>
      </c>
      <c r="D15" s="29">
        <v>109.43</v>
      </c>
      <c r="E15" s="29">
        <v>135.36000000000001</v>
      </c>
      <c r="F15" s="29">
        <f t="shared" si="1"/>
        <v>116.17</v>
      </c>
      <c r="G15" s="30" t="s">
        <v>32</v>
      </c>
    </row>
    <row r="16" spans="1:7" x14ac:dyDescent="0.25">
      <c r="A16" s="83"/>
      <c r="B16" s="39" t="s">
        <v>34</v>
      </c>
      <c r="C16" s="4">
        <v>0.11</v>
      </c>
      <c r="D16" s="4">
        <v>0.12</v>
      </c>
      <c r="E16" s="4">
        <v>0.13</v>
      </c>
      <c r="F16" s="29">
        <f t="shared" si="1"/>
        <v>0.12</v>
      </c>
      <c r="G16" s="38" t="s">
        <v>35</v>
      </c>
    </row>
    <row r="17" spans="1:7" x14ac:dyDescent="0.25">
      <c r="A17" s="83" t="s">
        <v>31</v>
      </c>
      <c r="B17" s="28" t="s">
        <v>54</v>
      </c>
      <c r="C17" s="29">
        <v>48.35</v>
      </c>
      <c r="D17" s="29">
        <v>50.15</v>
      </c>
      <c r="E17" s="29">
        <v>49.32</v>
      </c>
      <c r="F17" s="29">
        <f t="shared" ref="F17:F21" si="2">AVERAGE(C17:E17)</f>
        <v>49.273333333333333</v>
      </c>
      <c r="G17" s="30" t="s">
        <v>32</v>
      </c>
    </row>
    <row r="18" spans="1:7" x14ac:dyDescent="0.25">
      <c r="A18" s="83"/>
      <c r="B18" s="28" t="s">
        <v>33</v>
      </c>
      <c r="C18" s="29">
        <v>73.95</v>
      </c>
      <c r="D18" s="29">
        <v>78.55</v>
      </c>
      <c r="E18" s="29">
        <v>85.5</v>
      </c>
      <c r="F18" s="29">
        <f t="shared" si="2"/>
        <v>79.333333333333329</v>
      </c>
      <c r="G18" s="30" t="s">
        <v>32</v>
      </c>
    </row>
    <row r="19" spans="1:7" x14ac:dyDescent="0.25">
      <c r="A19" s="83"/>
      <c r="B19" s="6" t="s">
        <v>34</v>
      </c>
      <c r="C19" s="4">
        <v>0.08</v>
      </c>
      <c r="D19" s="4">
        <v>0.08</v>
      </c>
      <c r="E19" s="4">
        <v>0.08</v>
      </c>
      <c r="F19" s="4">
        <f t="shared" si="2"/>
        <v>0.08</v>
      </c>
      <c r="G19" s="3" t="s">
        <v>35</v>
      </c>
    </row>
    <row r="20" spans="1:7" x14ac:dyDescent="0.25">
      <c r="A20" s="7" t="s">
        <v>36</v>
      </c>
      <c r="B20" s="8" t="s">
        <v>37</v>
      </c>
      <c r="C20" s="9">
        <v>12.5</v>
      </c>
      <c r="D20" s="9">
        <v>12.7</v>
      </c>
      <c r="E20" s="9">
        <v>13.5</v>
      </c>
      <c r="F20" s="4">
        <f t="shared" si="2"/>
        <v>12.9</v>
      </c>
      <c r="G20" s="10" t="s">
        <v>24</v>
      </c>
    </row>
    <row r="21" spans="1:7" x14ac:dyDescent="0.25">
      <c r="A21" s="37" t="s">
        <v>38</v>
      </c>
      <c r="B21" s="8" t="s">
        <v>37</v>
      </c>
      <c r="C21" s="9">
        <v>7.42</v>
      </c>
      <c r="D21" s="9">
        <v>7.28</v>
      </c>
      <c r="E21" s="9">
        <v>6.84</v>
      </c>
      <c r="F21" s="4">
        <f t="shared" si="2"/>
        <v>7.18</v>
      </c>
      <c r="G21" s="10" t="s">
        <v>24</v>
      </c>
    </row>
    <row r="22" spans="1:7" x14ac:dyDescent="0.25">
      <c r="A22" s="7" t="s">
        <v>62</v>
      </c>
      <c r="B22" s="8" t="s">
        <v>37</v>
      </c>
      <c r="C22" s="9" t="s">
        <v>39</v>
      </c>
      <c r="D22" s="9" t="s">
        <v>39</v>
      </c>
      <c r="E22" s="9" t="s">
        <v>39</v>
      </c>
      <c r="F22" s="9" t="s">
        <v>39</v>
      </c>
      <c r="G22" s="10" t="s">
        <v>24</v>
      </c>
    </row>
    <row r="23" spans="1:7" x14ac:dyDescent="0.25">
      <c r="A23" s="2" t="s">
        <v>40</v>
      </c>
      <c r="B23" s="11"/>
      <c r="C23" s="12"/>
      <c r="D23" s="13"/>
      <c r="E23" s="13"/>
      <c r="F23" s="14"/>
    </row>
    <row r="24" spans="1:7" x14ac:dyDescent="0.25">
      <c r="A24" s="2" t="s">
        <v>55</v>
      </c>
      <c r="B24" s="11"/>
      <c r="C24" s="12"/>
      <c r="D24" s="13"/>
      <c r="E24" s="13"/>
      <c r="F24" s="14"/>
    </row>
  </sheetData>
  <sheetProtection password="B056" sheet="1" objects="1" scenarios="1"/>
  <mergeCells count="16">
    <mergeCell ref="A2:G2"/>
    <mergeCell ref="A3:G3"/>
    <mergeCell ref="A4:B5"/>
    <mergeCell ref="C4:E4"/>
    <mergeCell ref="F4:F5"/>
    <mergeCell ref="G4:G5"/>
    <mergeCell ref="A12:B12"/>
    <mergeCell ref="A13:G13"/>
    <mergeCell ref="A17:A19"/>
    <mergeCell ref="A6:G6"/>
    <mergeCell ref="A7:B7"/>
    <mergeCell ref="A8:B8"/>
    <mergeCell ref="A9:B9"/>
    <mergeCell ref="A10:B10"/>
    <mergeCell ref="A11:B11"/>
    <mergeCell ref="A14:A16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3"/>
  <sheetViews>
    <sheetView tabSelected="1" zoomScaleNormal="100" workbookViewId="0">
      <selection activeCell="G24" sqref="G24"/>
    </sheetView>
  </sheetViews>
  <sheetFormatPr defaultRowHeight="15" customHeight="1" x14ac:dyDescent="0.2"/>
  <cols>
    <col min="1" max="1" width="29.140625" style="14" customWidth="1"/>
    <col min="2" max="2" width="17.28515625" style="14" customWidth="1"/>
    <col min="3" max="3" width="17.5703125" style="14" customWidth="1"/>
    <col min="4" max="4" width="14.85546875" style="14" customWidth="1"/>
    <col min="5" max="6" width="15.7109375" style="14" customWidth="1"/>
    <col min="7" max="7" width="12.42578125" style="14" customWidth="1"/>
    <col min="8" max="8" width="12.85546875" style="14" customWidth="1"/>
    <col min="9" max="9" width="11.85546875" style="14" customWidth="1"/>
    <col min="10" max="10" width="15.85546875" style="14" customWidth="1"/>
    <col min="11" max="11" width="9.140625" style="14"/>
    <col min="12" max="12" width="10.42578125" style="14" customWidth="1"/>
    <col min="13" max="13" width="9.42578125" style="14" customWidth="1"/>
    <col min="14" max="16" width="9" style="14" customWidth="1"/>
    <col min="17" max="17" width="9.140625" style="14"/>
    <col min="18" max="18" width="9.140625" style="14" customWidth="1"/>
    <col min="19" max="21" width="9.140625" style="14"/>
    <col min="22" max="22" width="10.85546875" style="14" bestFit="1" customWidth="1"/>
    <col min="23" max="16384" width="9.140625" style="14"/>
  </cols>
  <sheetData>
    <row r="1" spans="1:23" ht="15" customHeight="1" x14ac:dyDescent="0.2">
      <c r="A1" s="42" t="s">
        <v>131</v>
      </c>
      <c r="B1" s="59">
        <f>Dados!F18/(365*24)</f>
        <v>5.4590182648401833E-2</v>
      </c>
      <c r="C1" s="40"/>
      <c r="D1" s="40"/>
    </row>
    <row r="2" spans="1:23" ht="15" customHeight="1" x14ac:dyDescent="0.2">
      <c r="A2" s="19" t="s">
        <v>137</v>
      </c>
      <c r="B2" s="57">
        <v>0.5</v>
      </c>
      <c r="C2" s="57"/>
      <c r="D2" s="57"/>
    </row>
    <row r="3" spans="1:23" ht="15" customHeight="1" x14ac:dyDescent="0.2">
      <c r="A3" s="1"/>
      <c r="B3" s="17"/>
      <c r="C3" s="17"/>
      <c r="D3" s="17"/>
    </row>
    <row r="4" spans="1:23" ht="15" customHeight="1" x14ac:dyDescent="0.2">
      <c r="A4" s="1" t="s">
        <v>57</v>
      </c>
      <c r="B4" s="17"/>
      <c r="C4" s="17"/>
      <c r="D4" s="17"/>
    </row>
    <row r="5" spans="1:23" ht="24" customHeight="1" x14ac:dyDescent="0.2">
      <c r="A5" s="91" t="s">
        <v>41</v>
      </c>
      <c r="B5" s="89" t="s">
        <v>42</v>
      </c>
      <c r="C5" s="89" t="s">
        <v>60</v>
      </c>
      <c r="D5" s="89" t="s">
        <v>132</v>
      </c>
      <c r="E5" s="86" t="s">
        <v>143</v>
      </c>
      <c r="F5" s="86" t="s">
        <v>144</v>
      </c>
      <c r="G5" s="86" t="s">
        <v>145</v>
      </c>
      <c r="H5" s="91" t="s">
        <v>142</v>
      </c>
      <c r="I5" s="86" t="s">
        <v>146</v>
      </c>
      <c r="J5" s="86" t="s">
        <v>147</v>
      </c>
      <c r="K5" s="86" t="s">
        <v>148</v>
      </c>
      <c r="L5" s="94" t="s">
        <v>138</v>
      </c>
      <c r="M5" s="95"/>
      <c r="N5" s="92" t="s">
        <v>136</v>
      </c>
      <c r="O5" s="92"/>
      <c r="P5" s="93"/>
      <c r="Q5" s="87" t="s">
        <v>43</v>
      </c>
      <c r="R5" s="88"/>
      <c r="S5" s="88"/>
      <c r="T5" s="88"/>
      <c r="U5" s="88"/>
      <c r="V5" s="88"/>
      <c r="W5" s="88"/>
    </row>
    <row r="6" spans="1:23" ht="15" customHeight="1" x14ac:dyDescent="0.2">
      <c r="A6" s="89"/>
      <c r="B6" s="90"/>
      <c r="C6" s="90"/>
      <c r="D6" s="90"/>
      <c r="E6" s="86"/>
      <c r="F6" s="86"/>
      <c r="G6" s="86"/>
      <c r="H6" s="91"/>
      <c r="I6" s="86"/>
      <c r="J6" s="86"/>
      <c r="K6" s="86"/>
      <c r="L6" s="68" t="s">
        <v>139</v>
      </c>
      <c r="M6" s="68" t="s">
        <v>140</v>
      </c>
      <c r="N6" s="43" t="s">
        <v>112</v>
      </c>
      <c r="O6" s="43" t="s">
        <v>62</v>
      </c>
      <c r="P6" s="43" t="s">
        <v>141</v>
      </c>
      <c r="Q6" s="18" t="s">
        <v>44</v>
      </c>
      <c r="R6" s="18" t="s">
        <v>45</v>
      </c>
      <c r="S6" s="18" t="s">
        <v>46</v>
      </c>
      <c r="T6" s="43" t="s">
        <v>113</v>
      </c>
      <c r="U6" s="43" t="s">
        <v>112</v>
      </c>
      <c r="V6" s="43" t="s">
        <v>62</v>
      </c>
      <c r="W6" s="43" t="s">
        <v>141</v>
      </c>
    </row>
    <row r="7" spans="1:23" ht="15" customHeight="1" x14ac:dyDescent="0.2">
      <c r="A7" s="19" t="s">
        <v>53</v>
      </c>
      <c r="B7" s="16" t="s">
        <v>67</v>
      </c>
      <c r="C7" s="16" t="s">
        <v>58</v>
      </c>
      <c r="D7" s="17">
        <f>B1*'Massa Específica'!B9</f>
        <v>2.9473239611872145E-2</v>
      </c>
      <c r="E7" s="44">
        <f>Dados!B9</f>
        <v>-20.336752000000001</v>
      </c>
      <c r="F7" s="44">
        <f>Dados!B10</f>
        <v>-40.403404999999999</v>
      </c>
      <c r="G7" s="45">
        <f>Dados!B8</f>
        <v>0.35</v>
      </c>
      <c r="H7" s="66">
        <f>Monitoramento!F11</f>
        <v>1679</v>
      </c>
      <c r="I7" s="21">
        <f>Monitoramento!F10</f>
        <v>2554.3333333333335</v>
      </c>
      <c r="J7" s="20">
        <f>Monitoramento!F7</f>
        <v>135.69333333333336</v>
      </c>
      <c r="K7" s="21">
        <f>Dados!B7</f>
        <v>7</v>
      </c>
      <c r="L7" s="58">
        <f>90/100</f>
        <v>0.9</v>
      </c>
      <c r="M7" s="58">
        <f>76/100</f>
        <v>0.76</v>
      </c>
      <c r="N7" s="58">
        <f>'FE-Combustão'!F21</f>
        <v>0.41514999999999996</v>
      </c>
      <c r="O7" s="58">
        <f>'FE-Combustão'!I21</f>
        <v>9.9635999999999996</v>
      </c>
      <c r="P7" s="58">
        <f>'FE-Combustão'!L21</f>
        <v>0.282302</v>
      </c>
      <c r="Q7" s="64">
        <f>(Monitoramento!F11*Monitoramento!F17)/10^6</f>
        <v>8.2729926666666662E-2</v>
      </c>
      <c r="R7" s="46">
        <f>Q7*L7</f>
        <v>7.4456934000000002E-2</v>
      </c>
      <c r="S7" s="46">
        <f>Q7*M7</f>
        <v>6.2874744266666657E-2</v>
      </c>
      <c r="T7" s="67">
        <f>(Monitoramento!F14*Monitoramento!F11)/10^6</f>
        <v>0.12076487333333333</v>
      </c>
      <c r="U7" s="46">
        <f>N7*$B$2*$D$7</f>
        <v>6.1179077124343603E-3</v>
      </c>
      <c r="V7" s="64">
        <f>O7*$B$2*$D$7</f>
        <v>0.14682978509842465</v>
      </c>
      <c r="W7" s="64">
        <f>P7*$B$2*$D$7</f>
        <v>4.160177244455365E-3</v>
      </c>
    </row>
    <row r="8" spans="1:23" ht="15" customHeight="1" x14ac:dyDescent="0.2">
      <c r="A8" s="96" t="s">
        <v>48</v>
      </c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22">
        <f t="shared" ref="Q8:W8" si="0">SUM(Q7:Q7)</f>
        <v>8.2729926666666662E-2</v>
      </c>
      <c r="R8" s="22">
        <f t="shared" si="0"/>
        <v>7.4456934000000002E-2</v>
      </c>
      <c r="S8" s="22">
        <f t="shared" si="0"/>
        <v>6.2874744266666657E-2</v>
      </c>
      <c r="T8" s="22">
        <f>SUM(T7:T7)</f>
        <v>0.12076487333333333</v>
      </c>
      <c r="U8" s="22">
        <f>SUM(U7:U7)</f>
        <v>6.1179077124343603E-3</v>
      </c>
      <c r="V8" s="22">
        <f t="shared" si="0"/>
        <v>0.14682978509842465</v>
      </c>
      <c r="W8" s="65">
        <f t="shared" si="0"/>
        <v>4.160177244455365E-3</v>
      </c>
    </row>
    <row r="10" spans="1:23" ht="15" customHeight="1" x14ac:dyDescent="0.2">
      <c r="A10" s="23"/>
    </row>
    <row r="11" spans="1:23" ht="15" customHeight="1" x14ac:dyDescent="0.2">
      <c r="Q11" s="24"/>
    </row>
    <row r="12" spans="1:23" ht="15" customHeight="1" x14ac:dyDescent="0.2">
      <c r="G12" s="25"/>
      <c r="H12" s="25"/>
      <c r="L12" s="60"/>
    </row>
    <row r="16" spans="1:23" ht="15" customHeight="1" x14ac:dyDescent="0.2">
      <c r="F16" s="26"/>
      <c r="G16" s="26"/>
      <c r="H16" s="26"/>
    </row>
    <row r="17" spans="6:8" ht="15" customHeight="1" x14ac:dyDescent="0.2">
      <c r="F17" s="26"/>
      <c r="G17" s="26"/>
      <c r="H17" s="26"/>
    </row>
    <row r="18" spans="6:8" ht="15" customHeight="1" x14ac:dyDescent="0.2">
      <c r="F18" s="27"/>
      <c r="G18" s="27"/>
      <c r="H18" s="27"/>
    </row>
    <row r="19" spans="6:8" ht="15" customHeight="1" x14ac:dyDescent="0.2">
      <c r="F19" s="26"/>
      <c r="G19" s="26"/>
      <c r="H19" s="26"/>
    </row>
    <row r="20" spans="6:8" ht="15" customHeight="1" x14ac:dyDescent="0.2">
      <c r="F20" s="26"/>
      <c r="G20" s="26"/>
      <c r="H20" s="26"/>
    </row>
    <row r="21" spans="6:8" ht="15" customHeight="1" x14ac:dyDescent="0.2">
      <c r="F21" s="26"/>
      <c r="G21" s="27"/>
      <c r="H21" s="27"/>
    </row>
    <row r="22" spans="6:8" ht="15" customHeight="1" x14ac:dyDescent="0.2">
      <c r="F22" s="26"/>
      <c r="G22" s="26"/>
      <c r="H22" s="26"/>
    </row>
    <row r="23" spans="6:8" ht="15" customHeight="1" x14ac:dyDescent="0.2">
      <c r="F23" s="26"/>
      <c r="G23" s="26"/>
      <c r="H23" s="26"/>
    </row>
  </sheetData>
  <sheetProtection password="B056" sheet="1" objects="1" scenarios="1"/>
  <mergeCells count="15">
    <mergeCell ref="A5:A6"/>
    <mergeCell ref="B5:B6"/>
    <mergeCell ref="A8:P8"/>
    <mergeCell ref="Q5:W5"/>
    <mergeCell ref="C5:C6"/>
    <mergeCell ref="D5:D6"/>
    <mergeCell ref="H5:H6"/>
    <mergeCell ref="N5:P5"/>
    <mergeCell ref="L5:M5"/>
    <mergeCell ref="K5:K6"/>
    <mergeCell ref="E5:E6"/>
    <mergeCell ref="F5:F6"/>
    <mergeCell ref="G5:G6"/>
    <mergeCell ref="I5:I6"/>
    <mergeCell ref="J5:J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FE-Combustão</vt:lpstr>
      <vt:lpstr>Massa Específica</vt:lpstr>
      <vt:lpstr>Dados</vt:lpstr>
      <vt:lpstr>Monitoramento</vt:lpstr>
      <vt:lpstr>Emissão Chaminé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Aarão Gonçalves</dc:creator>
  <cp:lastModifiedBy>Vanessa Brusco Filete</cp:lastModifiedBy>
  <dcterms:created xsi:type="dcterms:W3CDTF">2018-11-24T15:59:36Z</dcterms:created>
  <dcterms:modified xsi:type="dcterms:W3CDTF">2019-06-06T20:38:53Z</dcterms:modified>
</cp:coreProperties>
</file>