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Roca Brasil\"/>
    </mc:Choice>
  </mc:AlternateContent>
  <bookViews>
    <workbookView xWindow="0" yWindow="0" windowWidth="24000" windowHeight="9135" tabRatio="857" firstSheet="1" activeTab="9"/>
  </bookViews>
  <sheets>
    <sheet name="FE-Fab Ceramica" sheetId="2" r:id="rId1"/>
    <sheet name="FE-Combustão" sheetId="3" r:id="rId2"/>
    <sheet name="FE-Equipamentos" sheetId="14" r:id="rId3"/>
    <sheet name="FE-Britador" sheetId="17" r:id="rId4"/>
    <sheet name="Monitoramento" sheetId="4" r:id="rId5"/>
    <sheet name="Emissão Fontes Pontuais" sheetId="13" r:id="rId6"/>
    <sheet name="Emissão Transferências" sheetId="11" r:id="rId7"/>
    <sheet name="Britador" sheetId="15" r:id="rId8"/>
    <sheet name="Emissão Maq e Equip" sheetId="8" r:id="rId9"/>
    <sheet name="Resumo" sheetId="1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2" i="13" l="1"/>
  <c r="C6" i="18" l="1"/>
  <c r="D6" i="18"/>
  <c r="E6" i="18"/>
  <c r="F6" i="18"/>
  <c r="G6" i="18"/>
  <c r="H6" i="18"/>
  <c r="B6" i="18"/>
  <c r="I7" i="15" l="1"/>
  <c r="L7" i="15" s="1"/>
  <c r="X24" i="13" l="1"/>
  <c r="X23" i="13"/>
  <c r="Z24" i="13" l="1"/>
  <c r="Y23" i="13"/>
  <c r="Y24" i="13" l="1"/>
  <c r="Z23" i="13"/>
  <c r="H7" i="15"/>
  <c r="K7" i="15" s="1"/>
  <c r="G7" i="15"/>
  <c r="J7" i="15" s="1"/>
  <c r="D27" i="3"/>
  <c r="E27" i="3"/>
  <c r="H27" i="3"/>
  <c r="I27" i="3"/>
  <c r="D29" i="3"/>
  <c r="E29" i="3"/>
  <c r="H29" i="3"/>
  <c r="I29" i="3"/>
  <c r="D30" i="3"/>
  <c r="E30" i="3"/>
  <c r="H30" i="3"/>
  <c r="I30" i="3"/>
  <c r="D31" i="3"/>
  <c r="E31" i="3"/>
  <c r="H31" i="3"/>
  <c r="I31" i="3"/>
  <c r="B29" i="2"/>
  <c r="B31" i="2" s="1"/>
  <c r="C20" i="2" s="1"/>
  <c r="C5" i="2" l="1"/>
  <c r="O12" i="13"/>
  <c r="I12" i="13"/>
  <c r="D7" i="15" l="1"/>
  <c r="J8" i="8" l="1"/>
  <c r="B3" i="8"/>
  <c r="M8" i="8" s="1"/>
  <c r="T8" i="8" s="1"/>
  <c r="K8" i="8" l="1"/>
  <c r="P8" i="8" s="1"/>
  <c r="L8" i="8"/>
  <c r="S8" i="8" s="1"/>
  <c r="N8" i="8"/>
  <c r="U8" i="8" s="1"/>
  <c r="O8" i="8"/>
  <c r="V8" i="8" s="1"/>
  <c r="I24" i="13" l="1"/>
  <c r="B1" i="15" l="1"/>
  <c r="B2" i="15" s="1"/>
  <c r="D12" i="11" l="1"/>
  <c r="M15" i="13" l="1"/>
  <c r="O15" i="13" s="1"/>
  <c r="M14" i="13"/>
  <c r="O14" i="13" s="1"/>
  <c r="I15" i="13"/>
  <c r="F12" i="11" l="1"/>
  <c r="J12" i="11" s="1"/>
  <c r="M12" i="11" s="1"/>
  <c r="H12" i="11" l="1"/>
  <c r="K12" i="11" s="1"/>
  <c r="K13" i="11" s="1"/>
  <c r="B4" i="18" s="1"/>
  <c r="I12" i="11"/>
  <c r="L12" i="11" s="1"/>
  <c r="L13" i="11" s="1"/>
  <c r="C4" i="18" s="1"/>
  <c r="M13" i="11"/>
  <c r="D4" i="18" s="1"/>
  <c r="I27" i="13"/>
  <c r="I30" i="13"/>
  <c r="I25" i="13"/>
  <c r="I26" i="13"/>
  <c r="I28" i="13"/>
  <c r="I29" i="13"/>
  <c r="U12" i="13"/>
  <c r="B6" i="13"/>
  <c r="B8" i="13" s="1"/>
  <c r="U13" i="13" l="1"/>
  <c r="B3" i="13"/>
  <c r="C6" i="2"/>
  <c r="M9" i="8"/>
  <c r="T9" i="8" s="1"/>
  <c r="L9" i="8"/>
  <c r="S9" i="8" s="1"/>
  <c r="N9" i="8"/>
  <c r="U9" i="8" s="1"/>
  <c r="O9" i="8"/>
  <c r="V9" i="8" s="1"/>
  <c r="K9" i="8"/>
  <c r="P9" i="8" s="1"/>
  <c r="F9" i="8"/>
  <c r="R8" i="8"/>
  <c r="F8" i="8"/>
  <c r="AB13" i="13" l="1"/>
  <c r="AB12" i="13"/>
  <c r="Q19" i="13"/>
  <c r="Q16" i="13"/>
  <c r="Q18" i="13"/>
  <c r="Q17" i="13"/>
  <c r="T10" i="8"/>
  <c r="P10" i="8"/>
  <c r="Q8" i="8"/>
  <c r="K8" i="15" l="1"/>
  <c r="C5" i="18" s="1"/>
  <c r="U10" i="8"/>
  <c r="S10" i="8"/>
  <c r="V10" i="8"/>
  <c r="L8" i="15"/>
  <c r="D5" i="18" s="1"/>
  <c r="J8" i="15"/>
  <c r="B5" i="18" s="1"/>
  <c r="Q9" i="8"/>
  <c r="Q10" i="8" s="1"/>
  <c r="R9" i="8"/>
  <c r="R10" i="8" s="1"/>
  <c r="C17" i="3" l="1"/>
  <c r="C16" i="3"/>
  <c r="C15" i="3"/>
  <c r="C14" i="3"/>
  <c r="C13" i="3"/>
  <c r="D6" i="3"/>
  <c r="D5" i="3"/>
  <c r="O19" i="13"/>
  <c r="X19" i="13" s="1"/>
  <c r="O18" i="13"/>
  <c r="O21" i="13"/>
  <c r="O22" i="13"/>
  <c r="O20" i="13"/>
  <c r="O17" i="13"/>
  <c r="O16" i="13"/>
  <c r="O13" i="13"/>
  <c r="I13" i="13"/>
  <c r="I16" i="13"/>
  <c r="I17" i="13"/>
  <c r="I20" i="13"/>
  <c r="I21" i="13"/>
  <c r="I22" i="13"/>
  <c r="I18" i="13"/>
  <c r="I14" i="13"/>
  <c r="I19" i="13"/>
  <c r="I23" i="13"/>
  <c r="X16" i="13" l="1"/>
  <c r="Y19" i="13"/>
  <c r="Z19" i="13"/>
  <c r="X17" i="13"/>
  <c r="X18" i="13"/>
  <c r="W19" i="13"/>
  <c r="AD19" i="13" s="1"/>
  <c r="W14" i="13"/>
  <c r="AD14" i="13" s="1"/>
  <c r="W21" i="13"/>
  <c r="AD21" i="13" s="1"/>
  <c r="W16" i="13"/>
  <c r="AD16" i="13" s="1"/>
  <c r="W15" i="13"/>
  <c r="AD15" i="13" s="1"/>
  <c r="W22" i="13"/>
  <c r="AD22" i="13" s="1"/>
  <c r="W18" i="13"/>
  <c r="AD18" i="13" s="1"/>
  <c r="W17" i="13"/>
  <c r="AD17" i="13" s="1"/>
  <c r="W20" i="13"/>
  <c r="AD20" i="13" s="1"/>
  <c r="Q22" i="13"/>
  <c r="X22" i="13" s="1"/>
  <c r="Q21" i="13"/>
  <c r="X21" i="13" s="1"/>
  <c r="Q20" i="13"/>
  <c r="X20" i="13" s="1"/>
  <c r="V19" i="13"/>
  <c r="AC19" i="13" s="1"/>
  <c r="V14" i="13"/>
  <c r="AC14" i="13" s="1"/>
  <c r="V21" i="13"/>
  <c r="AC21" i="13" s="1"/>
  <c r="V22" i="13"/>
  <c r="AC22" i="13" s="1"/>
  <c r="V18" i="13"/>
  <c r="AC18" i="13" s="1"/>
  <c r="V17" i="13"/>
  <c r="AC17" i="13" s="1"/>
  <c r="V20" i="13"/>
  <c r="AC20" i="13" s="1"/>
  <c r="V15" i="13"/>
  <c r="AC15" i="13" s="1"/>
  <c r="V16" i="13"/>
  <c r="AC16" i="13" s="1"/>
  <c r="T19" i="13"/>
  <c r="AA19" i="13" s="1"/>
  <c r="T14" i="13"/>
  <c r="AA14" i="13" s="1"/>
  <c r="T17" i="13"/>
  <c r="AA17" i="13" s="1"/>
  <c r="T15" i="13"/>
  <c r="AA15" i="13" s="1"/>
  <c r="T20" i="13"/>
  <c r="AA20" i="13" s="1"/>
  <c r="T22" i="13"/>
  <c r="AA22" i="13" s="1"/>
  <c r="T18" i="13"/>
  <c r="AA18" i="13" s="1"/>
  <c r="T16" i="13"/>
  <c r="AA16" i="13" s="1"/>
  <c r="T21" i="13"/>
  <c r="AA21" i="13" s="1"/>
  <c r="U15" i="13"/>
  <c r="AB15" i="13" s="1"/>
  <c r="U19" i="13"/>
  <c r="AB19" i="13" s="1"/>
  <c r="U14" i="13"/>
  <c r="AB14" i="13" s="1"/>
  <c r="U17" i="13"/>
  <c r="AB17" i="13" s="1"/>
  <c r="U20" i="13"/>
  <c r="AB20" i="13" s="1"/>
  <c r="U22" i="13"/>
  <c r="AB22" i="13" s="1"/>
  <c r="U18" i="13"/>
  <c r="AB18" i="13" s="1"/>
  <c r="U21" i="13"/>
  <c r="AB21" i="13" s="1"/>
  <c r="U16" i="13"/>
  <c r="AB16" i="13" s="1"/>
  <c r="AB31" i="13" l="1"/>
  <c r="Y18" i="13"/>
  <c r="Z18" i="13"/>
  <c r="Y16" i="13"/>
  <c r="Z16" i="13"/>
  <c r="Z17" i="13"/>
  <c r="Y17" i="13"/>
  <c r="Z20" i="13"/>
  <c r="Y20" i="13"/>
  <c r="Z21" i="13"/>
  <c r="Y21" i="13"/>
  <c r="Y22" i="13"/>
  <c r="Z22" i="13"/>
  <c r="F24" i="4"/>
  <c r="F23" i="4"/>
  <c r="F21" i="4"/>
  <c r="F16" i="4"/>
  <c r="F15" i="4"/>
  <c r="F13" i="4"/>
  <c r="F8" i="4"/>
  <c r="F7" i="4"/>
  <c r="F5" i="4"/>
  <c r="F3" i="18" l="1"/>
  <c r="F8" i="18" s="1"/>
  <c r="C11" i="2"/>
  <c r="Q13" i="13" l="1"/>
  <c r="X13" i="13" s="1"/>
  <c r="Q12" i="13"/>
  <c r="X12" i="13" s="1"/>
  <c r="I20" i="2"/>
  <c r="G20" i="2"/>
  <c r="E20" i="2"/>
  <c r="C7" i="2"/>
  <c r="C9" i="2"/>
  <c r="C10" i="2"/>
  <c r="C12" i="2"/>
  <c r="C14" i="2"/>
  <c r="C15" i="2"/>
  <c r="Q29" i="13" l="1"/>
  <c r="X29" i="13" s="1"/>
  <c r="Q25" i="13"/>
  <c r="X25" i="13" s="1"/>
  <c r="Q26" i="13"/>
  <c r="X26" i="13" s="1"/>
  <c r="Q28" i="13"/>
  <c r="X28" i="13" s="1"/>
  <c r="Q27" i="13"/>
  <c r="X27" i="13" s="1"/>
  <c r="Q30" i="13"/>
  <c r="X30" i="13" s="1"/>
  <c r="W13" i="13"/>
  <c r="AD13" i="13" s="1"/>
  <c r="W12" i="13"/>
  <c r="AD12" i="13" s="1"/>
  <c r="Z12" i="13"/>
  <c r="Y12" i="13"/>
  <c r="Q15" i="13"/>
  <c r="Q14" i="13"/>
  <c r="T13" i="13"/>
  <c r="AA13" i="13" s="1"/>
  <c r="T12" i="13"/>
  <c r="V13" i="13"/>
  <c r="AC13" i="13" s="1"/>
  <c r="V12" i="13"/>
  <c r="AC12" i="13" s="1"/>
  <c r="Z13" i="13"/>
  <c r="Y13" i="13"/>
  <c r="Z26" i="13" l="1"/>
  <c r="Y26" i="13"/>
  <c r="Y30" i="13"/>
  <c r="Z30" i="13"/>
  <c r="Y25" i="13"/>
  <c r="Z25" i="13"/>
  <c r="Z27" i="13"/>
  <c r="Y27" i="13"/>
  <c r="Y29" i="13"/>
  <c r="Z29" i="13"/>
  <c r="AD31" i="13"/>
  <c r="Y28" i="13"/>
  <c r="Z28" i="13"/>
  <c r="AA31" i="13"/>
  <c r="X15" i="13"/>
  <c r="X14" i="13"/>
  <c r="X31" i="13" s="1"/>
  <c r="B3" i="18" s="1"/>
  <c r="AC31" i="13"/>
  <c r="H3" i="18" l="1"/>
  <c r="H8" i="18" s="1"/>
  <c r="E3" i="18"/>
  <c r="E8" i="18" s="1"/>
  <c r="G3" i="18"/>
  <c r="G8" i="18" s="1"/>
  <c r="Z14" i="13"/>
  <c r="Y14" i="13"/>
  <c r="B8" i="18"/>
  <c r="Y15" i="13"/>
  <c r="Z15" i="13"/>
  <c r="Z31" i="13" l="1"/>
  <c r="D3" i="18" s="1"/>
  <c r="Y31" i="13"/>
  <c r="D8" i="18"/>
  <c r="C3" i="18" l="1"/>
  <c r="C8" i="18" s="1"/>
</calcChain>
</file>

<file path=xl/comments1.xml><?xml version="1.0" encoding="utf-8"?>
<comments xmlns="http://schemas.openxmlformats.org/spreadsheetml/2006/main">
  <authors>
    <author>Andrielly Moutinho Knupp</author>
  </authors>
  <commentList>
    <comment ref="A28" authorId="0" shapeId="0">
      <text>
        <r>
          <rPr>
            <sz val="9"/>
            <color indexed="81"/>
            <rFont val="Segoe UI"/>
            <family val="2"/>
          </rPr>
          <t>http://sites.petrobras.com.br/minisite/premiotecnologia/pdf/TecnologiaGas_GasNatural_Motores.pdf</t>
        </r>
      </text>
    </comment>
    <comment ref="A30" authorId="0" shapeId="0">
      <text>
        <r>
          <rPr>
            <sz val="9"/>
            <color indexed="81"/>
            <rFont val="Segoe UI"/>
            <family val="2"/>
          </rPr>
          <t>Teor Máximo de Enxofre no Gás Natural: Resolução ANP 16/2008
http://nxt.anp.gov.br/NXT/gateway.dll/leg/resolucoes_anp/2008/junho/ranp%2016%20-%202008.xml?f=templates$fn=document-frame.htm$3.0$q=$x=$nc=4315</t>
        </r>
      </text>
    </comment>
    <comment ref="A33" authorId="0" shapeId="0">
      <text>
        <r>
          <rPr>
            <sz val="9"/>
            <color indexed="81"/>
            <rFont val="Segoe UI"/>
            <family val="2"/>
          </rPr>
          <t>Teor Máximo de Enxofre no Gás Natural: Resolução ANP 16/2008</t>
        </r>
      </text>
    </comment>
  </commentList>
</comments>
</file>

<file path=xl/comments2.xml><?xml version="1.0" encoding="utf-8"?>
<comments xmlns="http://schemas.openxmlformats.org/spreadsheetml/2006/main">
  <authors>
    <author>Julius</author>
    <author>Andrielly Moutinho Knupp</author>
  </authors>
  <commentList>
    <comment ref="D4" authorId="0" shapeId="0">
      <text>
        <r>
          <rPr>
            <sz val="9"/>
            <color indexed="81"/>
            <rFont val="Tahoma"/>
            <family val="2"/>
          </rPr>
          <t xml:space="preserve">15 ºC e 1 atm
</t>
        </r>
        <r>
          <rPr>
            <sz val="9"/>
            <color indexed="81"/>
            <rFont val="Tahoma"/>
            <family val="2"/>
          </rPr>
          <t xml:space="preserve">
fator de conversão de lb/106 sfc para kg/106 m³ = 16
</t>
        </r>
      </text>
    </comment>
    <comment ref="B5" authorId="1" shapeId="0">
      <text>
        <r>
          <rPr>
            <sz val="9"/>
            <color indexed="81"/>
            <rFont val="Segoe UI"/>
            <family val="2"/>
          </rPr>
          <t>Expresso como NO2</t>
        </r>
      </text>
    </comment>
    <comment ref="C12" authorId="1" shapeId="0">
      <text>
        <r>
          <rPr>
            <sz val="9"/>
            <color indexed="81"/>
            <rFont val="Segoe UI"/>
            <family val="2"/>
          </rPr>
          <t>15 ºC e 1 atm</t>
        </r>
        <r>
          <rPr>
            <b/>
            <sz val="9"/>
            <color indexed="81"/>
            <rFont val="Segoe UI"/>
            <family val="2"/>
          </rPr>
          <t xml:space="preserve">
</t>
        </r>
        <r>
          <rPr>
            <sz val="9"/>
            <color indexed="81"/>
            <rFont val="Segoe UI"/>
            <family val="2"/>
          </rPr>
          <t>fator de conversão de lb/106 sfc para kg/106 m³ = 16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Tatiane Jardim Morais</author>
    <author>Andrielly Moutinho Knupp</author>
  </authors>
  <commentList>
    <comment ref="B3" authorId="0" shapeId="0">
      <text>
        <r>
          <rPr>
            <sz val="9"/>
            <color indexed="81"/>
            <rFont val="Segoe UI"/>
            <family val="2"/>
          </rPr>
          <t>A empresa funciona 11 meses no ano</t>
        </r>
      </text>
    </comment>
    <comment ref="A5" authorId="1" shapeId="0">
      <text>
        <r>
          <rPr>
            <sz val="9"/>
            <color indexed="81"/>
            <rFont val="Segoe UI"/>
            <family val="2"/>
          </rPr>
          <t>http://sites.petrobras.com.br/minisite/premiotecnologia/pdf/TecnologiaGas_GasNatural_Motores.pdf</t>
        </r>
      </text>
    </comment>
    <comment ref="A7" authorId="1" shapeId="0">
      <text>
        <r>
          <rPr>
            <sz val="9"/>
            <color indexed="81"/>
            <rFont val="Segoe UI"/>
            <family val="2"/>
          </rPr>
          <t>Teor Máximo de Enxofre no Gás Natural: Resolução ANP 16/2008
http://nxt.anp.gov.br/NXT/gateway.dll/leg/resolucoes_anp/2008/junho/ranp%2016%20-%202008.xml?f=templates$fn=document-frame.htm$3.0$q=$x=$nc=4315</t>
        </r>
      </text>
    </comment>
    <comment ref="Y11" authorId="0" shapeId="0">
      <text>
        <r>
          <rPr>
            <sz val="9"/>
            <color indexed="81"/>
            <rFont val="Segoe UI"/>
            <family val="2"/>
          </rPr>
          <t xml:space="preserve">PM=PM10=PM2.5 (Table 1.4-2. Emission Factors for Criteria Pollutants and Greenhouse Gases from Natural Gas Combustion)
</t>
        </r>
      </text>
    </comment>
    <comment ref="P23" authorId="1" shapeId="0">
      <text>
        <r>
          <rPr>
            <sz val="9"/>
            <color indexed="81"/>
            <rFont val="Segoe UI"/>
            <family val="2"/>
          </rPr>
          <t>Concentração retirada da pag 205 item 5.1.3.2 do documento de referência da Comissão Européia: Ceramic Manufacturing Industry (2007).</t>
        </r>
      </text>
    </comment>
    <comment ref="G24" authorId="0" shapeId="0">
      <text>
        <r>
          <rPr>
            <sz val="9"/>
            <color indexed="81"/>
            <rFont val="Segoe UI"/>
            <family val="2"/>
          </rPr>
          <t xml:space="preserve">Considerado Temperatura ambiente
</t>
        </r>
      </text>
    </comment>
    <comment ref="P24" authorId="1" shapeId="0">
      <text>
        <r>
          <rPr>
            <sz val="9"/>
            <color indexed="81"/>
            <rFont val="Segoe UI"/>
            <family val="2"/>
          </rPr>
          <t>Concentração retirada da pag 205 item 5.1.3.2 do documento de referência da Comissão Européia: Ceramic Manufacturing Industry (2007.</t>
        </r>
      </text>
    </comment>
    <comment ref="X25" authorId="0" shapeId="0">
      <text>
        <r>
          <rPr>
            <sz val="9"/>
            <color indexed="81"/>
            <rFont val="Segoe UI"/>
            <family val="2"/>
          </rPr>
          <t xml:space="preserve">Dividido por 3, pois são 3 equipamentos de resfriamento do Forno 1.
</t>
        </r>
      </text>
    </comment>
    <comment ref="X26" authorId="0" shapeId="0">
      <text>
        <r>
          <rPr>
            <sz val="9"/>
            <color indexed="81"/>
            <rFont val="Segoe UI"/>
            <family val="2"/>
          </rPr>
          <t xml:space="preserve">Dividido por 3, pois são 3 equipamentos de resfriamento do Forno 1.
</t>
        </r>
      </text>
    </comment>
    <comment ref="X27" authorId="0" shapeId="0">
      <text>
        <r>
          <rPr>
            <sz val="9"/>
            <color indexed="81"/>
            <rFont val="Segoe UI"/>
            <family val="2"/>
          </rPr>
          <t xml:space="preserve">Dividido por 3, pois são 3 equipamentos de resfriamento do Forno 1.
</t>
        </r>
      </text>
    </comment>
    <comment ref="X28" authorId="0" shapeId="0">
      <text>
        <r>
          <rPr>
            <sz val="9"/>
            <color indexed="81"/>
            <rFont val="Segoe UI"/>
            <family val="2"/>
          </rPr>
          <t xml:space="preserve">Dividido por 3, pois são 3 equipamentos de resfriamento do Forno 4.
</t>
        </r>
      </text>
    </comment>
    <comment ref="X29" authorId="0" shapeId="0">
      <text>
        <r>
          <rPr>
            <sz val="9"/>
            <color indexed="81"/>
            <rFont val="Segoe UI"/>
            <family val="2"/>
          </rPr>
          <t xml:space="preserve">Dividido por 3, pois são 3 equipamentos de resfriamento do Forno 4.
</t>
        </r>
      </text>
    </comment>
    <comment ref="X30" authorId="0" shapeId="0">
      <text>
        <r>
          <rPr>
            <sz val="9"/>
            <color indexed="81"/>
            <rFont val="Segoe UI"/>
            <family val="2"/>
          </rPr>
          <t xml:space="preserve">Dividido por 3, pois são 3 equipamentos de resfriamento do Forno 4.
</t>
        </r>
      </text>
    </comment>
  </commentList>
</comments>
</file>

<file path=xl/comments4.xml><?xml version="1.0" encoding="utf-8"?>
<comments xmlns="http://schemas.openxmlformats.org/spreadsheetml/2006/main">
  <authors>
    <author>Tatiane Jardim Morais</author>
    <author>Andrielly Moutinho Knupp</author>
  </authors>
  <commentList>
    <comment ref="B8" authorId="0" shapeId="0">
      <text>
        <r>
          <rPr>
            <sz val="9"/>
            <color indexed="81"/>
            <rFont val="Segoe UI"/>
            <family val="2"/>
          </rPr>
          <t>Média da Velocidade do vento para o ano de 2015 - Aeroporto de Vitória</t>
        </r>
      </text>
    </comment>
    <comment ref="D12" authorId="0" shapeId="0">
      <text>
        <r>
          <rPr>
            <sz val="9"/>
            <color indexed="81"/>
            <rFont val="Segoe UI"/>
            <family val="2"/>
          </rPr>
          <t>Considerado o empilhamento e desempilhamento</t>
        </r>
      </text>
    </comment>
    <comment ref="E12" authorId="0" shapeId="0">
      <text>
        <r>
          <rPr>
            <sz val="9"/>
            <color indexed="81"/>
            <rFont val="Segoe UI"/>
            <family val="2"/>
          </rPr>
          <t>WRAP (2006) - Fugitive Dust Handbook</t>
        </r>
      </text>
    </comment>
    <comment ref="F12" authorId="0" shapeId="0">
      <text>
        <r>
          <rPr>
            <sz val="9"/>
            <color indexed="81"/>
            <rFont val="Segoe UI"/>
            <family val="2"/>
          </rPr>
          <t xml:space="preserve">Por falta de informação, utilizou-se umidade de materiais semelhantes de empresa com processo similar.
</t>
        </r>
      </text>
    </comment>
    <comment ref="A21" authorId="1" shapeId="0">
      <text>
        <r>
          <rPr>
            <b/>
            <sz val="9"/>
            <color indexed="81"/>
            <rFont val="Segoe UI"/>
            <family val="2"/>
          </rPr>
          <t>Rating A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Tatiane Jardim Morais</author>
    <author>Alinie Rossi dos Santos</author>
  </authors>
  <commentList>
    <comment ref="B1" authorId="0" shapeId="0">
      <text>
        <r>
          <rPr>
            <sz val="9"/>
            <color indexed="81"/>
            <rFont val="Segoe UI"/>
            <family val="2"/>
          </rPr>
          <t>A empresa funciona 11 meses no ano</t>
        </r>
      </text>
    </comment>
    <comment ref="B2" authorId="0" shapeId="0">
      <text>
        <r>
          <rPr>
            <sz val="9"/>
            <color indexed="81"/>
            <rFont val="Segoe UI"/>
            <family val="2"/>
          </rPr>
          <t xml:space="preserve">Considerado que 5% do produto acabado passará por britador para retornar ao processo.
</t>
        </r>
      </text>
    </comment>
    <comment ref="F5" authorId="1" shapeId="0">
      <text>
        <r>
          <rPr>
            <sz val="9"/>
            <color indexed="81"/>
            <rFont val="Segoe UI"/>
            <family val="2"/>
          </rPr>
          <t xml:space="preserve">WRAP (2006) - Implement wet suppression </t>
        </r>
      </text>
    </comment>
    <comment ref="H6" authorId="0" shapeId="0">
      <text>
        <r>
          <rPr>
            <sz val="9"/>
            <color indexed="81"/>
            <rFont val="Segoe UI"/>
            <family val="2"/>
          </rPr>
          <t xml:space="preserve"> Fonte: USEPA, (2004). Section 11.19.2 . Table 11.19.2-1 = No data available, but emission factors for PM-10 for tertiary crushers can be used as an upper limit for
primary or secondary crushing.
</t>
        </r>
      </text>
    </comment>
    <comment ref="I7" authorId="0" shapeId="0">
      <text>
        <r>
          <rPr>
            <sz val="9"/>
            <color indexed="81"/>
            <rFont val="Segoe UI"/>
            <family val="2"/>
          </rPr>
          <t>Considerada a mesma relação PM2.5/PM10 para o fator de "Tertiary Crushing (controlled)"</t>
        </r>
      </text>
    </comment>
  </commentList>
</comments>
</file>

<file path=xl/comments6.xml><?xml version="1.0" encoding="utf-8"?>
<comments xmlns="http://schemas.openxmlformats.org/spreadsheetml/2006/main">
  <authors>
    <author>Gabriel Aarão Gonçalves</author>
    <author>Tatiane Jardim Morais</author>
    <author>Andrielly Moutinho Knupp</author>
  </authors>
  <commentList>
    <comment ref="B1" authorId="0" shapeId="0">
      <text>
        <r>
          <rPr>
            <sz val="9"/>
            <color indexed="81"/>
            <rFont val="Segoe UI"/>
            <family val="2"/>
          </rPr>
          <t xml:space="preserve">Densidade à temperatura de 20 °C e 1 atm.
Fonte: ANP (2015): http://www.anp.gov.br/wwwanp/?dw=82253
</t>
        </r>
      </text>
    </comment>
    <comment ref="B2" authorId="0" shapeId="0">
      <text>
        <r>
          <rPr>
            <sz val="9"/>
            <color indexed="81"/>
            <rFont val="Segoe UI"/>
            <family val="2"/>
          </rPr>
          <t xml:space="preserve">Não foi fornecido informações sobre o teor de enxofre do GLP. Portanto, foi considerado mistura butano/propano estabelecido pela ANP. 
Fonte: Tabela III: http://sites.petrobras.com.br/minisite/assistenciatecnica/public/downloads/manual-tecnico-gas-liquefeito-petrobras-assistencia-tecnica-petrobras.pdf
</t>
        </r>
      </text>
    </comment>
    <comment ref="B3" authorId="0" shapeId="0">
      <text>
        <r>
          <rPr>
            <sz val="9"/>
            <color indexed="81"/>
            <rFont val="Segoe UI"/>
            <family val="2"/>
          </rPr>
          <t xml:space="preserve">O teor de enxofre deve estar em unidade de g/100 ft³ para aplicação do fator de emissão para o SO2, de acordo com a nota de rodapé "e" da Tabela 1.5-1 da AP-42. </t>
        </r>
      </text>
    </comment>
    <comment ref="B4" authorId="1" shapeId="0">
      <text>
        <r>
          <rPr>
            <sz val="9"/>
            <color indexed="81"/>
            <rFont val="Segoe UI"/>
            <family val="2"/>
          </rPr>
          <t xml:space="preserve">Valor encontrado no PCA
</t>
        </r>
      </text>
    </comment>
    <comment ref="Q7" authorId="2" shapeId="0">
      <text>
        <r>
          <rPr>
            <sz val="9"/>
            <color indexed="81"/>
            <rFont val="Segoe UI"/>
            <family val="2"/>
          </rPr>
          <t>Devido à inexistência de fator para PM10, foi considerado PM10 = PM.</t>
        </r>
      </text>
    </comment>
    <comment ref="R7" authorId="2" shapeId="0">
      <text>
        <r>
          <rPr>
            <sz val="9"/>
            <color indexed="81"/>
            <rFont val="Segoe UI"/>
            <family val="2"/>
          </rPr>
          <t>Devido à inexistência de fator para PM2.5, foi considerado PM2.5 = PM.</t>
        </r>
      </text>
    </comment>
    <comment ref="T7" authorId="2" shapeId="0">
      <text>
        <r>
          <rPr>
            <sz val="9"/>
            <color indexed="81"/>
            <rFont val="Segoe UI"/>
            <family val="2"/>
          </rPr>
          <t>Devido à inexistência de fator para SO2, foi considerado fator de SOx para SO2.</t>
        </r>
      </text>
    </comment>
    <comment ref="V7" authorId="2" shapeId="0">
      <text>
        <r>
          <rPr>
            <sz val="9"/>
            <color indexed="81"/>
            <rFont val="Segoe UI"/>
            <family val="2"/>
          </rPr>
          <t>Devido à inexistência de fator para COV, foi considerado o fator de emissão de ROG. Pois, a maioria dos componentes de ROG são COV (https://www.arb.ca.gov/ei/speciate/voc_rog_dfn_1_09.pdf).</t>
        </r>
      </text>
    </comment>
    <comment ref="H8" authorId="1" shapeId="0">
      <text>
        <r>
          <rPr>
            <sz val="9"/>
            <color indexed="81"/>
            <rFont val="Segoe UI"/>
            <family val="2"/>
          </rPr>
          <t xml:space="preserve">Considerado 10 horas de trabalho por dia
</t>
        </r>
      </text>
    </comment>
    <comment ref="K8" authorId="1" shapeId="0">
      <text>
        <r>
          <rPr>
            <sz val="9"/>
            <color indexed="81"/>
            <rFont val="Segoe UI"/>
            <family val="2"/>
          </rPr>
          <t xml:space="preserve">Considerando a composição típica do GLP usado em empilhadeiras: 70% butano e 30% propano
</t>
        </r>
      </text>
    </comment>
    <comment ref="L8" authorId="1" shapeId="0">
      <text>
        <r>
          <rPr>
            <sz val="9"/>
            <color indexed="81"/>
            <rFont val="Segoe UI"/>
            <family val="2"/>
          </rPr>
          <t xml:space="preserve">Considerando a composição típica do GLP usado em empilhadeiras: 70% butano e 30% propano
</t>
        </r>
      </text>
    </comment>
    <comment ref="M8" authorId="1" shapeId="0">
      <text>
        <r>
          <rPr>
            <sz val="9"/>
            <color indexed="81"/>
            <rFont val="Segoe UI"/>
            <family val="2"/>
          </rPr>
          <t xml:space="preserve">Considerando a composição típica do GLP usado em empilhadeiras: 70% butano e 30% propano
</t>
        </r>
      </text>
    </comment>
    <comment ref="N8" authorId="1" shapeId="0">
      <text>
        <r>
          <rPr>
            <sz val="9"/>
            <color indexed="81"/>
            <rFont val="Segoe UI"/>
            <family val="2"/>
          </rPr>
          <t xml:space="preserve">Considerando a composição típica do GLP usado em empilhadeiras: 70% butano e 30% propano
</t>
        </r>
      </text>
    </comment>
    <comment ref="O8" authorId="1" shapeId="0">
      <text>
        <r>
          <rPr>
            <sz val="9"/>
            <color indexed="81"/>
            <rFont val="Segoe UI"/>
            <family val="2"/>
          </rPr>
          <t xml:space="preserve">Considerando a composição típica do GLP usado em empilhadeiras: 70% butano e 30% propano
</t>
        </r>
      </text>
    </comment>
    <comment ref="F9" authorId="1" shapeId="0">
      <text>
        <r>
          <rPr>
            <sz val="9"/>
            <color indexed="81"/>
            <rFont val="Segoe UI"/>
            <family val="2"/>
          </rPr>
          <t>Usado a especificação técnica da Pá Carregadeira W20E
Potência bruta: 152 hp
https://www.aecweb.com.br/prod/e/pa-carregadeira-w20e_12731_16863</t>
        </r>
      </text>
    </comment>
    <comment ref="H9" authorId="1" shapeId="0">
      <text>
        <r>
          <rPr>
            <sz val="9"/>
            <color indexed="81"/>
            <rFont val="Segoe UI"/>
            <family val="2"/>
          </rPr>
          <t xml:space="preserve">Considerado 10 horas de trabalho por dia
</t>
        </r>
      </text>
    </comment>
  </commentList>
</comments>
</file>

<file path=xl/sharedStrings.xml><?xml version="1.0" encoding="utf-8"?>
<sst xmlns="http://schemas.openxmlformats.org/spreadsheetml/2006/main" count="423" uniqueCount="246">
  <si>
    <t>Emission Factor Rating</t>
  </si>
  <si>
    <t>D</t>
  </si>
  <si>
    <t>-</t>
  </si>
  <si>
    <t>Source Category</t>
  </si>
  <si>
    <t>Fonte Emissora</t>
  </si>
  <si>
    <t>CO</t>
  </si>
  <si>
    <t>COV</t>
  </si>
  <si>
    <t>Filterable PM (lb/ton)</t>
  </si>
  <si>
    <t>Chaminé do Forno 01</t>
  </si>
  <si>
    <t>Chaminé do Forno 04</t>
  </si>
  <si>
    <t>Chaminé do Forno de Requeima</t>
  </si>
  <si>
    <t>AP-42 (EPA, 1996): https://www3.epa.gov/ttn/chief/ap42/ch11/final/c11s07.pdf</t>
  </si>
  <si>
    <t>Table 11.7-1 - EMISSION FACTORS FOR CERAMIC PRODUCTS MANUFACTURING OPERATIONS</t>
  </si>
  <si>
    <t>Source</t>
  </si>
  <si>
    <t>Filterable PM (kg/t)</t>
  </si>
  <si>
    <t>Comminution - Raw material crushing and screening with fabric filter</t>
  </si>
  <si>
    <t>Dryer</t>
  </si>
  <si>
    <t>Cooler</t>
  </si>
  <si>
    <t>Granulation - natural gas - fired spray dryer</t>
  </si>
  <si>
    <t>with fabric filter</t>
  </si>
  <si>
    <t>with venturi scrubber</t>
  </si>
  <si>
    <t>Firing - natural gas - fired kiln</t>
  </si>
  <si>
    <t>Refiring - natural gas - fired kiln</t>
  </si>
  <si>
    <t>Ceramic glaze spray booth</t>
  </si>
  <si>
    <t>uncontrolled</t>
  </si>
  <si>
    <t>with wet scrubber</t>
  </si>
  <si>
    <t>E</t>
  </si>
  <si>
    <t>Table 11.7-2 - EMISSION FACTORS FOR GASEOUS POLLUTANT EMISSIONS FROM CERAMIC PRODUCTS MANUFACTURING - Emission Factor Rating E</t>
  </si>
  <si>
    <t>9,5S</t>
  </si>
  <si>
    <t>Gás Natural</t>
  </si>
  <si>
    <t>Uncontrolled</t>
  </si>
  <si>
    <t>Small Boilers (&lt;100)</t>
  </si>
  <si>
    <t>A</t>
  </si>
  <si>
    <t>B</t>
  </si>
  <si>
    <t>C</t>
  </si>
  <si>
    <t>Pollutant</t>
  </si>
  <si>
    <t>PM (Total)</t>
  </si>
  <si>
    <t>PM (Condensable)</t>
  </si>
  <si>
    <r>
      <t>SO</t>
    </r>
    <r>
      <rPr>
        <vertAlign val="subscript"/>
        <sz val="8"/>
        <color theme="1"/>
        <rFont val="Arial"/>
        <family val="2"/>
      </rPr>
      <t>2</t>
    </r>
  </si>
  <si>
    <t>VOC</t>
  </si>
  <si>
    <t>AP-42 (EPA, 1998): https://www3.epa.gov/ttn/chief/ap42/ch01/final/c01s04.pdf</t>
  </si>
  <si>
    <t>Parâmetro</t>
  </si>
  <si>
    <t>Unidade</t>
  </si>
  <si>
    <t>Amostragem</t>
  </si>
  <si>
    <t>Média</t>
  </si>
  <si>
    <t>Temperatura do Gás</t>
  </si>
  <si>
    <t>ºC</t>
  </si>
  <si>
    <r>
      <t>Óxidos de Nitrogênio - NO</t>
    </r>
    <r>
      <rPr>
        <vertAlign val="subscript"/>
        <sz val="8"/>
        <color theme="1"/>
        <rFont val="Arial"/>
        <family val="2"/>
      </rPr>
      <t>X</t>
    </r>
  </si>
  <si>
    <r>
      <t>Concentração Corrigida a 3% O</t>
    </r>
    <r>
      <rPr>
        <vertAlign val="subscript"/>
        <sz val="8"/>
        <color theme="1"/>
        <rFont val="Arial"/>
        <family val="2"/>
      </rPr>
      <t xml:space="preserve">2 </t>
    </r>
  </si>
  <si>
    <t>mg/Nm³</t>
  </si>
  <si>
    <t>Concentração nas Condições Normais Base Seca</t>
  </si>
  <si>
    <t>Monitoramento de Emissões Atmosféricas - Março/2015</t>
  </si>
  <si>
    <r>
      <t xml:space="preserve">&lt; 30 </t>
    </r>
    <r>
      <rPr>
        <sz val="8"/>
        <color theme="1"/>
        <rFont val="Calibri"/>
        <family val="2"/>
      </rPr>
      <t>µ</t>
    </r>
    <r>
      <rPr>
        <sz val="8"/>
        <color theme="1"/>
        <rFont val="Arial"/>
        <family val="2"/>
      </rPr>
      <t>m</t>
    </r>
  </si>
  <si>
    <r>
      <t xml:space="preserve">&lt; 10 </t>
    </r>
    <r>
      <rPr>
        <sz val="8"/>
        <color theme="1"/>
        <rFont val="Calibri"/>
        <family val="2"/>
      </rPr>
      <t>µ</t>
    </r>
    <r>
      <rPr>
        <sz val="8"/>
        <color theme="1"/>
        <rFont val="Arial"/>
        <family val="2"/>
      </rPr>
      <t>m</t>
    </r>
  </si>
  <si>
    <r>
      <t xml:space="preserve">&lt; 2.5 </t>
    </r>
    <r>
      <rPr>
        <sz val="8"/>
        <color theme="1"/>
        <rFont val="Calibri"/>
        <family val="2"/>
      </rPr>
      <t>µ</t>
    </r>
    <r>
      <rPr>
        <sz val="8"/>
        <color theme="1"/>
        <rFont val="Arial"/>
        <family val="2"/>
      </rPr>
      <t>m</t>
    </r>
  </si>
  <si>
    <t>Equipamento</t>
  </si>
  <si>
    <t>HT [h]</t>
  </si>
  <si>
    <t>Secador de Bacias</t>
  </si>
  <si>
    <t>Modelo</t>
  </si>
  <si>
    <t>Ridammer</t>
  </si>
  <si>
    <t>ECAL</t>
  </si>
  <si>
    <t>Cassiolli</t>
  </si>
  <si>
    <t>SITI</t>
  </si>
  <si>
    <t>Quantidade</t>
  </si>
  <si>
    <t>2 módulos</t>
  </si>
  <si>
    <t>Potência [kw]</t>
  </si>
  <si>
    <r>
      <t>SO</t>
    </r>
    <r>
      <rPr>
        <b/>
        <vertAlign val="subscript"/>
        <sz val="8"/>
        <color theme="0"/>
        <rFont val="Arial"/>
        <family val="2"/>
      </rPr>
      <t>2</t>
    </r>
  </si>
  <si>
    <r>
      <t>NO</t>
    </r>
    <r>
      <rPr>
        <b/>
        <vertAlign val="subscript"/>
        <sz val="8"/>
        <color theme="0"/>
        <rFont val="Arial"/>
        <family val="2"/>
      </rPr>
      <t>X</t>
    </r>
  </si>
  <si>
    <t>NOx</t>
  </si>
  <si>
    <t>Produto</t>
  </si>
  <si>
    <t>Equipamentos</t>
  </si>
  <si>
    <t>Consumo de Combustível</t>
  </si>
  <si>
    <t>m³/mês</t>
  </si>
  <si>
    <t>Forno Continuo 1</t>
  </si>
  <si>
    <t>Forno Continuo 4</t>
  </si>
  <si>
    <t>Gerador de água quente fundição</t>
  </si>
  <si>
    <t>Gerador de água quente Prensas</t>
  </si>
  <si>
    <t>Pre Secador Cassiolli</t>
  </si>
  <si>
    <t>m³/ano</t>
  </si>
  <si>
    <t>m³/ano x 3</t>
  </si>
  <si>
    <t>Secador de moldes</t>
  </si>
  <si>
    <t>c/ 3 câmaras</t>
  </si>
  <si>
    <t>Unidade Operacional</t>
  </si>
  <si>
    <t>Combustível Utilizado</t>
  </si>
  <si>
    <t>Secadores de peças</t>
  </si>
  <si>
    <t>Diâmetro [m]</t>
  </si>
  <si>
    <t>Vazão [m³/h]</t>
  </si>
  <si>
    <t>Temperatura [ºC]</t>
  </si>
  <si>
    <t>Altura [m]</t>
  </si>
  <si>
    <t>Exaustão de ar quente</t>
  </si>
  <si>
    <t>m³/ano x 4</t>
  </si>
  <si>
    <t>Diesel</t>
  </si>
  <si>
    <t>Carbonato de Cálcio</t>
  </si>
  <si>
    <t>t/ano</t>
  </si>
  <si>
    <t>Areias</t>
  </si>
  <si>
    <t>Argilas</t>
  </si>
  <si>
    <t>Filtro de Manga</t>
  </si>
  <si>
    <t>Misturador de Preparação de Esmalte</t>
  </si>
  <si>
    <t>Filtro Seco Keller</t>
  </si>
  <si>
    <t>n/a</t>
  </si>
  <si>
    <t>Densidade absoluta do ar [kg/m³]</t>
  </si>
  <si>
    <t>Densidade relativa Gás Natural [%]</t>
  </si>
  <si>
    <t>Densidade do GN [kg/m³]</t>
  </si>
  <si>
    <t>Teor máximo de enxofre no GN [mg/m³]</t>
  </si>
  <si>
    <t>Teor de Enxofre (%)</t>
  </si>
  <si>
    <t>Taxas de Emissão [kg/h]</t>
  </si>
  <si>
    <t>Consumo de Combustível [m³/h]</t>
  </si>
  <si>
    <t>(AP42) Table 1.4-1 - Emission Factors for NOx and CO from Natural Gas Combustion</t>
  </si>
  <si>
    <r>
      <t>(lb/10</t>
    </r>
    <r>
      <rPr>
        <vertAlign val="superscript"/>
        <sz val="8"/>
        <rFont val="Arial"/>
        <family val="2"/>
      </rPr>
      <t xml:space="preserve">6 </t>
    </r>
    <r>
      <rPr>
        <sz val="8"/>
        <rFont val="Arial"/>
        <family val="2"/>
      </rPr>
      <t>scf)</t>
    </r>
  </si>
  <si>
    <r>
      <t>kg/10</t>
    </r>
    <r>
      <rPr>
        <vertAlign val="superscript"/>
        <sz val="8"/>
        <rFont val="Arial"/>
        <family val="2"/>
      </rPr>
      <t>6</t>
    </r>
    <r>
      <rPr>
        <sz val="8"/>
        <rFont val="Arial"/>
        <family val="2"/>
      </rPr>
      <t>m³</t>
    </r>
  </si>
  <si>
    <t>(AP42) Table 1.4-2 - Emission Factors for Criteria Pollutants and GHG from natural gas combustion</t>
  </si>
  <si>
    <r>
      <t>(lb/10</t>
    </r>
    <r>
      <rPr>
        <vertAlign val="superscript"/>
        <sz val="8"/>
        <color theme="1"/>
        <rFont val="Arial"/>
        <family val="2"/>
      </rPr>
      <t>6</t>
    </r>
    <r>
      <rPr>
        <sz val="8"/>
        <color theme="1"/>
        <rFont val="Arial"/>
        <family val="2"/>
      </rPr>
      <t xml:space="preserve"> scf)</t>
    </r>
  </si>
  <si>
    <r>
      <t>kg/10</t>
    </r>
    <r>
      <rPr>
        <vertAlign val="superscript"/>
        <sz val="8"/>
        <color theme="1"/>
        <rFont val="Arial"/>
        <family val="2"/>
      </rPr>
      <t>6</t>
    </r>
    <r>
      <rPr>
        <sz val="8"/>
        <color theme="1"/>
        <rFont val="Arial"/>
        <family val="2"/>
      </rPr>
      <t>m³</t>
    </r>
  </si>
  <si>
    <t>PM (filterable)</t>
  </si>
  <si>
    <t>Referência: https://www3.epa.gov/ttn/chief/ap42/appendix/appb-2.pdf</t>
  </si>
  <si>
    <t>Empilhadeira</t>
  </si>
  <si>
    <t>Pá Carregadeira</t>
  </si>
  <si>
    <t>Tipo de Combustível</t>
  </si>
  <si>
    <t>GLP</t>
  </si>
  <si>
    <t>W20</t>
  </si>
  <si>
    <t>Fator de Emissão [kg/h]</t>
  </si>
  <si>
    <t>Taxa de Emissão [kg/h]</t>
  </si>
  <si>
    <t>PM</t>
  </si>
  <si>
    <t>Referência: AQMD (2016) - http://www.aqmd.gov/home/regulations/ceqa/air-quality-analysis-handbook/off-road-mobile-source-emission-factors</t>
  </si>
  <si>
    <t>Ano de Referência: 2007</t>
  </si>
  <si>
    <t>Equipment</t>
  </si>
  <si>
    <t>MaxHP</t>
  </si>
  <si>
    <t>SOX</t>
  </si>
  <si>
    <t>NOX</t>
  </si>
  <si>
    <t>ROG</t>
  </si>
  <si>
    <t>CO2</t>
  </si>
  <si>
    <t>CH4</t>
  </si>
  <si>
    <t>Tractors/Loaders/Backhoes</t>
  </si>
  <si>
    <t>Tractors/Loaders/Backhoes Composite</t>
  </si>
  <si>
    <t>Equação Geral:</t>
  </si>
  <si>
    <t>Onde:
E - emissão (lb/dia)
n - número de equipamentos de cada categoria
H - número de horas diárias de operação do equipamento
EF - fator de emissão (lb/h)</t>
  </si>
  <si>
    <t>Consideração:</t>
  </si>
  <si>
    <t>Como não foi informado o ano dos equipamentos, foi considerado, de forma conservadora, os fatores de 2007.</t>
  </si>
  <si>
    <t>Forklifts Composite</t>
  </si>
  <si>
    <t>Forklifts</t>
  </si>
  <si>
    <t>Classificação dos fatores de emissão</t>
  </si>
  <si>
    <t>Produção [t/ano]</t>
  </si>
  <si>
    <t>Cabine de Resfriamento/Retorno Forno 1</t>
  </si>
  <si>
    <t>Cabine de Resfriamento/Retorno Forno 4</t>
  </si>
  <si>
    <t>Referência AP42</t>
  </si>
  <si>
    <t>Fator de Emissão [kg/t]</t>
  </si>
  <si>
    <r>
      <t>PM</t>
    </r>
    <r>
      <rPr>
        <b/>
        <vertAlign val="subscript"/>
        <sz val="8"/>
        <color theme="0"/>
        <rFont val="Arial"/>
        <family val="2"/>
      </rPr>
      <t>10</t>
    </r>
  </si>
  <si>
    <r>
      <t>PM</t>
    </r>
    <r>
      <rPr>
        <b/>
        <vertAlign val="subscript"/>
        <sz val="8"/>
        <color theme="0"/>
        <rFont val="Arial"/>
        <family val="2"/>
      </rPr>
      <t>2,5</t>
    </r>
  </si>
  <si>
    <t>TR - Carreg/Descarreg. Pilhas</t>
  </si>
  <si>
    <t>Aggregate Handling And Storage Piles (Various limestone products)</t>
  </si>
  <si>
    <t>Referências: AP-42 (USEPA, 2006) - https://www3.epa.gov/ttn/chief/ap42/ch13/final/c13s0204.pdf</t>
  </si>
  <si>
    <t>Aerodynamic Particle Size Multiplier (k) For Equation 1</t>
  </si>
  <si>
    <t>Onde:
E - emissão
k - particle size multiplier (dimensionless)
U - mean wind speed, meters per second (m/s) (miles per hour [mph]) 
M - material moisture content (%)</t>
  </si>
  <si>
    <t>Velocidade do Vento (m/s)</t>
  </si>
  <si>
    <t>Forno de Requeima 01</t>
  </si>
  <si>
    <t>Forno de Requeima 02</t>
  </si>
  <si>
    <t>Fator de Emissão para Cerâmica [kg/h]</t>
  </si>
  <si>
    <r>
      <t>Fator de Emissão Gás Natural [kg/10</t>
    </r>
    <r>
      <rPr>
        <vertAlign val="superscript"/>
        <sz val="8"/>
        <color theme="1"/>
        <rFont val="Arial"/>
        <family val="2"/>
      </rPr>
      <t>6</t>
    </r>
    <r>
      <rPr>
        <sz val="8"/>
        <color theme="1"/>
        <rFont val="Arial"/>
        <family val="2"/>
      </rPr>
      <t>m³]</t>
    </r>
  </si>
  <si>
    <t>Fonte</t>
  </si>
  <si>
    <t>Controle</t>
  </si>
  <si>
    <t>Fator de emissão [kg/t]</t>
  </si>
  <si>
    <t>Taxa de emissão [kg/h]</t>
  </si>
  <si>
    <r>
      <t>PM</t>
    </r>
    <r>
      <rPr>
        <b/>
        <vertAlign val="subscript"/>
        <sz val="8"/>
        <color theme="0"/>
        <rFont val="Arial"/>
        <family val="2"/>
      </rPr>
      <t xml:space="preserve">2,5 </t>
    </r>
  </si>
  <si>
    <t>Umectação</t>
  </si>
  <si>
    <t>Produto Britado [t/ano]</t>
  </si>
  <si>
    <t xml:space="preserve">Britador </t>
  </si>
  <si>
    <t>Forno Contínuo 1 - Resfriamento 01</t>
  </si>
  <si>
    <t>Forno Contínuo 1 - Resfriamento 02</t>
  </si>
  <si>
    <t>Forno Contínuo 4 - Resfriamento 01</t>
  </si>
  <si>
    <t>Forno Contínuo 4 - Resfriamento 02</t>
  </si>
  <si>
    <t>F,M Silo de Modelagem</t>
  </si>
  <si>
    <t>Referência: https://www3,epa,gov/ttn/chief/ap42/appendix/appb-2,pdf</t>
  </si>
  <si>
    <t>Referência: AP-42 (USEPA, 2008) - https://www3.epa.gov/ttn/chief/ap42/ch01/final/c01s05.pdf</t>
  </si>
  <si>
    <r>
      <t>Table 1.5-1. EMISSION FACTORS FOR LPG COMBUSTION</t>
    </r>
    <r>
      <rPr>
        <vertAlign val="superscript"/>
        <sz val="8"/>
        <color theme="1"/>
        <rFont val="Arial"/>
        <family val="2"/>
      </rPr>
      <t>a</t>
    </r>
    <r>
      <rPr>
        <sz val="8"/>
        <color theme="1"/>
        <rFont val="Arial"/>
        <family val="2"/>
      </rPr>
      <t xml:space="preserve">
EMISSION FACTOR RATING: E</t>
    </r>
  </si>
  <si>
    <t>Butane Emission Factor
 (lb/10³ gal)</t>
  </si>
  <si>
    <t>Butane Emission Factor
 (kg/10³ L)</t>
  </si>
  <si>
    <t>Propane Emission Factor
 (lb/10³ gal)</t>
  </si>
  <si>
    <t>Propane Emission Factor
 (kg/10³ L)</t>
  </si>
  <si>
    <r>
      <t>Industrial Boilers</t>
    </r>
    <r>
      <rPr>
        <vertAlign val="superscript"/>
        <sz val="8"/>
        <color theme="1"/>
        <rFont val="Arial"/>
        <family val="2"/>
      </rPr>
      <t>b</t>
    </r>
  </si>
  <si>
    <r>
      <t>Commercial Boilers</t>
    </r>
    <r>
      <rPr>
        <vertAlign val="superscript"/>
        <sz val="8"/>
        <color theme="1"/>
        <rFont val="Arial"/>
        <family val="2"/>
      </rPr>
      <t>c</t>
    </r>
  </si>
  <si>
    <t>PM, Total</t>
  </si>
  <si>
    <r>
      <t>SO</t>
    </r>
    <r>
      <rPr>
        <b/>
        <vertAlign val="subscript"/>
        <sz val="8"/>
        <color theme="1"/>
        <rFont val="Arial"/>
        <family val="2"/>
      </rPr>
      <t>2</t>
    </r>
    <r>
      <rPr>
        <b/>
        <vertAlign val="superscript"/>
        <sz val="8"/>
        <color theme="1"/>
        <rFont val="Arial"/>
        <family val="2"/>
      </rPr>
      <t>e</t>
    </r>
  </si>
  <si>
    <t>0,09S</t>
  </si>
  <si>
    <t>0,09S x 0,12</t>
  </si>
  <si>
    <t>0,1S</t>
  </si>
  <si>
    <t>0,1S x 0,12</t>
  </si>
  <si>
    <r>
      <t>NOx</t>
    </r>
    <r>
      <rPr>
        <b/>
        <vertAlign val="superscript"/>
        <sz val="8"/>
        <color theme="1"/>
        <rFont val="Arial"/>
        <family val="2"/>
      </rPr>
      <t>f</t>
    </r>
  </si>
  <si>
    <t>TOC</t>
  </si>
  <si>
    <r>
      <rPr>
        <vertAlign val="superscript"/>
        <sz val="8"/>
        <color theme="1"/>
        <rFont val="Arial"/>
        <family val="2"/>
      </rPr>
      <t>a</t>
    </r>
    <r>
      <rPr>
        <sz val="8"/>
        <color theme="1"/>
        <rFont val="Arial"/>
        <family val="2"/>
      </rPr>
      <t xml:space="preserve"> Assumes PM, CO, and TOC emissions are the same, on a heat input basis, as for natural gas combustion. Use heat contents of 91.5 x 106 Btu/103 gallon for propane, 102 x 106 Btu/103 gallon for butane, 1020 x 106 Btu/106 scf for methane when calculating an equivalent heat input basis. For example, the equation for converting from methane’s emissions factors to propane’s emissions factors is as follows: lb pollutant/103 gallons of propane = (lb pollutant /106 ft3 methane) * (91.5 x 106 Btu/103 gallons of propane) / (1020 x 106 Btu/106 scf of methane). The NOx emission factors have been multiplied by a correction factor of 1.5, which is the approximate ratio of propane/butane NOx emissions to natural gas NOx emissions. To convert from lb/103 gal to kg/103 L, multiply by 0.12. SCC = Source Classification Code</t>
    </r>
  </si>
  <si>
    <r>
      <rPr>
        <vertAlign val="superscript"/>
        <sz val="8"/>
        <color theme="1"/>
        <rFont val="Arial"/>
        <family val="2"/>
      </rPr>
      <t>b</t>
    </r>
    <r>
      <rPr>
        <sz val="8"/>
        <color theme="1"/>
        <rFont val="Arial"/>
        <family val="2"/>
      </rPr>
      <t xml:space="preserve"> Heat input capacities generally between 10 and 100 million Btu/hour</t>
    </r>
  </si>
  <si>
    <r>
      <rPr>
        <vertAlign val="superscript"/>
        <sz val="8"/>
        <color theme="1"/>
        <rFont val="Arial"/>
        <family val="2"/>
      </rPr>
      <t>c</t>
    </r>
    <r>
      <rPr>
        <sz val="8"/>
        <color theme="1"/>
        <rFont val="Arial"/>
        <family val="2"/>
      </rPr>
      <t xml:space="preserve"> Heat input capacities generally between 0.3 and 10 million Btu/hour</t>
    </r>
  </si>
  <si>
    <r>
      <rPr>
        <vertAlign val="superscript"/>
        <sz val="8"/>
        <color theme="1"/>
        <rFont val="Arial"/>
        <family val="2"/>
      </rPr>
      <t>d</t>
    </r>
    <r>
      <rPr>
        <sz val="8"/>
        <color theme="1"/>
        <rFont val="Arial"/>
        <family val="2"/>
      </rPr>
      <t xml:space="preserve"> Filterable particulate matter (PM) is that PM collected on or prior to the filter of an EPA Method 5 (or equivalent) sampling train. For natural gas, a fuel with similar combustion characteristics, all PM is less than 10 :m in aerodynamic equivalent diameter (PM-10)</t>
    </r>
  </si>
  <si>
    <r>
      <rPr>
        <vertAlign val="superscript"/>
        <sz val="8"/>
        <color theme="1"/>
        <rFont val="Arial"/>
        <family val="2"/>
      </rPr>
      <t>e</t>
    </r>
    <r>
      <rPr>
        <sz val="8"/>
        <color theme="1"/>
        <rFont val="Arial"/>
        <family val="2"/>
      </rPr>
      <t xml:space="preserve"> S equals the sulfur content expressed in gr/100 ft3 gas vapor. For example, if the butane sulfur content is 0.18 gr/100 ft3 , the emission factor would be (0.09 x 0.18) = 0.016 lb of SO2/103 gal butane burned.</t>
    </r>
  </si>
  <si>
    <r>
      <rPr>
        <vertAlign val="superscript"/>
        <sz val="8"/>
        <color theme="1"/>
        <rFont val="Arial"/>
        <family val="2"/>
      </rPr>
      <t xml:space="preserve">f </t>
    </r>
    <r>
      <rPr>
        <sz val="8"/>
        <color theme="1"/>
        <rFont val="Arial"/>
        <family val="2"/>
      </rPr>
      <t xml:space="preserve"> Expressed as NO2</t>
    </r>
  </si>
  <si>
    <r>
      <rPr>
        <vertAlign val="superscript"/>
        <sz val="8"/>
        <color theme="1"/>
        <rFont val="Arial"/>
        <family val="2"/>
      </rPr>
      <t>g</t>
    </r>
    <r>
      <rPr>
        <sz val="8"/>
        <color theme="1"/>
        <rFont val="Arial"/>
        <family val="2"/>
      </rPr>
      <t xml:space="preserve"> Reference 12</t>
    </r>
  </si>
  <si>
    <r>
      <rPr>
        <vertAlign val="superscript"/>
        <sz val="8"/>
        <color theme="1"/>
        <rFont val="Arial"/>
        <family val="2"/>
      </rPr>
      <t xml:space="preserve">h </t>
    </r>
    <r>
      <rPr>
        <sz val="8"/>
        <color theme="1"/>
        <rFont val="Arial"/>
        <family val="2"/>
      </rPr>
      <t>Assuming 99.5% conversion of fuel carbon to CO</t>
    </r>
  </si>
  <si>
    <r>
      <rPr>
        <vertAlign val="superscript"/>
        <sz val="8"/>
        <color theme="1"/>
        <rFont val="Arial"/>
        <family val="2"/>
      </rPr>
      <t xml:space="preserve">j </t>
    </r>
    <r>
      <rPr>
        <sz val="8"/>
        <color theme="1"/>
        <rFont val="Arial"/>
        <family val="2"/>
      </rPr>
      <t>EMISSION FACTOR RATING = C</t>
    </r>
  </si>
  <si>
    <r>
      <rPr>
        <vertAlign val="superscript"/>
        <sz val="8"/>
        <color theme="1"/>
        <rFont val="Arial"/>
        <family val="2"/>
      </rPr>
      <t>k</t>
    </r>
    <r>
      <rPr>
        <sz val="8"/>
        <color theme="1"/>
        <rFont val="Arial"/>
        <family val="2"/>
      </rPr>
      <t xml:space="preserve"> Reference 13</t>
    </r>
  </si>
  <si>
    <t>Densidade do GLP (t/m³)</t>
  </si>
  <si>
    <t>Teor de Enxofre do GLP (mg/kg)</t>
  </si>
  <si>
    <t>Teor de Enxofre do GLP  (g/100 ft³)</t>
  </si>
  <si>
    <t>Consumo de GLP [kg/mês]</t>
  </si>
  <si>
    <r>
      <rPr>
        <vertAlign val="superscript"/>
        <sz val="8"/>
        <color theme="1"/>
        <rFont val="Arial"/>
        <family val="2"/>
      </rPr>
      <t xml:space="preserve"> a</t>
    </r>
    <r>
      <rPr>
        <sz val="8"/>
        <color theme="1"/>
        <rFont val="Arial"/>
        <family val="2"/>
      </rPr>
      <t xml:space="preserve"> For facilities using raw material with a sulfur content greater than 0.07 percent. The variable S represents the raw material sulfur content (percent). For facilities using raw material with a sulfur content less than or equal to 0.07 percent, use 9.5 S lb/ton to estimate emissions. Emissions of SO</t>
    </r>
    <r>
      <rPr>
        <vertAlign val="sub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are dependent on the sulfur content of the raw material and the fuel used to fire the kiln.</t>
    </r>
  </si>
  <si>
    <t>Cálculo do percentual de enxofre no Gás Natural</t>
  </si>
  <si>
    <t>[kg/m³]</t>
  </si>
  <si>
    <t>%</t>
  </si>
  <si>
    <t>Teor de Enxofre em Percentual</t>
  </si>
  <si>
    <t>Teor de Enxofre (ANP,2008)</t>
  </si>
  <si>
    <t>mg/m³</t>
  </si>
  <si>
    <r>
      <t>Fator de Emissão Cerâmica [kg/t] / GN [kg/10</t>
    </r>
    <r>
      <rPr>
        <b/>
        <vertAlign val="superscript"/>
        <sz val="8"/>
        <color theme="0"/>
        <rFont val="Arial"/>
        <family val="2"/>
      </rPr>
      <t>6</t>
    </r>
    <r>
      <rPr>
        <b/>
        <sz val="8"/>
        <color theme="0"/>
        <rFont val="Arial"/>
        <family val="2"/>
      </rPr>
      <t>m³]</t>
    </r>
  </si>
  <si>
    <t>Fonte: USEPA (2004) https://www3.epa.gov/ttn/chief/ap42/ch11/final/c11s1902.pdf</t>
  </si>
  <si>
    <t>AP42 - 11.19.2  Crushed Stone Processing and Pulverized Mineral Processing</t>
  </si>
  <si>
    <t xml:space="preserve"> Table 11.19.2-1 Emission Factors for Crushed Stone Processing Operations (kg/Mg)</t>
  </si>
  <si>
    <r>
      <t>PM</t>
    </r>
    <r>
      <rPr>
        <vertAlign val="subscript"/>
        <sz val="8"/>
        <color theme="1"/>
        <rFont val="Arial"/>
        <family val="2"/>
      </rPr>
      <t>10</t>
    </r>
  </si>
  <si>
    <r>
      <t>PM</t>
    </r>
    <r>
      <rPr>
        <vertAlign val="subscript"/>
        <sz val="8"/>
        <color theme="1"/>
        <rFont val="Arial"/>
        <family val="2"/>
      </rPr>
      <t>2.5</t>
    </r>
  </si>
  <si>
    <t xml:space="preserve">Tertiary Crushing </t>
  </si>
  <si>
    <t>ND</t>
  </si>
  <si>
    <t>Fontes Pontuais</t>
  </si>
  <si>
    <t>Transferências</t>
  </si>
  <si>
    <t>Britador</t>
  </si>
  <si>
    <t>Máquinas e Equipamentos</t>
  </si>
  <si>
    <t>(lb/ton)</t>
  </si>
  <si>
    <t>(kg/t)</t>
  </si>
  <si>
    <r>
      <t>NO</t>
    </r>
    <r>
      <rPr>
        <vertAlign val="subscript"/>
        <sz val="8"/>
        <color theme="1"/>
        <rFont val="Arial"/>
        <family val="2"/>
      </rPr>
      <t>X</t>
    </r>
    <r>
      <rPr>
        <sz val="8"/>
        <color theme="1"/>
        <rFont val="Arial"/>
        <family val="2"/>
      </rPr>
      <t xml:space="preserve"> </t>
    </r>
  </si>
  <si>
    <t xml:space="preserve">CO </t>
  </si>
  <si>
    <t>Concentração
 [mg/m³]</t>
  </si>
  <si>
    <t>Tertiary Crushing (Controlled)</t>
  </si>
  <si>
    <t>Screening</t>
  </si>
  <si>
    <t>Screnning (Controlled)</t>
  </si>
  <si>
    <t>Pilhas</t>
  </si>
  <si>
    <t>Fator de Emissão Pá carregadeira [kg/h] / Empilhadeira [kg/10³ L]</t>
  </si>
  <si>
    <t>Eficiência de Controle [%]</t>
  </si>
  <si>
    <t>Fonte: Informações fornecidos pelo empreendimento através do Ofício N° 038/2017</t>
  </si>
  <si>
    <t>Vazão [Nm³/h]</t>
  </si>
  <si>
    <t>TOTAL</t>
  </si>
  <si>
    <t>Quantidade Movimentada [t/h]</t>
  </si>
  <si>
    <t>Umidade do Material [%]</t>
  </si>
  <si>
    <r>
      <t>PM</t>
    </r>
    <r>
      <rPr>
        <b/>
        <vertAlign val="subscript"/>
        <sz val="8"/>
        <color theme="0"/>
        <rFont val="Arial"/>
        <family val="2"/>
      </rPr>
      <t>2.5</t>
    </r>
  </si>
  <si>
    <t>Consumo de Combustível [L/h]</t>
  </si>
  <si>
    <r>
      <t>PM</t>
    </r>
    <r>
      <rPr>
        <vertAlign val="subscript"/>
        <sz val="8"/>
        <color theme="0"/>
        <rFont val="Arial"/>
        <family val="2"/>
      </rPr>
      <t>10</t>
    </r>
  </si>
  <si>
    <t>Latitude [º]</t>
  </si>
  <si>
    <t>Longitude [º]</t>
  </si>
  <si>
    <t>Vazão [t/h]</t>
  </si>
  <si>
    <t>Nota: "Pilhas" foi calculada na Planilha: Erosão Eólica_Flat_Roca Brasil</t>
  </si>
  <si>
    <r>
      <t>Não foram utilizados os valores medidos por falta da vazão e da taxa de emissão de NO</t>
    </r>
    <r>
      <rPr>
        <vertAlign val="subscript"/>
        <sz val="8"/>
        <color theme="1"/>
        <rFont val="Arial"/>
        <family val="2"/>
      </rPr>
      <t>X</t>
    </r>
  </si>
  <si>
    <t>Empresa que realizou o monitoramento CIMAA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</si>
</sst>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-* #,##0.00_-;\-* #,##0.00_-;_-* &quot;-&quot;??_-;_-@_-"/>
    <numFmt numFmtId="164" formatCode="0.000"/>
    <numFmt numFmtId="165" formatCode="0.0000"/>
    <numFmt numFmtId="166" formatCode="#,##0.0"/>
    <numFmt numFmtId="167" formatCode="#,##0.000"/>
    <numFmt numFmtId="168" formatCode="0.0"/>
    <numFmt numFmtId="169" formatCode="0.000000"/>
    <numFmt numFmtId="170" formatCode="#,##0.00000"/>
    <numFmt numFmtId="171" formatCode="#,##0.000000"/>
    <numFmt numFmtId="172" formatCode="0.00000"/>
    <numFmt numFmtId="173" formatCode="[&gt;=0.005]\ #,##0.00;[&lt;0.005]&quot;&lt;0,01&quot;"/>
  </numFmts>
  <fonts count="26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u/>
      <sz val="11"/>
      <color theme="10"/>
      <name val="Calibri"/>
      <family val="2"/>
      <scheme val="minor"/>
    </font>
    <font>
      <vertAlign val="superscript"/>
      <sz val="8"/>
      <color theme="1"/>
      <name val="Arial"/>
      <family val="2"/>
    </font>
    <font>
      <u/>
      <sz val="8"/>
      <color theme="10"/>
      <name val="Arial"/>
      <family val="2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8"/>
      <color theme="1"/>
      <name val="Calibri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b/>
      <vertAlign val="subscript"/>
      <sz val="8"/>
      <color theme="0"/>
      <name val="Arial"/>
      <family val="2"/>
    </font>
    <font>
      <b/>
      <vertAlign val="superscript"/>
      <sz val="8"/>
      <color theme="0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vertAlign val="superscript"/>
      <sz val="8"/>
      <name val="Arial"/>
      <family val="2"/>
    </font>
    <font>
      <sz val="9"/>
      <color indexed="81"/>
      <name val="Tahoma"/>
      <family val="2"/>
    </font>
    <font>
      <b/>
      <i/>
      <sz val="8"/>
      <color theme="1"/>
      <name val="Arial"/>
      <family val="2"/>
    </font>
    <font>
      <vertAlign val="subscript"/>
      <sz val="8"/>
      <color theme="0"/>
      <name val="Arial"/>
      <family val="2"/>
    </font>
    <font>
      <b/>
      <vertAlign val="sub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8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theme="6" tint="0.79998168889431442"/>
        <bgColor indexed="64"/>
      </patternFill>
    </fill>
  </fills>
  <borders count="6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 style="thin">
        <color theme="0" tint="-0.14996795556505021"/>
      </top>
      <bottom style="thin">
        <color rgb="FFD9D9D9"/>
      </bottom>
      <diagonal/>
    </border>
    <border>
      <left/>
      <right/>
      <top style="thin">
        <color theme="0" tint="-0.14996795556505021"/>
      </top>
      <bottom style="thin">
        <color rgb="FFD9D9D9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rgb="FFD9D9D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rgb="FFBFBFB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/>
      <right style="thin">
        <color rgb="FFD9D9D9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/>
      </left>
      <right/>
      <top/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/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rgb="FFDEDAC4"/>
      </left>
      <right style="thin">
        <color rgb="FFDEDAC4"/>
      </right>
      <top style="thin">
        <color rgb="FFDEDAC4"/>
      </top>
      <bottom style="thin">
        <color rgb="FFDEDAC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</cellStyleXfs>
  <cellXfs count="29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1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/>
    </xf>
    <xf numFmtId="4" fontId="3" fillId="0" borderId="9" xfId="2" applyNumberFormat="1" applyFont="1" applyBorder="1" applyAlignment="1">
      <alignment horizontal="center"/>
    </xf>
    <xf numFmtId="4" fontId="3" fillId="0" borderId="9" xfId="2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4" fontId="3" fillId="0" borderId="0" xfId="2" applyNumberFormat="1" applyFont="1" applyBorder="1" applyAlignment="1">
      <alignment horizontal="center"/>
    </xf>
    <xf numFmtId="164" fontId="3" fillId="0" borderId="0" xfId="0" applyNumberFormat="1" applyFont="1"/>
    <xf numFmtId="0" fontId="1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16" xfId="0" applyFont="1" applyFill="1" applyBorder="1" applyAlignment="1">
      <alignment horizontal="left" vertical="center"/>
    </xf>
    <xf numFmtId="0" fontId="13" fillId="0" borderId="16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166" fontId="13" fillId="4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1" fontId="13" fillId="4" borderId="1" xfId="0" applyNumberFormat="1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166" fontId="3" fillId="4" borderId="1" xfId="0" applyNumberFormat="1" applyFont="1" applyFill="1" applyBorder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4" fontId="13" fillId="0" borderId="0" xfId="0" applyNumberFormat="1" applyFont="1" applyAlignment="1">
      <alignment horizontal="center" vertical="center"/>
    </xf>
    <xf numFmtId="3" fontId="13" fillId="0" borderId="0" xfId="0" applyNumberFormat="1" applyFont="1" applyAlignment="1">
      <alignment horizontal="center" vertical="center"/>
    </xf>
    <xf numFmtId="16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3" fontId="13" fillId="0" borderId="0" xfId="0" applyNumberFormat="1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164" fontId="13" fillId="0" borderId="17" xfId="0" applyNumberFormat="1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7" fillId="2" borderId="29" xfId="0" applyFont="1" applyFill="1" applyBorder="1" applyAlignment="1">
      <alignment horizontal="center" vertical="center"/>
    </xf>
    <xf numFmtId="2" fontId="17" fillId="2" borderId="29" xfId="0" applyNumberFormat="1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165" fontId="3" fillId="0" borderId="0" xfId="0" applyNumberFormat="1" applyFont="1" applyFill="1" applyAlignment="1">
      <alignment horizontal="center" vertical="center"/>
    </xf>
    <xf numFmtId="0" fontId="13" fillId="5" borderId="38" xfId="0" applyFont="1" applyFill="1" applyBorder="1" applyAlignment="1">
      <alignment vertical="center"/>
    </xf>
    <xf numFmtId="0" fontId="13" fillId="5" borderId="38" xfId="0" applyFont="1" applyFill="1" applyBorder="1" applyAlignment="1">
      <alignment horizontal="center" vertical="center"/>
    </xf>
    <xf numFmtId="165" fontId="13" fillId="5" borderId="38" xfId="0" applyNumberFormat="1" applyFont="1" applyFill="1" applyBorder="1" applyAlignment="1">
      <alignment horizontal="center" vertical="center"/>
    </xf>
    <xf numFmtId="165" fontId="13" fillId="0" borderId="29" xfId="0" applyNumberFormat="1" applyFont="1" applyFill="1" applyBorder="1" applyAlignment="1">
      <alignment horizontal="center" vertical="center"/>
    </xf>
    <xf numFmtId="168" fontId="13" fillId="0" borderId="29" xfId="0" applyNumberFormat="1" applyFont="1" applyFill="1" applyBorder="1" applyAlignment="1">
      <alignment horizontal="center" vertical="center"/>
    </xf>
    <xf numFmtId="1" fontId="13" fillId="0" borderId="29" xfId="0" applyNumberFormat="1" applyFont="1" applyFill="1" applyBorder="1" applyAlignment="1">
      <alignment horizontal="center" vertical="center"/>
    </xf>
    <xf numFmtId="1" fontId="13" fillId="0" borderId="16" xfId="0" applyNumberFormat="1" applyFont="1" applyFill="1" applyBorder="1" applyAlignment="1">
      <alignment horizontal="center" vertical="center"/>
    </xf>
    <xf numFmtId="0" fontId="13" fillId="0" borderId="40" xfId="0" applyFont="1" applyFill="1" applyBorder="1" applyAlignment="1">
      <alignment horizontal="left" vertical="center"/>
    </xf>
    <xf numFmtId="0" fontId="13" fillId="0" borderId="40" xfId="0" applyFont="1" applyFill="1" applyBorder="1" applyAlignment="1">
      <alignment horizontal="center" vertical="center"/>
    </xf>
    <xf numFmtId="1" fontId="13" fillId="0" borderId="40" xfId="0" applyNumberFormat="1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165" fontId="13" fillId="0" borderId="26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3" fontId="13" fillId="0" borderId="0" xfId="0" applyNumberFormat="1" applyFont="1" applyFill="1" applyAlignment="1">
      <alignment horizontal="center" vertical="center"/>
    </xf>
    <xf numFmtId="168" fontId="13" fillId="0" borderId="0" xfId="0" applyNumberFormat="1" applyFont="1" applyFill="1" applyAlignment="1">
      <alignment horizontal="center" vertical="center"/>
    </xf>
    <xf numFmtId="164" fontId="13" fillId="0" borderId="0" xfId="0" applyNumberFormat="1" applyFont="1" applyFill="1" applyAlignment="1">
      <alignment horizontal="center" vertical="center"/>
    </xf>
    <xf numFmtId="168" fontId="3" fillId="0" borderId="0" xfId="0" applyNumberFormat="1" applyFont="1" applyAlignment="1">
      <alignment vertical="center"/>
    </xf>
    <xf numFmtId="0" fontId="14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horizontal="center" vertical="center"/>
    </xf>
    <xf numFmtId="4" fontId="3" fillId="0" borderId="0" xfId="0" applyNumberFormat="1" applyFont="1" applyBorder="1" applyAlignment="1" applyProtection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165" fontId="13" fillId="0" borderId="3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4" fontId="3" fillId="0" borderId="0" xfId="0" applyNumberFormat="1" applyFont="1" applyFill="1" applyBorder="1" applyAlignment="1">
      <alignment vertical="center"/>
    </xf>
    <xf numFmtId="2" fontId="13" fillId="0" borderId="0" xfId="0" applyNumberFormat="1" applyFont="1" applyFill="1" applyBorder="1" applyAlignment="1">
      <alignment horizontal="center" vertical="center" wrapText="1"/>
    </xf>
    <xf numFmtId="164" fontId="13" fillId="0" borderId="0" xfId="0" applyNumberFormat="1" applyFont="1" applyFill="1" applyBorder="1" applyAlignment="1">
      <alignment horizontal="center" vertical="center" wrapText="1"/>
    </xf>
    <xf numFmtId="165" fontId="13" fillId="0" borderId="0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1" fontId="13" fillId="0" borderId="0" xfId="0" applyNumberFormat="1" applyFont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166" fontId="13" fillId="7" borderId="0" xfId="0" applyNumberFormat="1" applyFont="1" applyFill="1" applyAlignment="1">
      <alignment horizontal="center" vertical="center"/>
    </xf>
    <xf numFmtId="3" fontId="13" fillId="7" borderId="0" xfId="0" applyNumberFormat="1" applyFont="1" applyFill="1" applyAlignment="1">
      <alignment horizontal="center" vertical="center"/>
    </xf>
    <xf numFmtId="1" fontId="13" fillId="7" borderId="0" xfId="0" applyNumberFormat="1" applyFont="1" applyFill="1" applyAlignment="1">
      <alignment horizontal="center" vertical="center"/>
    </xf>
    <xf numFmtId="4" fontId="13" fillId="2" borderId="0" xfId="0" applyNumberFormat="1" applyFont="1" applyFill="1" applyAlignment="1">
      <alignment horizontal="center" vertical="center"/>
    </xf>
    <xf numFmtId="2" fontId="13" fillId="2" borderId="0" xfId="0" applyNumberFormat="1" applyFont="1" applyFill="1" applyAlignment="1">
      <alignment horizontal="center" vertical="center"/>
    </xf>
    <xf numFmtId="0" fontId="13" fillId="0" borderId="17" xfId="0" applyFont="1" applyBorder="1" applyAlignment="1">
      <alignment vertical="center"/>
    </xf>
    <xf numFmtId="2" fontId="13" fillId="0" borderId="17" xfId="0" applyNumberFormat="1" applyFont="1" applyBorder="1" applyAlignment="1">
      <alignment horizontal="center" vertical="center"/>
    </xf>
    <xf numFmtId="165" fontId="13" fillId="0" borderId="17" xfId="0" applyNumberFormat="1" applyFont="1" applyBorder="1" applyAlignment="1">
      <alignment horizontal="center" vertical="center"/>
    </xf>
    <xf numFmtId="165" fontId="13" fillId="0" borderId="0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4" fontId="13" fillId="0" borderId="0" xfId="0" applyNumberFormat="1" applyFont="1" applyAlignment="1">
      <alignment vertical="center"/>
    </xf>
    <xf numFmtId="3" fontId="13" fillId="0" borderId="0" xfId="0" applyNumberFormat="1" applyFont="1" applyAlignment="1">
      <alignment horizontal="left" vertical="center"/>
    </xf>
    <xf numFmtId="166" fontId="13" fillId="0" borderId="0" xfId="0" applyNumberFormat="1" applyFont="1" applyAlignment="1">
      <alignment horizontal="center" vertical="center"/>
    </xf>
    <xf numFmtId="171" fontId="13" fillId="0" borderId="17" xfId="0" applyNumberFormat="1" applyFont="1" applyBorder="1" applyAlignment="1">
      <alignment horizontal="center" vertical="center" wrapText="1"/>
    </xf>
    <xf numFmtId="171" fontId="13" fillId="0" borderId="0" xfId="0" applyNumberFormat="1" applyFont="1" applyFill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4" fillId="3" borderId="29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171" fontId="13" fillId="0" borderId="26" xfId="0" applyNumberFormat="1" applyFont="1" applyBorder="1" applyAlignment="1">
      <alignment horizontal="center" vertical="center" wrapText="1"/>
    </xf>
    <xf numFmtId="165" fontId="13" fillId="0" borderId="17" xfId="0" applyNumberFormat="1" applyFont="1" applyFill="1" applyBorder="1" applyAlignment="1">
      <alignment horizontal="center" vertical="center"/>
    </xf>
    <xf numFmtId="4" fontId="13" fillId="0" borderId="16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9" xfId="0" applyFont="1" applyFill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3" fillId="0" borderId="0" xfId="0" applyNumberFormat="1" applyFont="1"/>
    <xf numFmtId="172" fontId="13" fillId="0" borderId="17" xfId="0" applyNumberFormat="1" applyFont="1" applyBorder="1" applyAlignment="1">
      <alignment horizontal="center" vertical="center"/>
    </xf>
    <xf numFmtId="172" fontId="13" fillId="0" borderId="0" xfId="0" applyNumberFormat="1" applyFont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4" borderId="1" xfId="0" applyFont="1" applyFill="1" applyBorder="1" applyAlignment="1"/>
    <xf numFmtId="0" fontId="3" fillId="0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 wrapText="1"/>
    </xf>
    <xf numFmtId="167" fontId="13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73" fontId="3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" fontId="13" fillId="2" borderId="18" xfId="0" applyNumberFormat="1" applyFont="1" applyFill="1" applyBorder="1" applyAlignment="1">
      <alignment horizontal="center" vertical="center"/>
    </xf>
    <xf numFmtId="165" fontId="13" fillId="2" borderId="1" xfId="0" applyNumberFormat="1" applyFont="1" applyFill="1" applyBorder="1" applyAlignment="1">
      <alignment horizontal="center" vertical="center" wrapText="1"/>
    </xf>
    <xf numFmtId="168" fontId="3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167" fontId="13" fillId="2" borderId="18" xfId="0" applyNumberFormat="1" applyFont="1" applyFill="1" applyBorder="1" applyAlignment="1">
      <alignment horizontal="center" vertical="center"/>
    </xf>
    <xf numFmtId="170" fontId="3" fillId="0" borderId="17" xfId="0" applyNumberFormat="1" applyFont="1" applyFill="1" applyBorder="1" applyAlignment="1">
      <alignment horizontal="center" vertical="center"/>
    </xf>
    <xf numFmtId="167" fontId="3" fillId="0" borderId="17" xfId="0" applyNumberFormat="1" applyFont="1" applyFill="1" applyBorder="1" applyAlignment="1">
      <alignment horizontal="center" vertical="center"/>
    </xf>
    <xf numFmtId="0" fontId="14" fillId="3" borderId="4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173" fontId="13" fillId="2" borderId="18" xfId="0" applyNumberFormat="1" applyFont="1" applyFill="1" applyBorder="1" applyAlignment="1">
      <alignment horizontal="center" vertical="center"/>
    </xf>
    <xf numFmtId="173" fontId="3" fillId="2" borderId="1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61" xfId="0" applyFont="1" applyFill="1" applyBorder="1" applyAlignment="1">
      <alignment horizontal="left" vertical="center"/>
    </xf>
    <xf numFmtId="43" fontId="3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8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/>
    </xf>
    <xf numFmtId="0" fontId="13" fillId="4" borderId="25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wrapText="1"/>
    </xf>
    <xf numFmtId="0" fontId="3" fillId="0" borderId="0" xfId="0" applyFont="1" applyFill="1" applyBorder="1" applyAlignment="1">
      <alignment horizontal="left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/>
    </xf>
    <xf numFmtId="0" fontId="17" fillId="2" borderId="34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center"/>
    </xf>
    <xf numFmtId="0" fontId="17" fillId="2" borderId="32" xfId="0" applyFont="1" applyFill="1" applyBorder="1" applyAlignment="1">
      <alignment horizontal="center" vertical="center"/>
    </xf>
    <xf numFmtId="0" fontId="17" fillId="2" borderId="33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left" vertical="center"/>
    </xf>
    <xf numFmtId="0" fontId="13" fillId="0" borderId="36" xfId="0" applyFont="1" applyFill="1" applyBorder="1" applyAlignment="1">
      <alignment horizontal="left" vertical="center"/>
    </xf>
    <xf numFmtId="0" fontId="13" fillId="0" borderId="37" xfId="0" applyFont="1" applyFill="1" applyBorder="1" applyAlignment="1">
      <alignment horizontal="left" vertical="center"/>
    </xf>
    <xf numFmtId="0" fontId="21" fillId="4" borderId="2" xfId="0" applyFont="1" applyFill="1" applyBorder="1" applyAlignment="1">
      <alignment horizontal="center" vertical="center"/>
    </xf>
    <xf numFmtId="0" fontId="21" fillId="4" borderId="13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13" fillId="0" borderId="35" xfId="0" applyFont="1" applyFill="1" applyBorder="1" applyAlignment="1">
      <alignment horizontal="center" vertical="center"/>
    </xf>
    <xf numFmtId="0" fontId="13" fillId="0" borderId="36" xfId="0" applyFont="1" applyFill="1" applyBorder="1" applyAlignment="1">
      <alignment horizontal="center" vertical="center"/>
    </xf>
    <xf numFmtId="0" fontId="13" fillId="0" borderId="39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/>
    </xf>
    <xf numFmtId="4" fontId="13" fillId="2" borderId="19" xfId="0" applyNumberFormat="1" applyFont="1" applyFill="1" applyBorder="1" applyAlignment="1">
      <alignment horizontal="center" vertical="center"/>
    </xf>
    <xf numFmtId="4" fontId="13" fillId="2" borderId="20" xfId="0" applyNumberFormat="1" applyFont="1" applyFill="1" applyBorder="1" applyAlignment="1">
      <alignment horizontal="center" vertical="center"/>
    </xf>
    <xf numFmtId="4" fontId="13" fillId="2" borderId="21" xfId="0" applyNumberFormat="1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 wrapText="1"/>
    </xf>
    <xf numFmtId="0" fontId="14" fillId="3" borderId="52" xfId="0" applyFont="1" applyFill="1" applyBorder="1" applyAlignment="1">
      <alignment horizontal="center" vertical="center" wrapText="1"/>
    </xf>
    <xf numFmtId="0" fontId="14" fillId="3" borderId="53" xfId="0" applyFont="1" applyFill="1" applyBorder="1" applyAlignment="1">
      <alignment horizontal="center" vertical="center" wrapText="1"/>
    </xf>
    <xf numFmtId="0" fontId="14" fillId="3" borderId="54" xfId="0" applyFont="1" applyFill="1" applyBorder="1" applyAlignment="1">
      <alignment horizontal="center" vertical="center" wrapText="1"/>
    </xf>
    <xf numFmtId="0" fontId="14" fillId="3" borderId="60" xfId="0" applyNumberFormat="1" applyFont="1" applyFill="1" applyBorder="1" applyAlignment="1" applyProtection="1">
      <alignment horizontal="center" vertical="center" wrapText="1"/>
    </xf>
    <xf numFmtId="0" fontId="14" fillId="3" borderId="1" xfId="0" applyNumberFormat="1" applyFont="1" applyFill="1" applyBorder="1" applyAlignment="1" applyProtection="1">
      <alignment horizontal="center" vertical="center" wrapText="1"/>
    </xf>
    <xf numFmtId="0" fontId="14" fillId="3" borderId="2" xfId="0" applyNumberFormat="1" applyFont="1" applyFill="1" applyBorder="1" applyAlignment="1" applyProtection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4" borderId="47" xfId="0" applyFont="1" applyFill="1" applyBorder="1" applyAlignment="1">
      <alignment horizontal="center"/>
    </xf>
    <xf numFmtId="0" fontId="3" fillId="4" borderId="48" xfId="0" applyFont="1" applyFill="1" applyBorder="1" applyAlignment="1">
      <alignment horizontal="center"/>
    </xf>
    <xf numFmtId="0" fontId="3" fillId="4" borderId="49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50" xfId="0" applyFont="1" applyFill="1" applyBorder="1" applyAlignment="1">
      <alignment horizontal="center"/>
    </xf>
    <xf numFmtId="0" fontId="3" fillId="4" borderId="41" xfId="0" applyFont="1" applyFill="1" applyBorder="1" applyAlignment="1">
      <alignment horizontal="center"/>
    </xf>
    <xf numFmtId="0" fontId="3" fillId="4" borderId="42" xfId="0" applyFont="1" applyFill="1" applyBorder="1" applyAlignment="1">
      <alignment horizontal="center"/>
    </xf>
    <xf numFmtId="0" fontId="3" fillId="4" borderId="43" xfId="0" applyFont="1" applyFill="1" applyBorder="1" applyAlignment="1">
      <alignment horizontal="center"/>
    </xf>
    <xf numFmtId="0" fontId="3" fillId="0" borderId="47" xfId="0" applyFont="1" applyFill="1" applyBorder="1" applyAlignment="1">
      <alignment horizontal="left" vertical="center" wrapText="1"/>
    </xf>
    <xf numFmtId="0" fontId="3" fillId="0" borderId="48" xfId="0" applyFont="1" applyFill="1" applyBorder="1" applyAlignment="1">
      <alignment horizontal="left" vertical="center" wrapText="1"/>
    </xf>
    <xf numFmtId="0" fontId="3" fillId="0" borderId="49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50" xfId="0" applyFont="1" applyFill="1" applyBorder="1" applyAlignment="1">
      <alignment horizontal="left" vertical="center" wrapText="1"/>
    </xf>
    <xf numFmtId="0" fontId="3" fillId="0" borderId="41" xfId="0" applyFont="1" applyFill="1" applyBorder="1" applyAlignment="1">
      <alignment horizontal="left" vertical="center" wrapText="1"/>
    </xf>
    <xf numFmtId="0" fontId="3" fillId="0" borderId="42" xfId="0" applyFont="1" applyFill="1" applyBorder="1" applyAlignment="1">
      <alignment horizontal="left" vertical="center" wrapText="1"/>
    </xf>
    <xf numFmtId="0" fontId="3" fillId="0" borderId="43" xfId="0" applyFont="1" applyFill="1" applyBorder="1" applyAlignment="1">
      <alignment horizontal="left" vertical="center" wrapText="1"/>
    </xf>
    <xf numFmtId="2" fontId="3" fillId="2" borderId="41" xfId="0" applyNumberFormat="1" applyFont="1" applyFill="1" applyBorder="1" applyAlignment="1">
      <alignment horizontal="center" vertical="center"/>
    </xf>
    <xf numFmtId="2" fontId="3" fillId="2" borderId="42" xfId="0" applyNumberFormat="1" applyFont="1" applyFill="1" applyBorder="1" applyAlignment="1">
      <alignment horizontal="center" vertical="center"/>
    </xf>
    <xf numFmtId="2" fontId="3" fillId="2" borderId="43" xfId="0" applyNumberFormat="1" applyFont="1" applyFill="1" applyBorder="1" applyAlignment="1">
      <alignment horizontal="center" vertical="center"/>
    </xf>
    <xf numFmtId="0" fontId="14" fillId="3" borderId="44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51" xfId="0" applyFont="1" applyFill="1" applyBorder="1" applyAlignment="1">
      <alignment horizontal="center" vertical="center" wrapText="1"/>
    </xf>
    <xf numFmtId="0" fontId="14" fillId="3" borderId="31" xfId="0" applyFont="1" applyFill="1" applyBorder="1" applyAlignment="1">
      <alignment horizontal="center" vertical="center" wrapText="1"/>
    </xf>
    <xf numFmtId="0" fontId="14" fillId="3" borderId="32" xfId="0" applyFont="1" applyFill="1" applyBorder="1" applyAlignment="1">
      <alignment horizontal="center" vertical="center" wrapText="1"/>
    </xf>
    <xf numFmtId="0" fontId="14" fillId="3" borderId="55" xfId="0" applyFont="1" applyFill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14" fillId="3" borderId="29" xfId="0" applyFont="1" applyFill="1" applyBorder="1" applyAlignment="1">
      <alignment horizontal="center" vertical="center" wrapText="1"/>
    </xf>
    <xf numFmtId="0" fontId="14" fillId="3" borderId="56" xfId="0" applyNumberFormat="1" applyFont="1" applyFill="1" applyBorder="1" applyAlignment="1" applyProtection="1">
      <alignment horizontal="center" vertical="center" wrapText="1"/>
    </xf>
    <xf numFmtId="0" fontId="14" fillId="3" borderId="57" xfId="0" applyNumberFormat="1" applyFont="1" applyFill="1" applyBorder="1" applyAlignment="1" applyProtection="1">
      <alignment horizontal="center" vertical="center" wrapText="1"/>
    </xf>
    <xf numFmtId="0" fontId="14" fillId="3" borderId="34" xfId="0" applyNumberFormat="1" applyFont="1" applyFill="1" applyBorder="1" applyAlignment="1" applyProtection="1">
      <alignment horizontal="center" vertical="center" wrapText="1"/>
    </xf>
    <xf numFmtId="4" fontId="13" fillId="2" borderId="58" xfId="0" applyNumberFormat="1" applyFont="1" applyFill="1" applyBorder="1" applyAlignment="1">
      <alignment horizontal="center" vertical="center"/>
    </xf>
    <xf numFmtId="4" fontId="13" fillId="2" borderId="57" xfId="0" applyNumberFormat="1" applyFont="1" applyFill="1" applyBorder="1" applyAlignment="1">
      <alignment horizontal="center" vertical="center"/>
    </xf>
    <xf numFmtId="4" fontId="13" fillId="2" borderId="59" xfId="0" applyNumberFormat="1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45" xfId="0" applyNumberFormat="1" applyFont="1" applyFill="1" applyBorder="1" applyAlignment="1" applyProtection="1">
      <alignment horizontal="center" vertical="center" wrapText="1"/>
    </xf>
    <xf numFmtId="0" fontId="14" fillId="3" borderId="46" xfId="0" applyNumberFormat="1" applyFont="1" applyFill="1" applyBorder="1" applyAlignment="1" applyProtection="1">
      <alignment horizontal="center"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</cellXfs>
  <cellStyles count="4">
    <cellStyle name="Hiperlink" xfId="1" builtinId="8"/>
    <cellStyle name="Normal" xfId="0" builtinId="0"/>
    <cellStyle name="Normal 2" xfId="3"/>
    <cellStyle name="Vírgula" xfId="2" builtinId="3"/>
  </cellStyles>
  <dxfs count="0"/>
  <tableStyles count="0" defaultTableStyle="TableStyleMedium2" defaultPivotStyle="PivotStyleLight16"/>
  <colors>
    <mruColors>
      <color rgb="FFDCE6F1"/>
      <color rgb="FFFFE1FF"/>
      <color rgb="FFFFCCFF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14</xdr:col>
      <xdr:colOff>104775</xdr:colOff>
      <xdr:row>16</xdr:row>
      <xdr:rowOff>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6025" y="381000"/>
          <a:ext cx="6096000" cy="276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676275</xdr:colOff>
      <xdr:row>21</xdr:row>
      <xdr:rowOff>14287</xdr:rowOff>
    </xdr:from>
    <xdr:ext cx="16097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xmlns="" id="{00000000-0008-0000-0100-000002000000}"/>
                </a:ext>
              </a:extLst>
            </xdr:cNvPr>
            <xdr:cNvSpPr txBox="1"/>
          </xdr:nvSpPr>
          <xdr:spPr>
            <a:xfrm>
              <a:off x="2886075" y="5729287"/>
              <a:ext cx="16097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𝐸𝐹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100-000002000000}"/>
                </a:ext>
              </a:extLst>
            </xdr:cNvPr>
            <xdr:cNvSpPr txBox="1"/>
          </xdr:nvSpPr>
          <xdr:spPr>
            <a:xfrm>
              <a:off x="2886075" y="5729287"/>
              <a:ext cx="16097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𝐸=𝑛 𝑥 𝐻 𝑥 𝐸𝐹 </a:t>
              </a:r>
              <a:endParaRPr lang="pt-BR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34</xdr:row>
      <xdr:rowOff>28576</xdr:rowOff>
    </xdr:from>
    <xdr:to>
      <xdr:col>10</xdr:col>
      <xdr:colOff>218535</xdr:colOff>
      <xdr:row>46</xdr:row>
      <xdr:rowOff>47626</xdr:rowOff>
    </xdr:to>
    <xdr:pic>
      <xdr:nvPicPr>
        <xdr:cNvPr id="6" name="Imagem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7162801"/>
          <a:ext cx="4561935" cy="2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19050</xdr:rowOff>
    </xdr:from>
    <xdr:to>
      <xdr:col>3</xdr:col>
      <xdr:colOff>609600</xdr:colOff>
      <xdr:row>51</xdr:row>
      <xdr:rowOff>163710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775"/>
          <a:ext cx="4438650" cy="338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320386</xdr:colOff>
      <xdr:row>20</xdr:row>
      <xdr:rowOff>146771</xdr:rowOff>
    </xdr:from>
    <xdr:ext cx="1609725" cy="6739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/>
            <xdr:cNvSpPr txBox="1"/>
          </xdr:nvSpPr>
          <xdr:spPr>
            <a:xfrm>
              <a:off x="1882486" y="3118571"/>
              <a:ext cx="1609725" cy="6739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𝑘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0,0016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t-B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BR" sz="1100" b="0" i="1">
                                        <a:latin typeface="Cambria Math" panose="02040503050406030204" pitchFamily="18" charset="0"/>
                                      </a:rPr>
                                      <m:t>𝑈</m:t>
                                    </m:r>
                                  </m:num>
                                  <m:den>
                                    <m:r>
                                      <a:rPr lang="pt-BR" sz="1100" b="0" i="1">
                                        <a:latin typeface="Cambria Math" panose="02040503050406030204" pitchFamily="18" charset="0"/>
                                      </a:rPr>
                                      <m:t>2,2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1,3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t-B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BR" sz="1100" b="0" i="1">
                                        <a:latin typeface="Cambria Math" panose="02040503050406030204" pitchFamily="18" charset="0"/>
                                      </a:rPr>
                                      <m:t>𝑀</m:t>
                                    </m:r>
                                  </m:num>
                                  <m:den>
                                    <m:r>
                                      <a:rPr lang="pt-BR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1,4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/>
            <xdr:cNvSpPr txBox="1"/>
          </xdr:nvSpPr>
          <xdr:spPr>
            <a:xfrm>
              <a:off x="1882486" y="3118571"/>
              <a:ext cx="1609725" cy="6739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𝐸=𝑘(0,0016)   (𝑈/2,2)^1,3/(𝑀/2)^1,4 </a:t>
              </a:r>
              <a:endParaRPr lang="pt-BR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47625</xdr:rowOff>
    </xdr:from>
    <xdr:to>
      <xdr:col>5</xdr:col>
      <xdr:colOff>457200</xdr:colOff>
      <xdr:row>30</xdr:row>
      <xdr:rowOff>28575</xdr:rowOff>
    </xdr:to>
    <xdr:grpSp>
      <xdr:nvGrpSpPr>
        <xdr:cNvPr id="4" name="Grupo 3"/>
        <xdr:cNvGrpSpPr/>
      </xdr:nvGrpSpPr>
      <xdr:grpSpPr>
        <a:xfrm>
          <a:off x="0" y="2524125"/>
          <a:ext cx="4991100" cy="3219450"/>
          <a:chOff x="0" y="2324100"/>
          <a:chExt cx="4819650" cy="3219450"/>
        </a:xfrm>
      </xdr:grpSpPr>
      <xdr:pic>
        <xdr:nvPicPr>
          <xdr:cNvPr id="5" name="Imagem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2324100"/>
            <a:ext cx="4819650" cy="32194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Retângulo 5"/>
          <xdr:cNvSpPr/>
        </xdr:nvSpPr>
        <xdr:spPr>
          <a:xfrm>
            <a:off x="47625" y="4419600"/>
            <a:ext cx="2266950" cy="1524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7"/>
  <sheetViews>
    <sheetView topLeftCell="A4" workbookViewId="0">
      <selection activeCell="A33" sqref="A33:B33"/>
    </sheetView>
  </sheetViews>
  <sheetFormatPr defaultRowHeight="11.25" x14ac:dyDescent="0.2"/>
  <cols>
    <col min="1" max="1" width="48" style="1" customWidth="1"/>
    <col min="2" max="3" width="9.5703125" style="1" bestFit="1" customWidth="1"/>
    <col min="4" max="4" width="10.140625" style="1" bestFit="1" customWidth="1"/>
    <col min="5" max="5" width="9.5703125" style="1" customWidth="1"/>
    <col min="6" max="6" width="8.42578125" style="1" bestFit="1" customWidth="1"/>
    <col min="7" max="7" width="8.28515625" style="1" customWidth="1"/>
    <col min="8" max="8" width="10.140625" style="1" customWidth="1"/>
    <col min="9" max="9" width="9.140625" style="1" customWidth="1"/>
    <col min="10" max="11" width="9.5703125" style="1" bestFit="1" customWidth="1"/>
    <col min="12" max="12" width="8.140625" style="1" bestFit="1" customWidth="1"/>
    <col min="13" max="13" width="9.28515625" style="1" customWidth="1"/>
    <col min="14" max="14" width="9.7109375" style="1" customWidth="1"/>
    <col min="15" max="15" width="9.5703125" style="1" customWidth="1"/>
    <col min="16" max="16" width="9.42578125" style="1" customWidth="1"/>
    <col min="17" max="16384" width="9.140625" style="1"/>
  </cols>
  <sheetData>
    <row r="1" spans="1:6" ht="15" customHeight="1" x14ac:dyDescent="0.2">
      <c r="A1" s="3" t="s">
        <v>11</v>
      </c>
    </row>
    <row r="2" spans="1:6" ht="15" customHeight="1" x14ac:dyDescent="0.2"/>
    <row r="3" spans="1:6" ht="15" customHeight="1" x14ac:dyDescent="0.2">
      <c r="A3" s="174" t="s">
        <v>12</v>
      </c>
      <c r="B3" s="174"/>
      <c r="C3" s="174"/>
      <c r="D3" s="174"/>
      <c r="F3" s="2"/>
    </row>
    <row r="4" spans="1:6" ht="22.5" x14ac:dyDescent="0.2">
      <c r="A4" s="19" t="s">
        <v>13</v>
      </c>
      <c r="B4" s="20" t="s">
        <v>7</v>
      </c>
      <c r="C4" s="20" t="s">
        <v>14</v>
      </c>
      <c r="D4" s="20" t="s">
        <v>0</v>
      </c>
      <c r="E4" s="4"/>
    </row>
    <row r="5" spans="1:6" ht="15" customHeight="1" x14ac:dyDescent="0.2">
      <c r="A5" s="21" t="s">
        <v>15</v>
      </c>
      <c r="B5" s="22">
        <v>0.12</v>
      </c>
      <c r="C5" s="22">
        <f>B5*0.5</f>
        <v>0.06</v>
      </c>
      <c r="D5" s="23" t="s">
        <v>1</v>
      </c>
    </row>
    <row r="6" spans="1:6" ht="15" customHeight="1" x14ac:dyDescent="0.2">
      <c r="A6" s="21" t="s">
        <v>16</v>
      </c>
      <c r="B6" s="22">
        <v>2.2999999999999998</v>
      </c>
      <c r="C6" s="22">
        <f t="shared" ref="C6:C15" si="0">B6*0.5</f>
        <v>1.1499999999999999</v>
      </c>
      <c r="D6" s="23" t="s">
        <v>26</v>
      </c>
    </row>
    <row r="7" spans="1:6" ht="15" customHeight="1" x14ac:dyDescent="0.2">
      <c r="A7" s="21" t="s">
        <v>17</v>
      </c>
      <c r="B7" s="22">
        <v>0.11</v>
      </c>
      <c r="C7" s="22">
        <f t="shared" si="0"/>
        <v>5.5E-2</v>
      </c>
      <c r="D7" s="23" t="s">
        <v>26</v>
      </c>
    </row>
    <row r="8" spans="1:6" ht="15" customHeight="1" x14ac:dyDescent="0.2">
      <c r="A8" s="21" t="s">
        <v>18</v>
      </c>
      <c r="B8" s="181"/>
      <c r="C8" s="181"/>
      <c r="D8" s="181"/>
    </row>
    <row r="9" spans="1:6" ht="15" customHeight="1" x14ac:dyDescent="0.2">
      <c r="A9" s="21" t="s">
        <v>19</v>
      </c>
      <c r="B9" s="22">
        <v>0.06</v>
      </c>
      <c r="C9" s="22">
        <f t="shared" si="0"/>
        <v>0.03</v>
      </c>
      <c r="D9" s="23" t="s">
        <v>26</v>
      </c>
    </row>
    <row r="10" spans="1:6" ht="15" customHeight="1" x14ac:dyDescent="0.2">
      <c r="A10" s="21" t="s">
        <v>20</v>
      </c>
      <c r="B10" s="22">
        <v>0.19</v>
      </c>
      <c r="C10" s="22">
        <f t="shared" si="0"/>
        <v>9.5000000000000001E-2</v>
      </c>
      <c r="D10" s="23" t="s">
        <v>1</v>
      </c>
    </row>
    <row r="11" spans="1:6" ht="15" customHeight="1" x14ac:dyDescent="0.2">
      <c r="A11" s="116" t="s">
        <v>21</v>
      </c>
      <c r="B11" s="139">
        <v>0.49</v>
      </c>
      <c r="C11" s="139">
        <f>B11*0.5</f>
        <v>0.245</v>
      </c>
      <c r="D11" s="95" t="s">
        <v>1</v>
      </c>
    </row>
    <row r="12" spans="1:6" ht="15" customHeight="1" x14ac:dyDescent="0.2">
      <c r="A12" s="21" t="s">
        <v>22</v>
      </c>
      <c r="B12" s="33">
        <v>6.7000000000000004E-2</v>
      </c>
      <c r="C12" s="22">
        <f t="shared" si="0"/>
        <v>3.3500000000000002E-2</v>
      </c>
      <c r="D12" s="23" t="s">
        <v>26</v>
      </c>
    </row>
    <row r="13" spans="1:6" ht="15" customHeight="1" x14ac:dyDescent="0.2">
      <c r="A13" s="21" t="s">
        <v>23</v>
      </c>
      <c r="B13" s="182"/>
      <c r="C13" s="182"/>
      <c r="D13" s="182"/>
    </row>
    <row r="14" spans="1:6" ht="15" customHeight="1" x14ac:dyDescent="0.2">
      <c r="A14" s="21" t="s">
        <v>24</v>
      </c>
      <c r="B14" s="22">
        <v>19</v>
      </c>
      <c r="C14" s="22">
        <f t="shared" si="0"/>
        <v>9.5</v>
      </c>
      <c r="D14" s="23" t="s">
        <v>26</v>
      </c>
    </row>
    <row r="15" spans="1:6" ht="15" customHeight="1" x14ac:dyDescent="0.2">
      <c r="A15" s="21" t="s">
        <v>25</v>
      </c>
      <c r="B15" s="24">
        <v>1.8</v>
      </c>
      <c r="C15" s="22">
        <f t="shared" si="0"/>
        <v>0.9</v>
      </c>
      <c r="D15" s="23" t="s">
        <v>1</v>
      </c>
    </row>
    <row r="16" spans="1:6" ht="15" customHeight="1" x14ac:dyDescent="0.2"/>
    <row r="17" spans="1:16" ht="15" customHeight="1" x14ac:dyDescent="0.2">
      <c r="A17" s="178" t="s">
        <v>27</v>
      </c>
      <c r="B17" s="179"/>
      <c r="C17" s="179"/>
      <c r="D17" s="179"/>
      <c r="E17" s="179"/>
      <c r="F17" s="179"/>
      <c r="G17" s="179"/>
      <c r="H17" s="179"/>
      <c r="I17" s="180"/>
    </row>
    <row r="18" spans="1:16" ht="15" customHeight="1" x14ac:dyDescent="0.2">
      <c r="A18" s="140"/>
      <c r="B18" s="179" t="s">
        <v>38</v>
      </c>
      <c r="C18" s="179"/>
      <c r="D18" s="179" t="s">
        <v>223</v>
      </c>
      <c r="E18" s="179"/>
      <c r="F18" s="179" t="s">
        <v>224</v>
      </c>
      <c r="G18" s="179"/>
      <c r="H18" s="179" t="s">
        <v>6</v>
      </c>
      <c r="I18" s="180"/>
    </row>
    <row r="19" spans="1:16" ht="15" customHeight="1" x14ac:dyDescent="0.2">
      <c r="A19" s="20" t="s">
        <v>3</v>
      </c>
      <c r="B19" s="20" t="s">
        <v>221</v>
      </c>
      <c r="C19" s="20" t="s">
        <v>222</v>
      </c>
      <c r="D19" s="20" t="s">
        <v>221</v>
      </c>
      <c r="E19" s="20" t="s">
        <v>222</v>
      </c>
      <c r="F19" s="20" t="s">
        <v>221</v>
      </c>
      <c r="G19" s="20" t="s">
        <v>222</v>
      </c>
      <c r="H19" s="20" t="s">
        <v>221</v>
      </c>
      <c r="I19" s="20" t="s">
        <v>222</v>
      </c>
    </row>
    <row r="20" spans="1:16" ht="15" customHeight="1" x14ac:dyDescent="0.2">
      <c r="A20" s="21" t="s">
        <v>21</v>
      </c>
      <c r="B20" s="22" t="s">
        <v>28</v>
      </c>
      <c r="C20" s="22">
        <f>9.5*B31*0.5</f>
        <v>4.4475655430711615E-2</v>
      </c>
      <c r="D20" s="24">
        <v>0.54</v>
      </c>
      <c r="E20" s="22">
        <f>D20*0.5</f>
        <v>0.27</v>
      </c>
      <c r="F20" s="22">
        <v>3.3</v>
      </c>
      <c r="G20" s="22">
        <f>F20*0.5</f>
        <v>1.65</v>
      </c>
      <c r="H20" s="23">
        <v>0.43</v>
      </c>
      <c r="I20" s="22">
        <f>H20*0.5</f>
        <v>0.215</v>
      </c>
    </row>
    <row r="21" spans="1:16" ht="11.1" customHeight="1" x14ac:dyDescent="0.2">
      <c r="A21" s="175" t="s">
        <v>202</v>
      </c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</row>
    <row r="22" spans="1:16" ht="15" customHeight="1" x14ac:dyDescent="0.2">
      <c r="A22" s="175"/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</row>
    <row r="23" spans="1:16" ht="15" customHeight="1" x14ac:dyDescent="0.2"/>
    <row r="24" spans="1:16" ht="15" customHeight="1" x14ac:dyDescent="0.2">
      <c r="A24" s="5"/>
    </row>
    <row r="25" spans="1:16" ht="15" customHeight="1" x14ac:dyDescent="0.2"/>
    <row r="26" spans="1:16" ht="15" customHeight="1" x14ac:dyDescent="0.2">
      <c r="A26" s="176" t="s">
        <v>203</v>
      </c>
      <c r="B26" s="176"/>
      <c r="C26" s="176"/>
    </row>
    <row r="27" spans="1:16" ht="15" customHeight="1" x14ac:dyDescent="0.2">
      <c r="A27" s="36" t="s">
        <v>100</v>
      </c>
      <c r="B27" s="127">
        <v>1.2</v>
      </c>
      <c r="C27" s="155" t="s">
        <v>204</v>
      </c>
    </row>
    <row r="28" spans="1:16" ht="15" customHeight="1" x14ac:dyDescent="0.2">
      <c r="A28" s="37" t="s">
        <v>101</v>
      </c>
      <c r="B28" s="128">
        <v>62.3</v>
      </c>
      <c r="C28" s="156" t="s">
        <v>205</v>
      </c>
      <c r="D28" s="17"/>
    </row>
    <row r="29" spans="1:16" ht="15" customHeight="1" x14ac:dyDescent="0.2">
      <c r="A29" s="38" t="s">
        <v>102</v>
      </c>
      <c r="B29" s="129">
        <f>B27*B28/100</f>
        <v>0.74759999999999993</v>
      </c>
      <c r="C29" s="157" t="s">
        <v>204</v>
      </c>
    </row>
    <row r="30" spans="1:16" ht="15" customHeight="1" x14ac:dyDescent="0.2">
      <c r="A30" s="39" t="s">
        <v>103</v>
      </c>
      <c r="B30" s="127"/>
      <c r="C30" s="158"/>
    </row>
    <row r="31" spans="1:16" ht="15" customHeight="1" x14ac:dyDescent="0.2">
      <c r="A31" s="130" t="s">
        <v>206</v>
      </c>
      <c r="B31" s="131">
        <f>((A34*10^-6)/B29)*100</f>
        <v>9.3632958801498131E-3</v>
      </c>
      <c r="C31" s="168" t="s">
        <v>205</v>
      </c>
    </row>
    <row r="32" spans="1:16" ht="15" customHeight="1" x14ac:dyDescent="0.2">
      <c r="A32" s="3"/>
      <c r="B32" s="3"/>
      <c r="C32" s="3"/>
    </row>
    <row r="33" spans="1:3" ht="15" customHeight="1" x14ac:dyDescent="0.2">
      <c r="A33" s="177" t="s">
        <v>207</v>
      </c>
      <c r="B33" s="177"/>
      <c r="C33" s="3"/>
    </row>
    <row r="34" spans="1:3" ht="15" customHeight="1" x14ac:dyDescent="0.2">
      <c r="A34" s="132">
        <v>70</v>
      </c>
      <c r="B34" s="132" t="s">
        <v>208</v>
      </c>
      <c r="C34" s="3"/>
    </row>
    <row r="35" spans="1:3" ht="15" customHeight="1" x14ac:dyDescent="0.2"/>
    <row r="36" spans="1:3" ht="15" customHeight="1" x14ac:dyDescent="0.2"/>
    <row r="37" spans="1:3" ht="15" customHeight="1" x14ac:dyDescent="0.2"/>
    <row r="38" spans="1:3" ht="15" customHeight="1" x14ac:dyDescent="0.2"/>
    <row r="39" spans="1:3" ht="15" customHeight="1" x14ac:dyDescent="0.2"/>
    <row r="40" spans="1:3" ht="15" customHeight="1" x14ac:dyDescent="0.2"/>
    <row r="41" spans="1:3" ht="15" customHeight="1" x14ac:dyDescent="0.2"/>
    <row r="42" spans="1:3" ht="15" customHeight="1" x14ac:dyDescent="0.2"/>
    <row r="43" spans="1:3" ht="15" customHeight="1" x14ac:dyDescent="0.2"/>
    <row r="44" spans="1:3" ht="15" customHeight="1" x14ac:dyDescent="0.2"/>
    <row r="45" spans="1:3" ht="15" customHeight="1" x14ac:dyDescent="0.2"/>
    <row r="46" spans="1:3" ht="15" customHeight="1" x14ac:dyDescent="0.2"/>
    <row r="47" spans="1:3" ht="15" customHeight="1" x14ac:dyDescent="0.2"/>
  </sheetData>
  <sheetProtection password="B056" sheet="1" objects="1" scenarios="1"/>
  <mergeCells count="11">
    <mergeCell ref="A3:D3"/>
    <mergeCell ref="A21:P22"/>
    <mergeCell ref="A26:C26"/>
    <mergeCell ref="A33:B33"/>
    <mergeCell ref="A17:I17"/>
    <mergeCell ref="B8:D8"/>
    <mergeCell ref="B13:D13"/>
    <mergeCell ref="B18:C18"/>
    <mergeCell ref="D18:E18"/>
    <mergeCell ref="F18:G18"/>
    <mergeCell ref="H18:I1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6"/>
  <sheetViews>
    <sheetView topLeftCell="A13" workbookViewId="0">
      <selection activeCell="E18" sqref="E18"/>
    </sheetView>
  </sheetViews>
  <sheetFormatPr defaultRowHeight="15" x14ac:dyDescent="0.25"/>
  <cols>
    <col min="1" max="1" width="18.42578125" customWidth="1"/>
    <col min="2" max="4" width="14.7109375" customWidth="1"/>
    <col min="5" max="5" width="17.140625" customWidth="1"/>
    <col min="6" max="6" width="14.7109375" customWidth="1"/>
    <col min="7" max="7" width="15.7109375" customWidth="1"/>
    <col min="8" max="8" width="13.140625" customWidth="1"/>
    <col min="9" max="9" width="15.28515625" customWidth="1"/>
  </cols>
  <sheetData>
    <row r="1" spans="1:7" x14ac:dyDescent="0.25">
      <c r="A1" s="3" t="s">
        <v>40</v>
      </c>
      <c r="B1" s="43"/>
      <c r="C1" s="43"/>
      <c r="D1" s="43"/>
      <c r="E1" s="43"/>
    </row>
    <row r="2" spans="1:7" x14ac:dyDescent="0.25">
      <c r="A2" s="183" t="s">
        <v>107</v>
      </c>
      <c r="B2" s="184"/>
      <c r="C2" s="184"/>
      <c r="D2" s="184"/>
      <c r="E2" s="184"/>
      <c r="G2" s="3" t="s">
        <v>114</v>
      </c>
    </row>
    <row r="3" spans="1:7" x14ac:dyDescent="0.25">
      <c r="A3" s="185" t="s">
        <v>30</v>
      </c>
      <c r="B3" s="188" t="s">
        <v>35</v>
      </c>
      <c r="C3" s="190" t="s">
        <v>31</v>
      </c>
      <c r="D3" s="191"/>
      <c r="E3" s="192"/>
    </row>
    <row r="4" spans="1:7" x14ac:dyDescent="0.25">
      <c r="A4" s="186"/>
      <c r="B4" s="189"/>
      <c r="C4" s="44" t="s">
        <v>108</v>
      </c>
      <c r="D4" s="44" t="s">
        <v>109</v>
      </c>
      <c r="E4" s="23" t="s">
        <v>0</v>
      </c>
    </row>
    <row r="5" spans="1:7" x14ac:dyDescent="0.25">
      <c r="A5" s="186"/>
      <c r="B5" s="44" t="s">
        <v>68</v>
      </c>
      <c r="C5" s="46">
        <v>100</v>
      </c>
      <c r="D5" s="42">
        <f>16*C5</f>
        <v>1600</v>
      </c>
      <c r="E5" s="23" t="s">
        <v>33</v>
      </c>
    </row>
    <row r="6" spans="1:7" x14ac:dyDescent="0.25">
      <c r="A6" s="187"/>
      <c r="B6" s="44" t="s">
        <v>5</v>
      </c>
      <c r="C6" s="46">
        <v>84</v>
      </c>
      <c r="D6" s="42">
        <f>16*C6</f>
        <v>1344</v>
      </c>
      <c r="E6" s="23" t="s">
        <v>33</v>
      </c>
    </row>
    <row r="7" spans="1:7" x14ac:dyDescent="0.25">
      <c r="A7" s="47"/>
      <c r="B7" s="45"/>
      <c r="C7" s="46"/>
      <c r="D7" s="42"/>
      <c r="E7" s="23"/>
    </row>
    <row r="8" spans="1:7" x14ac:dyDescent="0.25">
      <c r="A8" s="47"/>
      <c r="B8" s="45"/>
      <c r="C8" s="46"/>
      <c r="D8" s="42"/>
      <c r="E8" s="23"/>
    </row>
    <row r="9" spans="1:7" x14ac:dyDescent="0.25">
      <c r="A9" s="3" t="s">
        <v>40</v>
      </c>
      <c r="B9" s="43"/>
      <c r="C9" s="43"/>
      <c r="D9" s="43"/>
      <c r="E9" s="23"/>
    </row>
    <row r="10" spans="1:7" x14ac:dyDescent="0.25">
      <c r="A10" s="193" t="s">
        <v>110</v>
      </c>
      <c r="B10" s="193"/>
      <c r="C10" s="193"/>
      <c r="D10" s="193"/>
      <c r="E10" s="23"/>
    </row>
    <row r="11" spans="1:7" x14ac:dyDescent="0.25">
      <c r="A11" s="193"/>
      <c r="B11" s="193"/>
      <c r="C11" s="193"/>
      <c r="D11" s="193"/>
      <c r="E11" s="23"/>
    </row>
    <row r="12" spans="1:7" ht="22.5" x14ac:dyDescent="0.25">
      <c r="A12" s="48" t="s">
        <v>35</v>
      </c>
      <c r="B12" s="49" t="s">
        <v>111</v>
      </c>
      <c r="C12" s="48" t="s">
        <v>112</v>
      </c>
      <c r="D12" s="32" t="s">
        <v>0</v>
      </c>
      <c r="E12" s="23"/>
    </row>
    <row r="13" spans="1:7" x14ac:dyDescent="0.25">
      <c r="A13" s="50" t="s">
        <v>38</v>
      </c>
      <c r="B13" s="48">
        <v>0.6</v>
      </c>
      <c r="C13" s="51">
        <f t="shared" ref="C13:C17" si="0">16*B13</f>
        <v>9.6</v>
      </c>
      <c r="D13" s="7" t="s">
        <v>32</v>
      </c>
      <c r="E13" s="23"/>
    </row>
    <row r="14" spans="1:7" x14ac:dyDescent="0.25">
      <c r="A14" s="50" t="s">
        <v>39</v>
      </c>
      <c r="B14" s="48">
        <v>5.5</v>
      </c>
      <c r="C14" s="51">
        <f t="shared" si="0"/>
        <v>88</v>
      </c>
      <c r="D14" s="7" t="s">
        <v>34</v>
      </c>
      <c r="E14" s="23"/>
    </row>
    <row r="15" spans="1:7" x14ac:dyDescent="0.25">
      <c r="A15" s="50" t="s">
        <v>36</v>
      </c>
      <c r="B15" s="48">
        <v>7.6</v>
      </c>
      <c r="C15" s="51">
        <f t="shared" si="0"/>
        <v>121.6</v>
      </c>
      <c r="D15" s="7" t="s">
        <v>1</v>
      </c>
      <c r="E15" s="23"/>
    </row>
    <row r="16" spans="1:7" x14ac:dyDescent="0.25">
      <c r="A16" s="50" t="s">
        <v>113</v>
      </c>
      <c r="B16" s="48">
        <v>1.9</v>
      </c>
      <c r="C16" s="51">
        <f t="shared" si="0"/>
        <v>30.4</v>
      </c>
      <c r="D16" s="7" t="s">
        <v>1</v>
      </c>
      <c r="E16" s="23"/>
    </row>
    <row r="17" spans="1:9" x14ac:dyDescent="0.25">
      <c r="A17" s="50" t="s">
        <v>37</v>
      </c>
      <c r="B17" s="48">
        <v>5.7</v>
      </c>
      <c r="C17" s="48">
        <f t="shared" si="0"/>
        <v>91.2</v>
      </c>
      <c r="D17" s="7" t="s">
        <v>33</v>
      </c>
      <c r="E17" s="23"/>
    </row>
    <row r="23" spans="1:9" x14ac:dyDescent="0.25">
      <c r="A23" s="3" t="s">
        <v>172</v>
      </c>
    </row>
    <row r="24" spans="1:9" ht="25.5" customHeight="1" x14ac:dyDescent="0.25">
      <c r="A24" s="197" t="s">
        <v>173</v>
      </c>
      <c r="B24" s="198"/>
      <c r="C24" s="198"/>
      <c r="D24" s="198"/>
      <c r="E24" s="198"/>
      <c r="F24" s="198"/>
      <c r="G24" s="198"/>
      <c r="H24" s="198"/>
      <c r="I24" s="198"/>
    </row>
    <row r="25" spans="1:9" ht="21.75" customHeight="1" x14ac:dyDescent="0.25">
      <c r="A25" s="199" t="s">
        <v>35</v>
      </c>
      <c r="B25" s="201" t="s">
        <v>174</v>
      </c>
      <c r="C25" s="179"/>
      <c r="D25" s="201" t="s">
        <v>175</v>
      </c>
      <c r="E25" s="179"/>
      <c r="F25" s="201" t="s">
        <v>176</v>
      </c>
      <c r="G25" s="179"/>
      <c r="H25" s="201" t="s">
        <v>177</v>
      </c>
      <c r="I25" s="179"/>
    </row>
    <row r="26" spans="1:9" x14ac:dyDescent="0.25">
      <c r="A26" s="200"/>
      <c r="B26" s="20" t="s">
        <v>178</v>
      </c>
      <c r="C26" s="20" t="s">
        <v>179</v>
      </c>
      <c r="D26" s="20" t="s">
        <v>178</v>
      </c>
      <c r="E26" s="20" t="s">
        <v>179</v>
      </c>
      <c r="F26" s="20" t="s">
        <v>178</v>
      </c>
      <c r="G26" s="20" t="s">
        <v>179</v>
      </c>
      <c r="H26" s="20" t="s">
        <v>178</v>
      </c>
      <c r="I26" s="20" t="s">
        <v>179</v>
      </c>
    </row>
    <row r="27" spans="1:9" x14ac:dyDescent="0.25">
      <c r="A27" s="116" t="s">
        <v>180</v>
      </c>
      <c r="B27" s="23">
        <v>0.8</v>
      </c>
      <c r="C27" s="114">
        <v>0.8</v>
      </c>
      <c r="D27" s="23">
        <f>B27*0.12</f>
        <v>9.6000000000000002E-2</v>
      </c>
      <c r="E27" s="95">
        <f>C27*0.12</f>
        <v>9.6000000000000002E-2</v>
      </c>
      <c r="F27" s="23">
        <v>0.7</v>
      </c>
      <c r="G27" s="23">
        <v>0.7</v>
      </c>
      <c r="H27" s="23">
        <f>F27*0.12</f>
        <v>8.3999999999999991E-2</v>
      </c>
      <c r="I27" s="95">
        <f>G27*0.12</f>
        <v>8.3999999999999991E-2</v>
      </c>
    </row>
    <row r="28" spans="1:9" x14ac:dyDescent="0.25">
      <c r="A28" s="117" t="s">
        <v>181</v>
      </c>
      <c r="B28" s="23" t="s">
        <v>182</v>
      </c>
      <c r="C28" s="23" t="s">
        <v>182</v>
      </c>
      <c r="D28" s="23" t="s">
        <v>183</v>
      </c>
      <c r="E28" s="95" t="s">
        <v>183</v>
      </c>
      <c r="F28" s="23" t="s">
        <v>184</v>
      </c>
      <c r="G28" s="23" t="s">
        <v>184</v>
      </c>
      <c r="H28" s="23" t="s">
        <v>185</v>
      </c>
      <c r="I28" s="95" t="s">
        <v>185</v>
      </c>
    </row>
    <row r="29" spans="1:9" x14ac:dyDescent="0.25">
      <c r="A29" s="116" t="s">
        <v>186</v>
      </c>
      <c r="B29" s="23">
        <v>15</v>
      </c>
      <c r="C29" s="23">
        <v>15</v>
      </c>
      <c r="D29" s="23">
        <f t="shared" ref="D29:E31" si="1">B29*0.12</f>
        <v>1.7999999999999998</v>
      </c>
      <c r="E29" s="95">
        <f t="shared" si="1"/>
        <v>1.7999999999999998</v>
      </c>
      <c r="F29" s="23">
        <v>13</v>
      </c>
      <c r="G29" s="23">
        <v>13</v>
      </c>
      <c r="H29" s="23">
        <f t="shared" ref="H29:I31" si="2">F29*0.12</f>
        <v>1.56</v>
      </c>
      <c r="I29" s="95">
        <f t="shared" si="2"/>
        <v>1.56</v>
      </c>
    </row>
    <row r="30" spans="1:9" x14ac:dyDescent="0.25">
      <c r="A30" s="116" t="s">
        <v>5</v>
      </c>
      <c r="B30" s="7">
        <v>8.4</v>
      </c>
      <c r="C30" s="7">
        <v>8.4</v>
      </c>
      <c r="D30" s="23">
        <f t="shared" si="1"/>
        <v>1.008</v>
      </c>
      <c r="E30" s="95">
        <f t="shared" si="1"/>
        <v>1.008</v>
      </c>
      <c r="F30" s="7">
        <v>7.5</v>
      </c>
      <c r="G30" s="7">
        <v>7.5</v>
      </c>
      <c r="H30" s="23">
        <f t="shared" si="2"/>
        <v>0.89999999999999991</v>
      </c>
      <c r="I30" s="95">
        <f t="shared" si="2"/>
        <v>0.89999999999999991</v>
      </c>
    </row>
    <row r="31" spans="1:9" x14ac:dyDescent="0.25">
      <c r="A31" s="6" t="s">
        <v>187</v>
      </c>
      <c r="B31" s="7">
        <v>1.1000000000000001</v>
      </c>
      <c r="C31" s="7">
        <v>1.1000000000000001</v>
      </c>
      <c r="D31" s="23">
        <f t="shared" si="1"/>
        <v>0.13200000000000001</v>
      </c>
      <c r="E31" s="95">
        <f t="shared" si="1"/>
        <v>0.13200000000000001</v>
      </c>
      <c r="F31" s="7">
        <v>1</v>
      </c>
      <c r="G31" s="7">
        <v>1</v>
      </c>
      <c r="H31" s="23">
        <f t="shared" si="2"/>
        <v>0.12</v>
      </c>
      <c r="I31" s="95">
        <f t="shared" si="2"/>
        <v>0.12</v>
      </c>
    </row>
    <row r="32" spans="1:9" x14ac:dyDescent="0.25">
      <c r="A32" s="195" t="s">
        <v>188</v>
      </c>
      <c r="B32" s="195"/>
      <c r="C32" s="195"/>
      <c r="D32" s="195"/>
      <c r="E32" s="195"/>
      <c r="F32" s="195"/>
      <c r="G32" s="195"/>
      <c r="H32" s="195"/>
      <c r="I32" s="195"/>
    </row>
    <row r="33" spans="1:9" x14ac:dyDescent="0.25">
      <c r="A33" s="195"/>
      <c r="B33" s="195"/>
      <c r="C33" s="195"/>
      <c r="D33" s="195"/>
      <c r="E33" s="195"/>
      <c r="F33" s="195"/>
      <c r="G33" s="195"/>
      <c r="H33" s="195"/>
      <c r="I33" s="195"/>
    </row>
    <row r="34" spans="1:9" x14ac:dyDescent="0.25">
      <c r="A34" s="195"/>
      <c r="B34" s="195"/>
      <c r="C34" s="195"/>
      <c r="D34" s="195"/>
      <c r="E34" s="195"/>
      <c r="F34" s="195"/>
      <c r="G34" s="195"/>
      <c r="H34" s="195"/>
      <c r="I34" s="195"/>
    </row>
    <row r="35" spans="1:9" x14ac:dyDescent="0.25">
      <c r="A35" s="195"/>
      <c r="B35" s="195"/>
      <c r="C35" s="195"/>
      <c r="D35" s="195"/>
      <c r="E35" s="195"/>
      <c r="F35" s="195"/>
      <c r="G35" s="195"/>
      <c r="H35" s="195"/>
      <c r="I35" s="195"/>
    </row>
    <row r="36" spans="1:9" x14ac:dyDescent="0.25">
      <c r="A36" s="194" t="s">
        <v>189</v>
      </c>
      <c r="B36" s="194"/>
      <c r="C36" s="194"/>
      <c r="D36" s="194"/>
      <c r="E36" s="194"/>
      <c r="F36" s="194"/>
      <c r="G36" s="194"/>
    </row>
    <row r="37" spans="1:9" x14ac:dyDescent="0.25">
      <c r="A37" s="194" t="s">
        <v>190</v>
      </c>
      <c r="B37" s="194"/>
      <c r="C37" s="194"/>
      <c r="D37" s="194"/>
      <c r="E37" s="194"/>
      <c r="F37" s="194"/>
      <c r="G37" s="194"/>
    </row>
    <row r="38" spans="1:9" x14ac:dyDescent="0.25">
      <c r="A38" s="196" t="s">
        <v>191</v>
      </c>
      <c r="B38" s="196"/>
      <c r="C38" s="196"/>
      <c r="D38" s="196"/>
      <c r="E38" s="196"/>
      <c r="F38" s="196"/>
      <c r="G38" s="196"/>
    </row>
    <row r="39" spans="1:9" x14ac:dyDescent="0.25">
      <c r="A39" s="196"/>
      <c r="B39" s="196"/>
      <c r="C39" s="196"/>
      <c r="D39" s="196"/>
      <c r="E39" s="196"/>
      <c r="F39" s="196"/>
      <c r="G39" s="196"/>
    </row>
    <row r="40" spans="1:9" x14ac:dyDescent="0.25">
      <c r="A40" s="196" t="s">
        <v>192</v>
      </c>
      <c r="B40" s="196"/>
      <c r="C40" s="196"/>
      <c r="D40" s="196"/>
      <c r="E40" s="196"/>
      <c r="F40" s="196"/>
      <c r="G40" s="196"/>
    </row>
    <row r="41" spans="1:9" x14ac:dyDescent="0.25">
      <c r="A41" s="196"/>
      <c r="B41" s="196"/>
      <c r="C41" s="196"/>
      <c r="D41" s="196"/>
      <c r="E41" s="196"/>
      <c r="F41" s="196"/>
      <c r="G41" s="196"/>
    </row>
    <row r="42" spans="1:9" x14ac:dyDescent="0.25">
      <c r="A42" s="194" t="s">
        <v>193</v>
      </c>
      <c r="B42" s="194"/>
      <c r="C42" s="194"/>
      <c r="D42" s="194"/>
      <c r="E42" s="194"/>
      <c r="F42" s="194"/>
      <c r="G42" s="194"/>
    </row>
    <row r="43" spans="1:9" x14ac:dyDescent="0.25">
      <c r="A43" s="194" t="s">
        <v>194</v>
      </c>
      <c r="B43" s="194"/>
      <c r="C43" s="194"/>
      <c r="D43" s="194"/>
      <c r="E43" s="194"/>
      <c r="F43" s="194"/>
      <c r="G43" s="194"/>
    </row>
    <row r="44" spans="1:9" x14ac:dyDescent="0.25">
      <c r="A44" s="194" t="s">
        <v>195</v>
      </c>
      <c r="B44" s="194"/>
      <c r="C44" s="194"/>
      <c r="D44" s="194"/>
      <c r="E44" s="194"/>
      <c r="F44" s="194"/>
      <c r="G44" s="194"/>
    </row>
    <row r="45" spans="1:9" x14ac:dyDescent="0.25">
      <c r="A45" s="194" t="s">
        <v>196</v>
      </c>
      <c r="B45" s="194"/>
      <c r="C45" s="194"/>
      <c r="D45" s="194"/>
      <c r="E45" s="194"/>
      <c r="F45" s="194"/>
      <c r="G45" s="194"/>
    </row>
    <row r="46" spans="1:9" x14ac:dyDescent="0.25">
      <c r="A46" s="194" t="s">
        <v>197</v>
      </c>
      <c r="B46" s="194"/>
      <c r="C46" s="194"/>
      <c r="D46" s="194"/>
      <c r="E46" s="194"/>
      <c r="F46" s="194"/>
      <c r="G46" s="194"/>
    </row>
  </sheetData>
  <sheetProtection password="B056" sheet="1" objects="1" scenarios="1"/>
  <mergeCells count="21">
    <mergeCell ref="A24:I24"/>
    <mergeCell ref="A25:A26"/>
    <mergeCell ref="B25:C25"/>
    <mergeCell ref="D25:E25"/>
    <mergeCell ref="F25:G25"/>
    <mergeCell ref="H25:I25"/>
    <mergeCell ref="A43:G43"/>
    <mergeCell ref="A44:G44"/>
    <mergeCell ref="A45:G45"/>
    <mergeCell ref="A46:G46"/>
    <mergeCell ref="A32:I35"/>
    <mergeCell ref="A36:G36"/>
    <mergeCell ref="A37:G37"/>
    <mergeCell ref="A38:G39"/>
    <mergeCell ref="A40:G41"/>
    <mergeCell ref="A42:G42"/>
    <mergeCell ref="A2:E2"/>
    <mergeCell ref="A3:A6"/>
    <mergeCell ref="B3:B4"/>
    <mergeCell ref="C3:E3"/>
    <mergeCell ref="A10:D11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"/>
  <sheetViews>
    <sheetView workbookViewId="0">
      <selection activeCell="J20" sqref="J20"/>
    </sheetView>
  </sheetViews>
  <sheetFormatPr defaultRowHeight="15" x14ac:dyDescent="0.25"/>
  <cols>
    <col min="1" max="1" width="34.140625" style="61" customWidth="1"/>
    <col min="2" max="9" width="9.140625" style="61"/>
    <col min="14" max="16384" width="9.140625" style="61"/>
  </cols>
  <sheetData>
    <row r="1" spans="1:13" x14ac:dyDescent="0.25">
      <c r="A1" s="3" t="s">
        <v>123</v>
      </c>
    </row>
    <row r="2" spans="1:13" x14ac:dyDescent="0.25">
      <c r="A2" s="3" t="s">
        <v>124</v>
      </c>
    </row>
    <row r="3" spans="1:13" x14ac:dyDescent="0.25">
      <c r="A3" s="202" t="s">
        <v>125</v>
      </c>
      <c r="B3" s="204" t="s">
        <v>120</v>
      </c>
      <c r="C3" s="205"/>
      <c r="D3" s="205"/>
      <c r="E3" s="205"/>
      <c r="F3" s="205"/>
      <c r="G3" s="205"/>
      <c r="H3" s="205"/>
      <c r="I3" s="206"/>
    </row>
    <row r="4" spans="1:13" x14ac:dyDescent="0.25">
      <c r="A4" s="203"/>
      <c r="B4" s="62" t="s">
        <v>126</v>
      </c>
      <c r="C4" s="63" t="s">
        <v>122</v>
      </c>
      <c r="D4" s="63" t="s">
        <v>127</v>
      </c>
      <c r="E4" s="63" t="s">
        <v>128</v>
      </c>
      <c r="F4" s="63" t="s">
        <v>5</v>
      </c>
      <c r="G4" s="63" t="s">
        <v>129</v>
      </c>
      <c r="H4" s="63" t="s">
        <v>130</v>
      </c>
      <c r="I4" s="63" t="s">
        <v>131</v>
      </c>
    </row>
    <row r="5" spans="1:13" x14ac:dyDescent="0.25">
      <c r="A5" s="218" t="s">
        <v>139</v>
      </c>
      <c r="B5" s="64">
        <v>50</v>
      </c>
      <c r="C5" s="65">
        <v>9.3630013476799761E-3</v>
      </c>
      <c r="D5" s="65">
        <v>8.6033551570891521E-5</v>
      </c>
      <c r="E5" s="65">
        <v>7.4519991808693467E-2</v>
      </c>
      <c r="F5" s="65">
        <v>9.6138212535283471E-2</v>
      </c>
      <c r="G5" s="65">
        <v>4.226926262316423E-2</v>
      </c>
      <c r="H5" s="65">
        <v>6.6550780871892741</v>
      </c>
      <c r="I5" s="65">
        <v>3.8138874603585002E-3</v>
      </c>
      <c r="J5" s="61"/>
      <c r="K5" s="61"/>
      <c r="L5" s="61"/>
      <c r="M5" s="61"/>
    </row>
    <row r="6" spans="1:13" x14ac:dyDescent="0.25">
      <c r="A6" s="219"/>
      <c r="B6" s="64">
        <v>120</v>
      </c>
      <c r="C6" s="65">
        <v>1.9432717920016346E-2</v>
      </c>
      <c r="D6" s="65">
        <v>1.6614354833010314E-4</v>
      </c>
      <c r="E6" s="65">
        <v>0.19770476916405869</v>
      </c>
      <c r="F6" s="65">
        <v>0.10602299202233414</v>
      </c>
      <c r="G6" s="65">
        <v>3.5663485612068627E-2</v>
      </c>
      <c r="H6" s="65">
        <v>14.163368243694034</v>
      </c>
      <c r="I6" s="65">
        <v>3.217858921102401E-3</v>
      </c>
      <c r="J6" s="61"/>
      <c r="K6" s="61"/>
      <c r="L6" s="61"/>
      <c r="M6" s="61"/>
    </row>
    <row r="7" spans="1:13" x14ac:dyDescent="0.25">
      <c r="A7" s="219"/>
      <c r="B7" s="64">
        <v>175</v>
      </c>
      <c r="C7" s="65">
        <v>1.8879850739384012E-2</v>
      </c>
      <c r="D7" s="65">
        <v>2.8608393717488665E-4</v>
      </c>
      <c r="E7" s="65">
        <v>0.31861247152656436</v>
      </c>
      <c r="F7" s="65">
        <v>0.15162091846570119</v>
      </c>
      <c r="G7" s="65">
        <v>4.2373566784726938E-2</v>
      </c>
      <c r="H7" s="65">
        <v>25.425804730599385</v>
      </c>
      <c r="I7" s="65">
        <v>3.8232977904108984E-3</v>
      </c>
      <c r="J7" s="61"/>
      <c r="K7" s="61"/>
      <c r="L7" s="61"/>
      <c r="M7" s="61"/>
    </row>
    <row r="8" spans="1:13" x14ac:dyDescent="0.25">
      <c r="A8" s="219"/>
      <c r="B8" s="64">
        <v>250</v>
      </c>
      <c r="C8" s="65">
        <v>1.2379282144095784E-2</v>
      </c>
      <c r="D8" s="65">
        <v>3.9360565132436678E-4</v>
      </c>
      <c r="E8" s="65">
        <v>0.40506800826818495</v>
      </c>
      <c r="F8" s="65">
        <v>8.7074543299048776E-2</v>
      </c>
      <c r="G8" s="65">
        <v>3.457791520160676E-2</v>
      </c>
      <c r="H8" s="65">
        <v>34.981822100661624</v>
      </c>
      <c r="I8" s="65">
        <v>3.1199098492446938E-3</v>
      </c>
      <c r="J8" s="61"/>
      <c r="K8" s="61"/>
      <c r="L8" s="61"/>
      <c r="M8" s="61"/>
    </row>
    <row r="9" spans="1:13" x14ac:dyDescent="0.25">
      <c r="A9" s="220"/>
      <c r="B9" s="64">
        <v>500</v>
      </c>
      <c r="C9" s="65">
        <v>1.6493488182013304E-2</v>
      </c>
      <c r="D9" s="65">
        <v>4.9410057705164077E-4</v>
      </c>
      <c r="E9" s="65">
        <v>0.50757511605008721</v>
      </c>
      <c r="F9" s="65">
        <v>0.12597072839531243</v>
      </c>
      <c r="G9" s="65">
        <v>4.4813003055424828E-2</v>
      </c>
      <c r="H9" s="65">
        <v>50.339707371204433</v>
      </c>
      <c r="I9" s="65">
        <v>4.0434057363924357E-3</v>
      </c>
      <c r="J9" s="61"/>
      <c r="K9" s="61"/>
      <c r="L9" s="61"/>
      <c r="M9" s="61"/>
    </row>
    <row r="10" spans="1:13" x14ac:dyDescent="0.25">
      <c r="A10" s="66" t="s">
        <v>138</v>
      </c>
      <c r="B10" s="67"/>
      <c r="C10" s="68">
        <v>1.5679217258560096E-2</v>
      </c>
      <c r="D10" s="68">
        <v>2.7344430397525926E-4</v>
      </c>
      <c r="E10" s="68">
        <v>0.29166478621703318</v>
      </c>
      <c r="F10" s="68">
        <v>0.11318837071254896</v>
      </c>
      <c r="G10" s="68">
        <v>3.9051256187841339E-2</v>
      </c>
      <c r="H10" s="68">
        <v>24.673479409814476</v>
      </c>
      <c r="I10" s="68">
        <v>3.5235318676344273E-3</v>
      </c>
      <c r="J10" s="61"/>
      <c r="K10" s="61"/>
      <c r="L10" s="61"/>
      <c r="M10" s="61"/>
    </row>
    <row r="11" spans="1:13" x14ac:dyDescent="0.25">
      <c r="A11" s="207" t="s">
        <v>132</v>
      </c>
      <c r="B11" s="64">
        <v>25</v>
      </c>
      <c r="C11" s="69">
        <v>4.2993834112443046E-3</v>
      </c>
      <c r="D11" s="69">
        <v>9.1296666664729092E-5</v>
      </c>
      <c r="E11" s="69">
        <v>6.5440342513322841E-2</v>
      </c>
      <c r="F11" s="69">
        <v>3.3633537377302694E-2</v>
      </c>
      <c r="G11" s="69">
        <v>1.1508495299417196E-2</v>
      </c>
      <c r="H11" s="70">
        <v>7.1954542544480447</v>
      </c>
      <c r="I11" s="69">
        <v>1.0383929582217567E-3</v>
      </c>
      <c r="J11" s="61"/>
      <c r="K11" s="61"/>
      <c r="L11" s="61"/>
      <c r="M11" s="61"/>
    </row>
    <row r="12" spans="1:13" x14ac:dyDescent="0.25">
      <c r="A12" s="208"/>
      <c r="B12" s="64">
        <v>50</v>
      </c>
      <c r="C12" s="69">
        <v>1.7631372893573291E-2</v>
      </c>
      <c r="D12" s="69">
        <v>1.7794989554385782E-4</v>
      </c>
      <c r="E12" s="69">
        <v>0.14903250407403665</v>
      </c>
      <c r="F12" s="69">
        <v>0.18074298616110065</v>
      </c>
      <c r="G12" s="69">
        <v>7.6387078761989774E-2</v>
      </c>
      <c r="H12" s="70">
        <v>13.765214572120632</v>
      </c>
      <c r="I12" s="69">
        <v>6.8922839284147877E-3</v>
      </c>
      <c r="J12" s="61"/>
      <c r="K12" s="61"/>
      <c r="L12" s="61"/>
      <c r="M12" s="61"/>
    </row>
    <row r="13" spans="1:13" x14ac:dyDescent="0.25">
      <c r="A13" s="208"/>
      <c r="B13" s="64">
        <v>120</v>
      </c>
      <c r="C13" s="69">
        <v>2.8793678975626062E-2</v>
      </c>
      <c r="D13" s="69">
        <v>2.7523820811752497E-4</v>
      </c>
      <c r="E13" s="69">
        <v>0.31658054663341589</v>
      </c>
      <c r="F13" s="69">
        <v>0.17000606424242778</v>
      </c>
      <c r="G13" s="69">
        <v>5.347757660811845E-2</v>
      </c>
      <c r="H13" s="70">
        <v>23.46343734007862</v>
      </c>
      <c r="I13" s="69">
        <v>4.8251946526192422E-3</v>
      </c>
      <c r="J13" s="61"/>
      <c r="K13" s="61"/>
      <c r="L13" s="61"/>
      <c r="M13" s="61"/>
    </row>
    <row r="14" spans="1:13" x14ac:dyDescent="0.25">
      <c r="A14" s="208"/>
      <c r="B14" s="64">
        <v>175</v>
      </c>
      <c r="C14" s="69">
        <v>3.0494211856921132E-2</v>
      </c>
      <c r="D14" s="69">
        <v>5.1744770686997182E-4</v>
      </c>
      <c r="E14" s="69">
        <v>0.5481767178539948</v>
      </c>
      <c r="F14" s="69">
        <v>0.26843480692719468</v>
      </c>
      <c r="G14" s="69">
        <v>6.8627595472196185E-2</v>
      </c>
      <c r="H14" s="71">
        <v>45.988333064299916</v>
      </c>
      <c r="I14" s="69">
        <v>6.1921566825205547E-3</v>
      </c>
      <c r="J14" s="61"/>
      <c r="K14" s="61"/>
      <c r="L14" s="61"/>
      <c r="M14" s="61"/>
    </row>
    <row r="15" spans="1:13" x14ac:dyDescent="0.25">
      <c r="A15" s="208"/>
      <c r="B15" s="64">
        <v>250</v>
      </c>
      <c r="C15" s="69">
        <v>2.9155277207407175E-2</v>
      </c>
      <c r="D15" s="69">
        <v>8.7649295057503588E-4</v>
      </c>
      <c r="E15" s="69">
        <v>0.87589260205192598</v>
      </c>
      <c r="F15" s="69">
        <v>0.21389122874888331</v>
      </c>
      <c r="G15" s="69">
        <v>7.7732271856787244E-2</v>
      </c>
      <c r="H15" s="71">
        <v>77.898614616801964</v>
      </c>
      <c r="I15" s="69">
        <v>7.0136590139017923E-3</v>
      </c>
      <c r="J15" s="61"/>
      <c r="K15" s="61"/>
      <c r="L15" s="61"/>
      <c r="M15" s="61"/>
    </row>
    <row r="16" spans="1:13" x14ac:dyDescent="0.25">
      <c r="A16" s="208"/>
      <c r="B16" s="64">
        <v>500</v>
      </c>
      <c r="C16" s="69">
        <v>5.3371382581919348E-2</v>
      </c>
      <c r="D16" s="69">
        <v>1.7600257158411894E-3</v>
      </c>
      <c r="E16" s="69">
        <v>1.5318521928885238</v>
      </c>
      <c r="F16" s="69">
        <v>0.46619627890952509</v>
      </c>
      <c r="G16" s="69">
        <v>0.13941759834531142</v>
      </c>
      <c r="H16" s="71">
        <v>156.42290018391407</v>
      </c>
      <c r="I16" s="69">
        <v>1.2579426235098116E-2</v>
      </c>
      <c r="J16" s="61"/>
      <c r="K16" s="61"/>
      <c r="L16" s="61"/>
      <c r="M16" s="61"/>
    </row>
    <row r="17" spans="1:13" x14ac:dyDescent="0.25">
      <c r="A17" s="209"/>
      <c r="B17" s="64">
        <v>750</v>
      </c>
      <c r="C17" s="69">
        <v>8.1348741656060763E-2</v>
      </c>
      <c r="D17" s="69">
        <v>2.6400393448571999E-3</v>
      </c>
      <c r="E17" s="69">
        <v>2.375581129318924</v>
      </c>
      <c r="F17" s="69">
        <v>0.69718233698749976</v>
      </c>
      <c r="G17" s="69">
        <v>0.21267838343155268</v>
      </c>
      <c r="H17" s="71">
        <v>234.63438258015915</v>
      </c>
      <c r="I17" s="69">
        <v>1.9189631928703061E-2</v>
      </c>
      <c r="J17" s="61"/>
      <c r="K17" s="61"/>
      <c r="L17" s="61"/>
      <c r="M17" s="61"/>
    </row>
    <row r="18" spans="1:13" x14ac:dyDescent="0.25">
      <c r="A18" s="66" t="s">
        <v>133</v>
      </c>
      <c r="B18" s="67"/>
      <c r="C18" s="68">
        <v>2.8996101994216584E-2</v>
      </c>
      <c r="D18" s="68">
        <v>3.5159903488017939E-4</v>
      </c>
      <c r="E18" s="68">
        <v>0.37663356210363147</v>
      </c>
      <c r="F18" s="68">
        <v>0.18787735830615651</v>
      </c>
      <c r="G18" s="68">
        <v>5.9282609352764803E-2</v>
      </c>
      <c r="H18" s="68">
        <v>30.303160334307702</v>
      </c>
      <c r="I18" s="68">
        <v>5.3489736642256874E-3</v>
      </c>
      <c r="J18" s="61"/>
      <c r="K18" s="61"/>
      <c r="L18" s="61"/>
      <c r="M18" s="61"/>
    </row>
    <row r="19" spans="1:13" x14ac:dyDescent="0.25">
      <c r="J19" s="61"/>
      <c r="K19" s="61"/>
      <c r="L19" s="61"/>
      <c r="M19" s="61"/>
    </row>
    <row r="20" spans="1:13" x14ac:dyDescent="0.25">
      <c r="J20" s="61"/>
      <c r="K20" s="61"/>
      <c r="L20" s="61"/>
      <c r="M20" s="61"/>
    </row>
    <row r="21" spans="1:13" x14ac:dyDescent="0.25">
      <c r="A21" s="210" t="s">
        <v>134</v>
      </c>
      <c r="B21" s="213"/>
      <c r="C21" s="213"/>
      <c r="D21" s="213"/>
      <c r="E21" s="213"/>
      <c r="F21" s="213"/>
      <c r="J21" s="61"/>
      <c r="K21" s="61"/>
      <c r="L21" s="61"/>
      <c r="M21" s="61"/>
    </row>
    <row r="22" spans="1:13" x14ac:dyDescent="0.25">
      <c r="A22" s="211"/>
      <c r="B22" s="214"/>
      <c r="C22" s="214"/>
      <c r="D22" s="214"/>
      <c r="E22" s="214"/>
      <c r="F22" s="214"/>
      <c r="J22" s="61"/>
      <c r="K22" s="61"/>
      <c r="L22" s="61"/>
      <c r="M22" s="61"/>
    </row>
    <row r="23" spans="1:13" x14ac:dyDescent="0.25">
      <c r="A23" s="211"/>
      <c r="B23" s="214"/>
      <c r="C23" s="214"/>
      <c r="D23" s="214"/>
      <c r="E23" s="214"/>
      <c r="F23" s="214"/>
      <c r="J23" s="61"/>
      <c r="K23" s="61"/>
      <c r="L23" s="61"/>
      <c r="M23" s="61"/>
    </row>
    <row r="24" spans="1:13" ht="15" customHeight="1" x14ac:dyDescent="0.25">
      <c r="A24" s="211"/>
      <c r="B24" s="215" t="s">
        <v>135</v>
      </c>
      <c r="C24" s="215"/>
      <c r="D24" s="215"/>
      <c r="E24" s="215"/>
      <c r="F24" s="215"/>
      <c r="J24" s="61"/>
      <c r="K24" s="61"/>
      <c r="L24" s="61"/>
      <c r="M24" s="61"/>
    </row>
    <row r="25" spans="1:13" x14ac:dyDescent="0.25">
      <c r="A25" s="211"/>
      <c r="B25" s="216"/>
      <c r="C25" s="216"/>
      <c r="D25" s="216"/>
      <c r="E25" s="216"/>
      <c r="F25" s="216"/>
      <c r="J25" s="61"/>
      <c r="K25" s="61"/>
      <c r="L25" s="61"/>
      <c r="M25" s="61"/>
    </row>
    <row r="26" spans="1:13" x14ac:dyDescent="0.25">
      <c r="A26" s="211"/>
      <c r="B26" s="216"/>
      <c r="C26" s="216"/>
      <c r="D26" s="216"/>
      <c r="E26" s="216"/>
      <c r="F26" s="216"/>
      <c r="J26" s="61"/>
      <c r="K26" s="61"/>
      <c r="L26" s="61"/>
      <c r="M26" s="61"/>
    </row>
    <row r="27" spans="1:13" x14ac:dyDescent="0.25">
      <c r="A27" s="212"/>
      <c r="B27" s="217"/>
      <c r="C27" s="217"/>
      <c r="D27" s="217"/>
      <c r="E27" s="217"/>
      <c r="F27" s="217"/>
      <c r="J27" s="61"/>
      <c r="K27" s="61"/>
      <c r="L27" s="61"/>
      <c r="M27" s="61"/>
    </row>
    <row r="28" spans="1:13" x14ac:dyDescent="0.25">
      <c r="J28" s="61"/>
      <c r="K28" s="61"/>
      <c r="L28" s="61"/>
      <c r="M28" s="61"/>
    </row>
    <row r="29" spans="1:13" x14ac:dyDescent="0.25">
      <c r="A29" s="3" t="s">
        <v>136</v>
      </c>
      <c r="J29" s="61"/>
      <c r="K29" s="61"/>
      <c r="L29" s="61"/>
      <c r="M29" s="61"/>
    </row>
    <row r="30" spans="1:13" x14ac:dyDescent="0.25">
      <c r="A30" s="3" t="s">
        <v>137</v>
      </c>
      <c r="J30" s="61"/>
      <c r="K30" s="61"/>
      <c r="L30" s="61"/>
      <c r="M30" s="61"/>
    </row>
    <row r="31" spans="1:13" x14ac:dyDescent="0.25">
      <c r="J31" s="61"/>
      <c r="K31" s="61"/>
      <c r="L31" s="61"/>
      <c r="M31" s="61"/>
    </row>
    <row r="32" spans="1:13" x14ac:dyDescent="0.25">
      <c r="J32" s="61"/>
      <c r="K32" s="61"/>
      <c r="L32" s="61"/>
      <c r="M32" s="61"/>
    </row>
    <row r="33" spans="10:13" x14ac:dyDescent="0.25">
      <c r="J33" s="61"/>
      <c r="K33" s="61"/>
      <c r="L33" s="61"/>
      <c r="M33" s="61"/>
    </row>
    <row r="34" spans="10:13" x14ac:dyDescent="0.25">
      <c r="J34" s="61"/>
      <c r="K34" s="61"/>
      <c r="L34" s="61"/>
      <c r="M34" s="61"/>
    </row>
    <row r="35" spans="10:13" x14ac:dyDescent="0.25">
      <c r="J35" s="61"/>
      <c r="K35" s="61"/>
      <c r="L35" s="61"/>
      <c r="M35" s="61"/>
    </row>
    <row r="36" spans="10:13" x14ac:dyDescent="0.25">
      <c r="J36" s="61"/>
      <c r="K36" s="61"/>
      <c r="L36" s="61"/>
      <c r="M36" s="61"/>
    </row>
    <row r="37" spans="10:13" x14ac:dyDescent="0.25">
      <c r="J37" s="61"/>
      <c r="K37" s="61"/>
      <c r="L37" s="61"/>
      <c r="M37" s="61"/>
    </row>
    <row r="38" spans="10:13" x14ac:dyDescent="0.25">
      <c r="J38" s="61"/>
      <c r="K38" s="61"/>
      <c r="L38" s="61"/>
      <c r="M38" s="61"/>
    </row>
    <row r="39" spans="10:13" x14ac:dyDescent="0.25">
      <c r="J39" s="61"/>
      <c r="K39" s="61"/>
      <c r="L39" s="61"/>
      <c r="M39" s="61"/>
    </row>
    <row r="40" spans="10:13" x14ac:dyDescent="0.25">
      <c r="J40" s="61"/>
      <c r="K40" s="61"/>
      <c r="L40" s="61"/>
      <c r="M40" s="61"/>
    </row>
    <row r="41" spans="10:13" x14ac:dyDescent="0.25">
      <c r="J41" s="61"/>
      <c r="K41" s="61"/>
      <c r="L41" s="61"/>
      <c r="M41" s="61"/>
    </row>
    <row r="42" spans="10:13" x14ac:dyDescent="0.25">
      <c r="J42" s="61"/>
      <c r="K42" s="61"/>
      <c r="L42" s="61"/>
      <c r="M42" s="61"/>
    </row>
    <row r="43" spans="10:13" x14ac:dyDescent="0.25">
      <c r="J43" s="61"/>
      <c r="K43" s="61"/>
      <c r="L43" s="61"/>
      <c r="M43" s="61"/>
    </row>
    <row r="44" spans="10:13" x14ac:dyDescent="0.25">
      <c r="J44" s="61"/>
      <c r="K44" s="61"/>
      <c r="L44" s="61"/>
      <c r="M44" s="61"/>
    </row>
    <row r="45" spans="10:13" x14ac:dyDescent="0.25">
      <c r="J45" s="61"/>
      <c r="K45" s="61"/>
      <c r="L45" s="61"/>
      <c r="M45" s="61"/>
    </row>
    <row r="46" spans="10:13" x14ac:dyDescent="0.25">
      <c r="J46" s="61"/>
      <c r="K46" s="61"/>
      <c r="L46" s="61"/>
      <c r="M46" s="61"/>
    </row>
    <row r="47" spans="10:13" x14ac:dyDescent="0.25">
      <c r="J47" s="61"/>
      <c r="K47" s="61"/>
      <c r="L47" s="61"/>
      <c r="M47" s="61"/>
    </row>
    <row r="48" spans="10:13" x14ac:dyDescent="0.25">
      <c r="J48" s="61"/>
      <c r="K48" s="61"/>
      <c r="L48" s="61"/>
      <c r="M48" s="61"/>
    </row>
    <row r="49" spans="10:13" x14ac:dyDescent="0.25">
      <c r="J49" s="61"/>
      <c r="K49" s="61"/>
      <c r="L49" s="61"/>
      <c r="M49" s="61"/>
    </row>
    <row r="50" spans="10:13" x14ac:dyDescent="0.25">
      <c r="J50" s="61"/>
      <c r="K50" s="61"/>
      <c r="L50" s="61"/>
      <c r="M50" s="61"/>
    </row>
    <row r="51" spans="10:13" x14ac:dyDescent="0.25">
      <c r="J51" s="61"/>
      <c r="K51" s="61"/>
      <c r="L51" s="61"/>
      <c r="M51" s="61"/>
    </row>
    <row r="52" spans="10:13" x14ac:dyDescent="0.25">
      <c r="J52" s="61"/>
      <c r="K52" s="61"/>
      <c r="L52" s="61"/>
      <c r="M52" s="61"/>
    </row>
    <row r="53" spans="10:13" x14ac:dyDescent="0.25">
      <c r="J53" s="61"/>
      <c r="K53" s="61"/>
      <c r="L53" s="61"/>
      <c r="M53" s="61"/>
    </row>
    <row r="54" spans="10:13" x14ac:dyDescent="0.25">
      <c r="J54" s="61"/>
      <c r="K54" s="61"/>
      <c r="L54" s="61"/>
      <c r="M54" s="61"/>
    </row>
    <row r="55" spans="10:13" x14ac:dyDescent="0.25">
      <c r="J55" s="61"/>
      <c r="K55" s="61"/>
      <c r="L55" s="61"/>
      <c r="M55" s="61"/>
    </row>
    <row r="56" spans="10:13" x14ac:dyDescent="0.25">
      <c r="J56" s="61"/>
      <c r="K56" s="61"/>
      <c r="L56" s="61"/>
      <c r="M56" s="61"/>
    </row>
    <row r="57" spans="10:13" x14ac:dyDescent="0.25">
      <c r="J57" s="61"/>
      <c r="K57" s="61"/>
      <c r="L57" s="61"/>
      <c r="M57" s="61"/>
    </row>
    <row r="58" spans="10:13" x14ac:dyDescent="0.25">
      <c r="J58" s="61"/>
      <c r="K58" s="61"/>
      <c r="L58" s="61"/>
      <c r="M58" s="61"/>
    </row>
    <row r="59" spans="10:13" x14ac:dyDescent="0.25">
      <c r="J59" s="61"/>
      <c r="K59" s="61"/>
      <c r="L59" s="61"/>
      <c r="M59" s="61"/>
    </row>
    <row r="60" spans="10:13" x14ac:dyDescent="0.25">
      <c r="J60" s="61"/>
      <c r="K60" s="61"/>
      <c r="L60" s="61"/>
      <c r="M60" s="61"/>
    </row>
    <row r="61" spans="10:13" x14ac:dyDescent="0.25">
      <c r="J61" s="61"/>
      <c r="K61" s="61"/>
      <c r="L61" s="61"/>
      <c r="M61" s="61"/>
    </row>
    <row r="62" spans="10:13" x14ac:dyDescent="0.25">
      <c r="J62" s="61"/>
      <c r="K62" s="61"/>
      <c r="L62" s="61"/>
      <c r="M62" s="61"/>
    </row>
    <row r="63" spans="10:13" x14ac:dyDescent="0.25">
      <c r="J63" s="61"/>
      <c r="K63" s="61"/>
      <c r="L63" s="61"/>
      <c r="M63" s="61"/>
    </row>
    <row r="64" spans="10:13" x14ac:dyDescent="0.25">
      <c r="J64" s="61"/>
      <c r="K64" s="61"/>
      <c r="L64" s="61"/>
      <c r="M64" s="61"/>
    </row>
    <row r="65" spans="10:13" x14ac:dyDescent="0.25">
      <c r="J65" s="61"/>
      <c r="K65" s="61"/>
      <c r="L65" s="61"/>
      <c r="M65" s="61"/>
    </row>
    <row r="66" spans="10:13" x14ac:dyDescent="0.25">
      <c r="J66" s="61"/>
      <c r="K66" s="61"/>
      <c r="L66" s="61"/>
      <c r="M66" s="61"/>
    </row>
    <row r="67" spans="10:13" x14ac:dyDescent="0.25">
      <c r="J67" s="61"/>
      <c r="K67" s="61"/>
      <c r="L67" s="61"/>
      <c r="M67" s="61"/>
    </row>
    <row r="68" spans="10:13" x14ac:dyDescent="0.25">
      <c r="J68" s="61"/>
      <c r="K68" s="61"/>
      <c r="L68" s="61"/>
      <c r="M68" s="61"/>
    </row>
    <row r="69" spans="10:13" x14ac:dyDescent="0.25">
      <c r="J69" s="61"/>
      <c r="K69" s="61"/>
      <c r="L69" s="61"/>
      <c r="M69" s="61"/>
    </row>
    <row r="70" spans="10:13" x14ac:dyDescent="0.25">
      <c r="J70" s="61"/>
      <c r="K70" s="61"/>
      <c r="L70" s="61"/>
      <c r="M70" s="61"/>
    </row>
    <row r="71" spans="10:13" x14ac:dyDescent="0.25">
      <c r="J71" s="61"/>
      <c r="K71" s="61"/>
      <c r="L71" s="61"/>
      <c r="M71" s="61"/>
    </row>
    <row r="72" spans="10:13" x14ac:dyDescent="0.25">
      <c r="J72" s="61"/>
      <c r="K72" s="61"/>
      <c r="L72" s="61"/>
      <c r="M72" s="61"/>
    </row>
    <row r="73" spans="10:13" x14ac:dyDescent="0.25">
      <c r="J73" s="61"/>
      <c r="K73" s="61"/>
      <c r="L73" s="61"/>
      <c r="M73" s="61"/>
    </row>
    <row r="74" spans="10:13" x14ac:dyDescent="0.25">
      <c r="J74" s="61"/>
      <c r="K74" s="61"/>
      <c r="L74" s="61"/>
      <c r="M74" s="61"/>
    </row>
    <row r="75" spans="10:13" x14ac:dyDescent="0.25">
      <c r="J75" s="61"/>
      <c r="K75" s="61"/>
      <c r="L75" s="61"/>
      <c r="M75" s="61"/>
    </row>
    <row r="76" spans="10:13" x14ac:dyDescent="0.25">
      <c r="J76" s="61"/>
      <c r="K76" s="61"/>
      <c r="L76" s="61"/>
      <c r="M76" s="61"/>
    </row>
    <row r="77" spans="10:13" x14ac:dyDescent="0.25">
      <c r="J77" s="61"/>
      <c r="K77" s="61"/>
      <c r="L77" s="61"/>
      <c r="M77" s="61"/>
    </row>
    <row r="78" spans="10:13" x14ac:dyDescent="0.25">
      <c r="J78" s="61"/>
      <c r="K78" s="61"/>
      <c r="L78" s="61"/>
      <c r="M78" s="61"/>
    </row>
    <row r="79" spans="10:13" x14ac:dyDescent="0.25">
      <c r="J79" s="61"/>
      <c r="K79" s="61"/>
      <c r="L79" s="61"/>
      <c r="M79" s="61"/>
    </row>
    <row r="80" spans="10:13" x14ac:dyDescent="0.25">
      <c r="J80" s="61"/>
      <c r="K80" s="61"/>
      <c r="L80" s="61"/>
      <c r="M80" s="61"/>
    </row>
    <row r="81" spans="10:13" x14ac:dyDescent="0.25">
      <c r="J81" s="61"/>
      <c r="K81" s="61"/>
      <c r="L81" s="61"/>
      <c r="M81" s="61"/>
    </row>
    <row r="82" spans="10:13" x14ac:dyDescent="0.25">
      <c r="J82" s="61"/>
      <c r="K82" s="61"/>
      <c r="L82" s="61"/>
      <c r="M82" s="61"/>
    </row>
    <row r="83" spans="10:13" x14ac:dyDescent="0.25">
      <c r="J83" s="61"/>
      <c r="K83" s="61"/>
      <c r="L83" s="61"/>
      <c r="M83" s="61"/>
    </row>
    <row r="84" spans="10:13" x14ac:dyDescent="0.25">
      <c r="J84" s="61"/>
      <c r="K84" s="61"/>
      <c r="L84" s="61"/>
      <c r="M84" s="61"/>
    </row>
    <row r="85" spans="10:13" x14ac:dyDescent="0.25">
      <c r="J85" s="61"/>
      <c r="K85" s="61"/>
      <c r="L85" s="61"/>
      <c r="M85" s="61"/>
    </row>
    <row r="86" spans="10:13" x14ac:dyDescent="0.25">
      <c r="J86" s="61"/>
      <c r="K86" s="61"/>
      <c r="L86" s="61"/>
      <c r="M86" s="61"/>
    </row>
    <row r="87" spans="10:13" x14ac:dyDescent="0.25">
      <c r="J87" s="61"/>
      <c r="K87" s="61"/>
      <c r="L87" s="61"/>
      <c r="M87" s="61"/>
    </row>
    <row r="88" spans="10:13" x14ac:dyDescent="0.25">
      <c r="J88" s="61"/>
      <c r="K88" s="61"/>
      <c r="L88" s="61"/>
      <c r="M88" s="61"/>
    </row>
    <row r="89" spans="10:13" x14ac:dyDescent="0.25">
      <c r="J89" s="61"/>
      <c r="K89" s="61"/>
      <c r="L89" s="61"/>
      <c r="M89" s="61"/>
    </row>
    <row r="90" spans="10:13" x14ac:dyDescent="0.25">
      <c r="J90" s="61"/>
      <c r="K90" s="61"/>
      <c r="L90" s="61"/>
      <c r="M90" s="61"/>
    </row>
    <row r="91" spans="10:13" x14ac:dyDescent="0.25">
      <c r="J91" s="61"/>
      <c r="K91" s="61"/>
      <c r="L91" s="61"/>
      <c r="M91" s="61"/>
    </row>
    <row r="92" spans="10:13" x14ac:dyDescent="0.25">
      <c r="J92" s="61"/>
      <c r="K92" s="61"/>
      <c r="L92" s="61"/>
      <c r="M92" s="61"/>
    </row>
    <row r="93" spans="10:13" x14ac:dyDescent="0.25">
      <c r="J93" s="61"/>
      <c r="K93" s="61"/>
      <c r="L93" s="61"/>
      <c r="M93" s="61"/>
    </row>
    <row r="94" spans="10:13" x14ac:dyDescent="0.25">
      <c r="J94" s="61"/>
      <c r="K94" s="61"/>
      <c r="L94" s="61"/>
      <c r="M94" s="61"/>
    </row>
    <row r="95" spans="10:13" x14ac:dyDescent="0.25">
      <c r="J95" s="61"/>
      <c r="K95" s="61"/>
      <c r="L95" s="61"/>
      <c r="M95" s="61"/>
    </row>
    <row r="96" spans="10:13" x14ac:dyDescent="0.25">
      <c r="J96" s="61"/>
      <c r="K96" s="61"/>
      <c r="L96" s="61"/>
      <c r="M96" s="61"/>
    </row>
    <row r="97" spans="10:13" x14ac:dyDescent="0.25">
      <c r="J97" s="61"/>
      <c r="K97" s="61"/>
      <c r="L97" s="61"/>
      <c r="M97" s="61"/>
    </row>
    <row r="98" spans="10:13" x14ac:dyDescent="0.25">
      <c r="J98" s="61"/>
      <c r="K98" s="61"/>
      <c r="L98" s="61"/>
      <c r="M98" s="61"/>
    </row>
    <row r="99" spans="10:13" x14ac:dyDescent="0.25">
      <c r="J99" s="61"/>
      <c r="K99" s="61"/>
      <c r="L99" s="61"/>
      <c r="M99" s="61"/>
    </row>
    <row r="100" spans="10:13" x14ac:dyDescent="0.25">
      <c r="J100" s="61"/>
      <c r="K100" s="61"/>
      <c r="L100" s="61"/>
      <c r="M100" s="61"/>
    </row>
    <row r="101" spans="10:13" x14ac:dyDescent="0.25">
      <c r="J101" s="61"/>
      <c r="K101" s="61"/>
      <c r="L101" s="61"/>
      <c r="M101" s="61"/>
    </row>
    <row r="102" spans="10:13" x14ac:dyDescent="0.25">
      <c r="J102" s="61"/>
      <c r="K102" s="61"/>
      <c r="L102" s="61"/>
      <c r="M102" s="61"/>
    </row>
    <row r="103" spans="10:13" x14ac:dyDescent="0.25">
      <c r="J103" s="61"/>
      <c r="K103" s="61"/>
      <c r="L103" s="61"/>
      <c r="M103" s="61"/>
    </row>
    <row r="104" spans="10:13" x14ac:dyDescent="0.25">
      <c r="J104" s="61"/>
      <c r="K104" s="61"/>
      <c r="L104" s="61"/>
      <c r="M104" s="61"/>
    </row>
    <row r="105" spans="10:13" x14ac:dyDescent="0.25">
      <c r="J105" s="61"/>
      <c r="K105" s="61"/>
      <c r="L105" s="61"/>
      <c r="M105" s="61"/>
    </row>
    <row r="106" spans="10:13" x14ac:dyDescent="0.25">
      <c r="J106" s="61"/>
      <c r="K106" s="61"/>
      <c r="L106" s="61"/>
      <c r="M106" s="61"/>
    </row>
    <row r="107" spans="10:13" x14ac:dyDescent="0.25">
      <c r="J107" s="61"/>
      <c r="K107" s="61"/>
      <c r="L107" s="61"/>
      <c r="M107" s="61"/>
    </row>
    <row r="108" spans="10:13" x14ac:dyDescent="0.25">
      <c r="J108" s="61"/>
      <c r="K108" s="61"/>
      <c r="L108" s="61"/>
      <c r="M108" s="61"/>
    </row>
    <row r="109" spans="10:13" x14ac:dyDescent="0.25">
      <c r="J109" s="61"/>
      <c r="K109" s="61"/>
      <c r="L109" s="61"/>
      <c r="M109" s="61"/>
    </row>
    <row r="110" spans="10:13" x14ac:dyDescent="0.25">
      <c r="J110" s="61"/>
      <c r="K110" s="61"/>
      <c r="L110" s="61"/>
      <c r="M110" s="61"/>
    </row>
    <row r="111" spans="10:13" x14ac:dyDescent="0.25">
      <c r="J111" s="61"/>
      <c r="K111" s="61"/>
      <c r="L111" s="61"/>
      <c r="M111" s="61"/>
    </row>
    <row r="112" spans="10:13" x14ac:dyDescent="0.25">
      <c r="J112" s="61"/>
      <c r="K112" s="61"/>
      <c r="L112" s="61"/>
      <c r="M112" s="61"/>
    </row>
    <row r="113" spans="10:13" x14ac:dyDescent="0.25">
      <c r="J113" s="61"/>
      <c r="K113" s="61"/>
      <c r="L113" s="61"/>
      <c r="M113" s="61"/>
    </row>
    <row r="114" spans="10:13" x14ac:dyDescent="0.25">
      <c r="J114" s="61"/>
      <c r="K114" s="61"/>
      <c r="L114" s="61"/>
      <c r="M114" s="61"/>
    </row>
    <row r="115" spans="10:13" x14ac:dyDescent="0.25">
      <c r="J115" s="61"/>
      <c r="K115" s="61"/>
      <c r="L115" s="61"/>
      <c r="M115" s="61"/>
    </row>
    <row r="116" spans="10:13" x14ac:dyDescent="0.25">
      <c r="J116" s="61"/>
      <c r="K116" s="61"/>
      <c r="L116" s="61"/>
      <c r="M116" s="61"/>
    </row>
    <row r="117" spans="10:13" x14ac:dyDescent="0.25">
      <c r="J117" s="61"/>
      <c r="K117" s="61"/>
      <c r="L117" s="61"/>
      <c r="M117" s="61"/>
    </row>
    <row r="118" spans="10:13" x14ac:dyDescent="0.25">
      <c r="J118" s="61"/>
      <c r="K118" s="61"/>
      <c r="L118" s="61"/>
      <c r="M118" s="61"/>
    </row>
    <row r="119" spans="10:13" x14ac:dyDescent="0.25">
      <c r="J119" s="61"/>
      <c r="K119" s="61"/>
      <c r="L119" s="61"/>
      <c r="M119" s="61"/>
    </row>
    <row r="120" spans="10:13" x14ac:dyDescent="0.25">
      <c r="J120" s="61"/>
      <c r="K120" s="61"/>
      <c r="L120" s="61"/>
      <c r="M120" s="61"/>
    </row>
    <row r="121" spans="10:13" x14ac:dyDescent="0.25">
      <c r="J121" s="61"/>
      <c r="K121" s="61"/>
      <c r="L121" s="61"/>
      <c r="M121" s="61"/>
    </row>
    <row r="122" spans="10:13" x14ac:dyDescent="0.25">
      <c r="J122" s="61"/>
      <c r="K122" s="61"/>
      <c r="L122" s="61"/>
      <c r="M122" s="61"/>
    </row>
    <row r="123" spans="10:13" x14ac:dyDescent="0.25">
      <c r="J123" s="61"/>
      <c r="K123" s="61"/>
      <c r="L123" s="61"/>
      <c r="M123" s="61"/>
    </row>
    <row r="124" spans="10:13" x14ac:dyDescent="0.25">
      <c r="J124" s="61"/>
      <c r="K124" s="61"/>
      <c r="L124" s="61"/>
      <c r="M124" s="61"/>
    </row>
    <row r="125" spans="10:13" x14ac:dyDescent="0.25">
      <c r="J125" s="61"/>
      <c r="K125" s="61"/>
      <c r="L125" s="61"/>
      <c r="M125" s="61"/>
    </row>
    <row r="126" spans="10:13" x14ac:dyDescent="0.25">
      <c r="J126" s="61"/>
      <c r="K126" s="61"/>
      <c r="L126" s="61"/>
      <c r="M126" s="61"/>
    </row>
    <row r="127" spans="10:13" x14ac:dyDescent="0.25">
      <c r="J127" s="61"/>
      <c r="K127" s="61"/>
      <c r="L127" s="61"/>
      <c r="M127" s="61"/>
    </row>
    <row r="128" spans="10:13" x14ac:dyDescent="0.25">
      <c r="J128" s="61"/>
      <c r="K128" s="61"/>
      <c r="L128" s="61"/>
      <c r="M128" s="61"/>
    </row>
    <row r="129" spans="10:13" x14ac:dyDescent="0.25">
      <c r="J129" s="61"/>
      <c r="K129" s="61"/>
      <c r="L129" s="61"/>
      <c r="M129" s="61"/>
    </row>
    <row r="130" spans="10:13" x14ac:dyDescent="0.25">
      <c r="J130" s="61"/>
      <c r="K130" s="61"/>
      <c r="L130" s="61"/>
      <c r="M130" s="61"/>
    </row>
    <row r="131" spans="10:13" x14ac:dyDescent="0.25">
      <c r="J131" s="61"/>
      <c r="K131" s="61"/>
      <c r="L131" s="61"/>
      <c r="M131" s="61"/>
    </row>
    <row r="132" spans="10:13" x14ac:dyDescent="0.25">
      <c r="J132" s="61"/>
      <c r="K132" s="61"/>
      <c r="L132" s="61"/>
      <c r="M132" s="61"/>
    </row>
    <row r="133" spans="10:13" x14ac:dyDescent="0.25">
      <c r="J133" s="61"/>
      <c r="K133" s="61"/>
      <c r="L133" s="61"/>
      <c r="M133" s="61"/>
    </row>
    <row r="134" spans="10:13" x14ac:dyDescent="0.25">
      <c r="J134" s="61"/>
      <c r="K134" s="61"/>
      <c r="L134" s="61"/>
      <c r="M134" s="61"/>
    </row>
    <row r="135" spans="10:13" x14ac:dyDescent="0.25">
      <c r="J135" s="61"/>
      <c r="K135" s="61"/>
      <c r="L135" s="61"/>
      <c r="M135" s="61"/>
    </row>
    <row r="136" spans="10:13" x14ac:dyDescent="0.25">
      <c r="J136" s="61"/>
      <c r="K136" s="61"/>
      <c r="L136" s="61"/>
      <c r="M136" s="61"/>
    </row>
    <row r="137" spans="10:13" x14ac:dyDescent="0.25">
      <c r="J137" s="61"/>
      <c r="K137" s="61"/>
      <c r="L137" s="61"/>
      <c r="M137" s="61"/>
    </row>
    <row r="138" spans="10:13" x14ac:dyDescent="0.25">
      <c r="J138" s="61"/>
      <c r="K138" s="61"/>
      <c r="L138" s="61"/>
      <c r="M138" s="61"/>
    </row>
    <row r="139" spans="10:13" x14ac:dyDescent="0.25">
      <c r="J139" s="61"/>
      <c r="K139" s="61"/>
      <c r="L139" s="61"/>
      <c r="M139" s="61"/>
    </row>
    <row r="140" spans="10:13" x14ac:dyDescent="0.25">
      <c r="J140" s="61"/>
      <c r="K140" s="61"/>
      <c r="L140" s="61"/>
      <c r="M140" s="61"/>
    </row>
    <row r="141" spans="10:13" x14ac:dyDescent="0.25">
      <c r="J141" s="61"/>
      <c r="K141" s="61"/>
      <c r="L141" s="61"/>
      <c r="M141" s="61"/>
    </row>
    <row r="142" spans="10:13" x14ac:dyDescent="0.25">
      <c r="J142" s="61"/>
      <c r="K142" s="61"/>
      <c r="L142" s="61"/>
      <c r="M142" s="61"/>
    </row>
    <row r="143" spans="10:13" x14ac:dyDescent="0.25">
      <c r="J143" s="61"/>
      <c r="K143" s="61"/>
      <c r="L143" s="61"/>
      <c r="M143" s="61"/>
    </row>
    <row r="144" spans="10:13" x14ac:dyDescent="0.25">
      <c r="J144" s="61"/>
      <c r="K144" s="61"/>
      <c r="L144" s="61"/>
      <c r="M144" s="61"/>
    </row>
    <row r="145" spans="10:13" x14ac:dyDescent="0.25">
      <c r="J145" s="61"/>
      <c r="K145" s="61"/>
      <c r="L145" s="61"/>
      <c r="M145" s="61"/>
    </row>
    <row r="146" spans="10:13" x14ac:dyDescent="0.25">
      <c r="J146" s="61"/>
      <c r="K146" s="61"/>
      <c r="L146" s="61"/>
      <c r="M146" s="61"/>
    </row>
    <row r="147" spans="10:13" x14ac:dyDescent="0.25">
      <c r="J147" s="61"/>
      <c r="K147" s="61"/>
      <c r="L147" s="61"/>
      <c r="M147" s="61"/>
    </row>
    <row r="148" spans="10:13" x14ac:dyDescent="0.25">
      <c r="J148" s="61"/>
      <c r="K148" s="61"/>
      <c r="L148" s="61"/>
      <c r="M148" s="61"/>
    </row>
    <row r="149" spans="10:13" x14ac:dyDescent="0.25">
      <c r="J149" s="61"/>
      <c r="K149" s="61"/>
      <c r="L149" s="61"/>
      <c r="M149" s="61"/>
    </row>
    <row r="150" spans="10:13" x14ac:dyDescent="0.25">
      <c r="J150" s="61"/>
      <c r="K150" s="61"/>
      <c r="L150" s="61"/>
      <c r="M150" s="61"/>
    </row>
    <row r="151" spans="10:13" x14ac:dyDescent="0.25">
      <c r="J151" s="61"/>
      <c r="K151" s="61"/>
      <c r="L151" s="61"/>
      <c r="M151" s="61"/>
    </row>
    <row r="152" spans="10:13" x14ac:dyDescent="0.25">
      <c r="J152" s="61"/>
      <c r="K152" s="61"/>
      <c r="L152" s="61"/>
      <c r="M152" s="61"/>
    </row>
    <row r="153" spans="10:13" x14ac:dyDescent="0.25">
      <c r="J153" s="61"/>
      <c r="K153" s="61"/>
      <c r="L153" s="61"/>
      <c r="M153" s="61"/>
    </row>
    <row r="154" spans="10:13" x14ac:dyDescent="0.25">
      <c r="J154" s="61"/>
      <c r="K154" s="61"/>
      <c r="L154" s="61"/>
      <c r="M154" s="61"/>
    </row>
    <row r="155" spans="10:13" x14ac:dyDescent="0.25">
      <c r="J155" s="61"/>
      <c r="K155" s="61"/>
      <c r="L155" s="61"/>
      <c r="M155" s="61"/>
    </row>
    <row r="156" spans="10:13" x14ac:dyDescent="0.25">
      <c r="J156" s="61"/>
      <c r="K156" s="61"/>
      <c r="L156" s="61"/>
      <c r="M156" s="61"/>
    </row>
    <row r="157" spans="10:13" x14ac:dyDescent="0.25">
      <c r="J157" s="61"/>
      <c r="K157" s="61"/>
      <c r="L157" s="61"/>
      <c r="M157" s="61"/>
    </row>
    <row r="158" spans="10:13" x14ac:dyDescent="0.25">
      <c r="J158" s="61"/>
      <c r="K158" s="61"/>
      <c r="L158" s="61"/>
      <c r="M158" s="61"/>
    </row>
    <row r="159" spans="10:13" x14ac:dyDescent="0.25">
      <c r="J159" s="61"/>
      <c r="K159" s="61"/>
      <c r="L159" s="61"/>
      <c r="M159" s="61"/>
    </row>
    <row r="160" spans="10:13" x14ac:dyDescent="0.25">
      <c r="J160" s="61"/>
      <c r="K160" s="61"/>
      <c r="L160" s="61"/>
      <c r="M160" s="61"/>
    </row>
    <row r="161" spans="10:13" x14ac:dyDescent="0.25">
      <c r="J161" s="61"/>
      <c r="K161" s="61"/>
      <c r="L161" s="61"/>
      <c r="M161" s="61"/>
    </row>
    <row r="162" spans="10:13" x14ac:dyDescent="0.25">
      <c r="J162" s="61"/>
      <c r="K162" s="61"/>
      <c r="L162" s="61"/>
      <c r="M162" s="61"/>
    </row>
    <row r="163" spans="10:13" x14ac:dyDescent="0.25">
      <c r="J163" s="61"/>
      <c r="K163" s="61"/>
      <c r="L163" s="61"/>
      <c r="M163" s="61"/>
    </row>
    <row r="164" spans="10:13" x14ac:dyDescent="0.25">
      <c r="J164" s="61"/>
      <c r="K164" s="61"/>
      <c r="L164" s="61"/>
      <c r="M164" s="61"/>
    </row>
    <row r="165" spans="10:13" x14ac:dyDescent="0.25">
      <c r="J165" s="61"/>
      <c r="K165" s="61"/>
      <c r="L165" s="61"/>
      <c r="M165" s="61"/>
    </row>
    <row r="166" spans="10:13" x14ac:dyDescent="0.25">
      <c r="J166" s="61"/>
      <c r="K166" s="61"/>
      <c r="L166" s="61"/>
      <c r="M166" s="61"/>
    </row>
    <row r="167" spans="10:13" x14ac:dyDescent="0.25">
      <c r="J167" s="61"/>
      <c r="K167" s="61"/>
      <c r="L167" s="61"/>
      <c r="M167" s="61"/>
    </row>
    <row r="168" spans="10:13" x14ac:dyDescent="0.25">
      <c r="J168" s="61"/>
      <c r="K168" s="61"/>
      <c r="L168" s="61"/>
      <c r="M168" s="61"/>
    </row>
    <row r="169" spans="10:13" x14ac:dyDescent="0.25">
      <c r="J169" s="61"/>
      <c r="K169" s="61"/>
      <c r="L169" s="61"/>
      <c r="M169" s="61"/>
    </row>
    <row r="170" spans="10:13" x14ac:dyDescent="0.25">
      <c r="J170" s="61"/>
      <c r="K170" s="61"/>
      <c r="L170" s="61"/>
      <c r="M170" s="61"/>
    </row>
    <row r="171" spans="10:13" x14ac:dyDescent="0.25">
      <c r="J171" s="61"/>
      <c r="K171" s="61"/>
      <c r="L171" s="61"/>
      <c r="M171" s="61"/>
    </row>
    <row r="172" spans="10:13" x14ac:dyDescent="0.25">
      <c r="J172" s="61"/>
      <c r="K172" s="61"/>
      <c r="L172" s="61"/>
      <c r="M172" s="61"/>
    </row>
    <row r="173" spans="10:13" x14ac:dyDescent="0.25">
      <c r="J173" s="61"/>
      <c r="K173" s="61"/>
      <c r="L173" s="61"/>
      <c r="M173" s="61"/>
    </row>
    <row r="174" spans="10:13" x14ac:dyDescent="0.25">
      <c r="J174" s="61"/>
      <c r="K174" s="61"/>
      <c r="L174" s="61"/>
      <c r="M174" s="61"/>
    </row>
    <row r="175" spans="10:13" x14ac:dyDescent="0.25">
      <c r="J175" s="61"/>
      <c r="K175" s="61"/>
      <c r="L175" s="61"/>
      <c r="M175" s="61"/>
    </row>
    <row r="176" spans="10:13" x14ac:dyDescent="0.25">
      <c r="J176" s="61"/>
      <c r="K176" s="61"/>
      <c r="L176" s="61"/>
      <c r="M176" s="61"/>
    </row>
    <row r="177" spans="10:13" x14ac:dyDescent="0.25">
      <c r="J177" s="61"/>
      <c r="K177" s="61"/>
      <c r="L177" s="61"/>
      <c r="M177" s="61"/>
    </row>
    <row r="178" spans="10:13" x14ac:dyDescent="0.25">
      <c r="J178" s="61"/>
      <c r="K178" s="61"/>
      <c r="L178" s="61"/>
      <c r="M178" s="61"/>
    </row>
    <row r="179" spans="10:13" x14ac:dyDescent="0.25">
      <c r="J179" s="61"/>
      <c r="K179" s="61"/>
      <c r="L179" s="61"/>
      <c r="M179" s="61"/>
    </row>
    <row r="180" spans="10:13" x14ac:dyDescent="0.25">
      <c r="J180" s="61"/>
      <c r="K180" s="61"/>
      <c r="L180" s="61"/>
      <c r="M180" s="61"/>
    </row>
    <row r="181" spans="10:13" x14ac:dyDescent="0.25">
      <c r="J181" s="61"/>
      <c r="K181" s="61"/>
      <c r="L181" s="61"/>
      <c r="M181" s="61"/>
    </row>
    <row r="182" spans="10:13" x14ac:dyDescent="0.25">
      <c r="J182" s="61"/>
      <c r="K182" s="61"/>
      <c r="L182" s="61"/>
      <c r="M182" s="61"/>
    </row>
    <row r="183" spans="10:13" x14ac:dyDescent="0.25">
      <c r="J183" s="61"/>
      <c r="K183" s="61"/>
      <c r="L183" s="61"/>
      <c r="M183" s="61"/>
    </row>
    <row r="184" spans="10:13" x14ac:dyDescent="0.25">
      <c r="J184" s="61"/>
      <c r="K184" s="61"/>
      <c r="L184" s="61"/>
      <c r="M184" s="61"/>
    </row>
    <row r="185" spans="10:13" x14ac:dyDescent="0.25">
      <c r="J185" s="61"/>
      <c r="K185" s="61"/>
      <c r="L185" s="61"/>
      <c r="M185" s="61"/>
    </row>
    <row r="186" spans="10:13" x14ac:dyDescent="0.25">
      <c r="J186" s="61"/>
      <c r="K186" s="61"/>
      <c r="L186" s="61"/>
      <c r="M186" s="61"/>
    </row>
    <row r="187" spans="10:13" x14ac:dyDescent="0.25">
      <c r="J187" s="61"/>
      <c r="K187" s="61"/>
      <c r="L187" s="61"/>
      <c r="M187" s="61"/>
    </row>
    <row r="188" spans="10:13" x14ac:dyDescent="0.25">
      <c r="J188" s="61"/>
      <c r="K188" s="61"/>
      <c r="L188" s="61"/>
      <c r="M188" s="61"/>
    </row>
    <row r="189" spans="10:13" x14ac:dyDescent="0.25">
      <c r="J189" s="61"/>
      <c r="K189" s="61"/>
      <c r="L189" s="61"/>
      <c r="M189" s="61"/>
    </row>
    <row r="190" spans="10:13" x14ac:dyDescent="0.25">
      <c r="J190" s="61"/>
      <c r="K190" s="61"/>
      <c r="L190" s="61"/>
      <c r="M190" s="61"/>
    </row>
    <row r="191" spans="10:13" x14ac:dyDescent="0.25">
      <c r="J191" s="61"/>
      <c r="K191" s="61"/>
      <c r="L191" s="61"/>
      <c r="M191" s="61"/>
    </row>
    <row r="192" spans="10:13" x14ac:dyDescent="0.25">
      <c r="J192" s="61"/>
      <c r="K192" s="61"/>
      <c r="L192" s="61"/>
      <c r="M192" s="61"/>
    </row>
    <row r="193" spans="10:13" x14ac:dyDescent="0.25">
      <c r="J193" s="61"/>
      <c r="K193" s="61"/>
      <c r="L193" s="61"/>
      <c r="M193" s="61"/>
    </row>
    <row r="194" spans="10:13" x14ac:dyDescent="0.25">
      <c r="J194" s="61"/>
      <c r="K194" s="61"/>
      <c r="L194" s="61"/>
      <c r="M194" s="61"/>
    </row>
    <row r="195" spans="10:13" x14ac:dyDescent="0.25">
      <c r="J195" s="61"/>
      <c r="K195" s="61"/>
      <c r="L195" s="61"/>
      <c r="M195" s="61"/>
    </row>
    <row r="196" spans="10:13" x14ac:dyDescent="0.25">
      <c r="J196" s="61"/>
      <c r="K196" s="61"/>
      <c r="L196" s="61"/>
      <c r="M196" s="61"/>
    </row>
    <row r="197" spans="10:13" x14ac:dyDescent="0.25">
      <c r="J197" s="61"/>
      <c r="K197" s="61"/>
      <c r="L197" s="61"/>
      <c r="M197" s="61"/>
    </row>
    <row r="198" spans="10:13" x14ac:dyDescent="0.25">
      <c r="J198" s="61"/>
      <c r="K198" s="61"/>
      <c r="L198" s="61"/>
      <c r="M198" s="61"/>
    </row>
    <row r="199" spans="10:13" x14ac:dyDescent="0.25">
      <c r="J199" s="61"/>
      <c r="K199" s="61"/>
      <c r="L199" s="61"/>
      <c r="M199" s="61"/>
    </row>
    <row r="200" spans="10:13" x14ac:dyDescent="0.25">
      <c r="J200" s="61"/>
      <c r="K200" s="61"/>
      <c r="L200" s="61"/>
      <c r="M200" s="61"/>
    </row>
    <row r="201" spans="10:13" x14ac:dyDescent="0.25">
      <c r="J201" s="61"/>
      <c r="K201" s="61"/>
      <c r="L201" s="61"/>
      <c r="M201" s="61"/>
    </row>
    <row r="202" spans="10:13" x14ac:dyDescent="0.25">
      <c r="J202" s="61"/>
      <c r="K202" s="61"/>
      <c r="L202" s="61"/>
      <c r="M202" s="61"/>
    </row>
    <row r="203" spans="10:13" x14ac:dyDescent="0.25">
      <c r="J203" s="61"/>
      <c r="K203" s="61"/>
      <c r="L203" s="61"/>
      <c r="M203" s="61"/>
    </row>
    <row r="204" spans="10:13" x14ac:dyDescent="0.25">
      <c r="J204" s="61"/>
      <c r="K204" s="61"/>
      <c r="L204" s="61"/>
      <c r="M204" s="61"/>
    </row>
    <row r="205" spans="10:13" x14ac:dyDescent="0.25">
      <c r="J205" s="61"/>
      <c r="K205" s="61"/>
      <c r="L205" s="61"/>
      <c r="M205" s="61"/>
    </row>
    <row r="206" spans="10:13" x14ac:dyDescent="0.25">
      <c r="J206" s="61"/>
      <c r="K206" s="61"/>
      <c r="L206" s="61"/>
      <c r="M206" s="61"/>
    </row>
    <row r="207" spans="10:13" x14ac:dyDescent="0.25">
      <c r="J207" s="61"/>
      <c r="K207" s="61"/>
      <c r="L207" s="61"/>
      <c r="M207" s="61"/>
    </row>
    <row r="208" spans="10:13" x14ac:dyDescent="0.25">
      <c r="J208" s="61"/>
      <c r="K208" s="61"/>
      <c r="L208" s="61"/>
      <c r="M208" s="61"/>
    </row>
    <row r="209" spans="10:13" x14ac:dyDescent="0.25">
      <c r="J209" s="61"/>
      <c r="K209" s="61"/>
      <c r="L209" s="61"/>
      <c r="M209" s="61"/>
    </row>
    <row r="210" spans="10:13" x14ac:dyDescent="0.25">
      <c r="J210" s="61"/>
      <c r="K210" s="61"/>
      <c r="L210" s="61"/>
      <c r="M210" s="61"/>
    </row>
    <row r="211" spans="10:13" x14ac:dyDescent="0.25">
      <c r="J211" s="61"/>
      <c r="K211" s="61"/>
      <c r="L211" s="61"/>
      <c r="M211" s="61"/>
    </row>
    <row r="212" spans="10:13" x14ac:dyDescent="0.25">
      <c r="J212" s="61"/>
      <c r="K212" s="61"/>
      <c r="L212" s="61"/>
      <c r="M212" s="61"/>
    </row>
    <row r="213" spans="10:13" x14ac:dyDescent="0.25">
      <c r="J213" s="61"/>
      <c r="K213" s="61"/>
      <c r="L213" s="61"/>
      <c r="M213" s="61"/>
    </row>
    <row r="214" spans="10:13" x14ac:dyDescent="0.25">
      <c r="J214" s="61"/>
      <c r="K214" s="61"/>
      <c r="L214" s="61"/>
      <c r="M214" s="61"/>
    </row>
    <row r="215" spans="10:13" x14ac:dyDescent="0.25">
      <c r="J215" s="61"/>
      <c r="K215" s="61"/>
      <c r="L215" s="61"/>
      <c r="M215" s="61"/>
    </row>
    <row r="216" spans="10:13" x14ac:dyDescent="0.25">
      <c r="J216" s="61"/>
      <c r="K216" s="61"/>
      <c r="L216" s="61"/>
      <c r="M216" s="61"/>
    </row>
    <row r="217" spans="10:13" x14ac:dyDescent="0.25">
      <c r="J217" s="61"/>
      <c r="K217" s="61"/>
      <c r="L217" s="61"/>
      <c r="M217" s="61"/>
    </row>
    <row r="218" spans="10:13" x14ac:dyDescent="0.25">
      <c r="J218" s="61"/>
      <c r="K218" s="61"/>
      <c r="L218" s="61"/>
      <c r="M218" s="61"/>
    </row>
    <row r="219" spans="10:13" x14ac:dyDescent="0.25">
      <c r="J219" s="61"/>
      <c r="K219" s="61"/>
      <c r="L219" s="61"/>
      <c r="M219" s="61"/>
    </row>
    <row r="220" spans="10:13" x14ac:dyDescent="0.25">
      <c r="J220" s="61"/>
      <c r="K220" s="61"/>
      <c r="L220" s="61"/>
      <c r="M220" s="61"/>
    </row>
    <row r="221" spans="10:13" x14ac:dyDescent="0.25">
      <c r="J221" s="61"/>
      <c r="K221" s="61"/>
      <c r="L221" s="61"/>
      <c r="M221" s="61"/>
    </row>
    <row r="222" spans="10:13" x14ac:dyDescent="0.25">
      <c r="J222" s="61"/>
      <c r="K222" s="61"/>
      <c r="L222" s="61"/>
      <c r="M222" s="61"/>
    </row>
    <row r="223" spans="10:13" x14ac:dyDescent="0.25">
      <c r="J223" s="61"/>
      <c r="K223" s="61"/>
      <c r="L223" s="61"/>
      <c r="M223" s="61"/>
    </row>
    <row r="224" spans="10:13" x14ac:dyDescent="0.25">
      <c r="J224" s="61"/>
      <c r="K224" s="61"/>
      <c r="L224" s="61"/>
      <c r="M224" s="61"/>
    </row>
    <row r="225" spans="10:13" x14ac:dyDescent="0.25">
      <c r="J225" s="61"/>
      <c r="K225" s="61"/>
      <c r="L225" s="61"/>
      <c r="M225" s="61"/>
    </row>
    <row r="226" spans="10:13" x14ac:dyDescent="0.25">
      <c r="J226" s="61"/>
      <c r="K226" s="61"/>
      <c r="L226" s="61"/>
      <c r="M226" s="61"/>
    </row>
    <row r="227" spans="10:13" x14ac:dyDescent="0.25">
      <c r="J227" s="61"/>
      <c r="K227" s="61"/>
      <c r="L227" s="61"/>
      <c r="M227" s="61"/>
    </row>
    <row r="228" spans="10:13" x14ac:dyDescent="0.25">
      <c r="J228" s="61"/>
      <c r="K228" s="61"/>
      <c r="L228" s="61"/>
      <c r="M228" s="61"/>
    </row>
    <row r="229" spans="10:13" x14ac:dyDescent="0.25">
      <c r="J229" s="61"/>
      <c r="K229" s="61"/>
      <c r="L229" s="61"/>
      <c r="M229" s="61"/>
    </row>
    <row r="230" spans="10:13" x14ac:dyDescent="0.25">
      <c r="J230" s="61"/>
      <c r="K230" s="61"/>
      <c r="L230" s="61"/>
      <c r="M230" s="61"/>
    </row>
    <row r="231" spans="10:13" x14ac:dyDescent="0.25">
      <c r="J231" s="61"/>
      <c r="K231" s="61"/>
      <c r="L231" s="61"/>
      <c r="M231" s="61"/>
    </row>
    <row r="232" spans="10:13" x14ac:dyDescent="0.25">
      <c r="J232" s="61"/>
      <c r="K232" s="61"/>
      <c r="L232" s="61"/>
      <c r="M232" s="61"/>
    </row>
    <row r="233" spans="10:13" x14ac:dyDescent="0.25">
      <c r="J233" s="61"/>
      <c r="K233" s="61"/>
      <c r="L233" s="61"/>
      <c r="M233" s="61"/>
    </row>
    <row r="234" spans="10:13" x14ac:dyDescent="0.25">
      <c r="J234" s="61"/>
      <c r="K234" s="61"/>
      <c r="L234" s="61"/>
      <c r="M234" s="61"/>
    </row>
    <row r="235" spans="10:13" x14ac:dyDescent="0.25">
      <c r="J235" s="61"/>
      <c r="K235" s="61"/>
      <c r="L235" s="61"/>
      <c r="M235" s="61"/>
    </row>
    <row r="236" spans="10:13" x14ac:dyDescent="0.25">
      <c r="J236" s="61"/>
      <c r="K236" s="61"/>
      <c r="L236" s="61"/>
      <c r="M236" s="61"/>
    </row>
    <row r="237" spans="10:13" x14ac:dyDescent="0.25">
      <c r="J237" s="61"/>
      <c r="K237" s="61"/>
      <c r="L237" s="61"/>
      <c r="M237" s="61"/>
    </row>
  </sheetData>
  <sheetProtection password="B056" sheet="1" objects="1" scenarios="1"/>
  <mergeCells count="7">
    <mergeCell ref="A3:A4"/>
    <mergeCell ref="B3:I3"/>
    <mergeCell ref="A11:A17"/>
    <mergeCell ref="A21:A27"/>
    <mergeCell ref="B21:F23"/>
    <mergeCell ref="B24:F27"/>
    <mergeCell ref="A5:A9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7" sqref="F17"/>
    </sheetView>
  </sheetViews>
  <sheetFormatPr defaultRowHeight="15" customHeight="1" x14ac:dyDescent="0.2"/>
  <cols>
    <col min="1" max="1" width="21.85546875" style="1" customWidth="1"/>
    <col min="2" max="2" width="14.42578125" style="1" customWidth="1"/>
    <col min="3" max="3" width="16.28515625" style="1" customWidth="1"/>
    <col min="4" max="4" width="14.42578125" style="1" customWidth="1"/>
    <col min="5" max="5" width="16.42578125" style="1" customWidth="1"/>
    <col min="6" max="6" width="14.42578125" style="1" customWidth="1"/>
    <col min="7" max="7" width="16.5703125" style="1" customWidth="1"/>
    <col min="8" max="16384" width="9.140625" style="1"/>
  </cols>
  <sheetData>
    <row r="1" spans="1:7" ht="15" customHeight="1" x14ac:dyDescent="0.2">
      <c r="A1" s="3" t="s">
        <v>210</v>
      </c>
    </row>
    <row r="2" spans="1:7" ht="15" customHeight="1" x14ac:dyDescent="0.2">
      <c r="A2" s="221" t="s">
        <v>211</v>
      </c>
      <c r="B2" s="222"/>
      <c r="C2" s="222"/>
      <c r="D2" s="222"/>
      <c r="E2" s="222"/>
      <c r="F2" s="222"/>
      <c r="G2" s="222"/>
    </row>
    <row r="3" spans="1:7" ht="15" customHeight="1" x14ac:dyDescent="0.2">
      <c r="A3" s="223" t="s">
        <v>212</v>
      </c>
      <c r="B3" s="223"/>
      <c r="C3" s="223"/>
      <c r="D3" s="223"/>
      <c r="E3" s="223"/>
      <c r="F3" s="223"/>
      <c r="G3" s="223"/>
    </row>
    <row r="4" spans="1:7" ht="15" customHeight="1" x14ac:dyDescent="0.2">
      <c r="A4" s="20" t="s">
        <v>13</v>
      </c>
      <c r="B4" s="123" t="s">
        <v>122</v>
      </c>
      <c r="C4" s="123" t="s">
        <v>0</v>
      </c>
      <c r="D4" s="123" t="s">
        <v>213</v>
      </c>
      <c r="E4" s="123" t="s">
        <v>0</v>
      </c>
      <c r="F4" s="123" t="s">
        <v>214</v>
      </c>
      <c r="G4" s="123" t="s">
        <v>0</v>
      </c>
    </row>
    <row r="5" spans="1:7" ht="15" customHeight="1" x14ac:dyDescent="0.2">
      <c r="A5" s="133" t="s">
        <v>215</v>
      </c>
      <c r="B5" s="134">
        <v>2.7000000000000001E-3</v>
      </c>
      <c r="C5" s="134" t="s">
        <v>26</v>
      </c>
      <c r="D5" s="134">
        <v>1.1999999999999999E-3</v>
      </c>
      <c r="E5" s="134" t="s">
        <v>34</v>
      </c>
      <c r="F5" s="134" t="s">
        <v>216</v>
      </c>
      <c r="G5" s="135"/>
    </row>
    <row r="6" spans="1:7" ht="15" customHeight="1" x14ac:dyDescent="0.2">
      <c r="A6" s="145" t="s">
        <v>226</v>
      </c>
      <c r="B6" s="23">
        <v>5.9999999999999995E-4</v>
      </c>
      <c r="C6" s="23" t="s">
        <v>26</v>
      </c>
      <c r="D6" s="23">
        <v>2.7E-4</v>
      </c>
      <c r="E6" s="23" t="s">
        <v>34</v>
      </c>
      <c r="F6" s="23">
        <v>5.0000000000000002E-5</v>
      </c>
      <c r="G6" s="7" t="s">
        <v>26</v>
      </c>
    </row>
    <row r="7" spans="1:7" ht="15" customHeight="1" x14ac:dyDescent="0.2">
      <c r="A7" s="146" t="s">
        <v>227</v>
      </c>
      <c r="B7" s="147">
        <v>1.2500000000000001E-2</v>
      </c>
      <c r="C7" s="147" t="s">
        <v>26</v>
      </c>
      <c r="D7" s="147">
        <v>4.3E-3</v>
      </c>
      <c r="E7" s="147" t="s">
        <v>34</v>
      </c>
      <c r="F7" s="147" t="s">
        <v>216</v>
      </c>
      <c r="G7" s="135"/>
    </row>
    <row r="8" spans="1:7" ht="15" customHeight="1" x14ac:dyDescent="0.2">
      <c r="A8" s="3" t="s">
        <v>228</v>
      </c>
      <c r="B8" s="7">
        <v>1.1000000000000001E-3</v>
      </c>
      <c r="C8" s="7" t="s">
        <v>26</v>
      </c>
      <c r="D8" s="7">
        <v>3.6999999999999999E-4</v>
      </c>
      <c r="E8" s="7" t="s">
        <v>34</v>
      </c>
      <c r="F8" s="23">
        <v>2.5000000000000001E-5</v>
      </c>
      <c r="G8" s="7" t="s">
        <v>26</v>
      </c>
    </row>
    <row r="10" spans="1:7" ht="15" customHeight="1" x14ac:dyDescent="0.2">
      <c r="F10" s="17"/>
    </row>
    <row r="12" spans="1:7" ht="15" customHeight="1" x14ac:dyDescent="0.2">
      <c r="D12" s="136"/>
      <c r="F12" s="17"/>
    </row>
    <row r="13" spans="1:7" ht="15" customHeight="1" x14ac:dyDescent="0.2">
      <c r="D13" s="136"/>
      <c r="F13" s="17"/>
    </row>
  </sheetData>
  <sheetProtection password="B056" sheet="1" objects="1" scenarios="1"/>
  <mergeCells count="2">
    <mergeCell ref="A2:G2"/>
    <mergeCell ref="A3:G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6" sqref="A26"/>
    </sheetView>
  </sheetViews>
  <sheetFormatPr defaultRowHeight="15" customHeight="1" x14ac:dyDescent="0.2"/>
  <cols>
    <col min="1" max="1" width="36.28515625" style="1" bestFit="1" customWidth="1"/>
    <col min="2" max="7" width="9.140625" style="1"/>
    <col min="8" max="8" width="11.5703125" style="1" bestFit="1" customWidth="1"/>
    <col min="9" max="16384" width="9.140625" style="1"/>
  </cols>
  <sheetData>
    <row r="1" spans="1:8" ht="15" customHeight="1" x14ac:dyDescent="0.2">
      <c r="A1" s="236" t="s">
        <v>51</v>
      </c>
      <c r="B1" s="236"/>
      <c r="C1" s="236"/>
      <c r="D1" s="236"/>
      <c r="E1" s="236"/>
      <c r="F1" s="236"/>
    </row>
    <row r="2" spans="1:8" ht="15" customHeight="1" x14ac:dyDescent="0.2">
      <c r="A2" s="232" t="s">
        <v>8</v>
      </c>
      <c r="B2" s="233"/>
      <c r="C2" s="233"/>
      <c r="D2" s="233"/>
      <c r="E2" s="233"/>
      <c r="F2" s="234"/>
    </row>
    <row r="3" spans="1:8" ht="15" customHeight="1" x14ac:dyDescent="0.2">
      <c r="A3" s="230" t="s">
        <v>41</v>
      </c>
      <c r="B3" s="230" t="s">
        <v>42</v>
      </c>
      <c r="C3" s="235" t="s">
        <v>43</v>
      </c>
      <c r="D3" s="235"/>
      <c r="E3" s="235"/>
      <c r="F3" s="230" t="s">
        <v>44</v>
      </c>
    </row>
    <row r="4" spans="1:8" ht="15" customHeight="1" x14ac:dyDescent="0.2">
      <c r="A4" s="231"/>
      <c r="B4" s="231"/>
      <c r="C4" s="171">
        <v>1</v>
      </c>
      <c r="D4" s="171">
        <v>2</v>
      </c>
      <c r="E4" s="171">
        <v>3</v>
      </c>
      <c r="F4" s="231"/>
    </row>
    <row r="5" spans="1:8" ht="15" customHeight="1" x14ac:dyDescent="0.2">
      <c r="A5" s="8" t="s">
        <v>45</v>
      </c>
      <c r="B5" s="9" t="s">
        <v>46</v>
      </c>
      <c r="C5" s="9">
        <v>129</v>
      </c>
      <c r="D5" s="9">
        <v>136</v>
      </c>
      <c r="E5" s="9">
        <v>137</v>
      </c>
      <c r="F5" s="12">
        <f t="shared" ref="F5" si="0">AVERAGE(C5:E5)</f>
        <v>134</v>
      </c>
    </row>
    <row r="6" spans="1:8" ht="15" customHeight="1" x14ac:dyDescent="0.2">
      <c r="A6" s="224" t="s">
        <v>47</v>
      </c>
      <c r="B6" s="225"/>
      <c r="C6" s="225"/>
      <c r="D6" s="225"/>
      <c r="E6" s="225"/>
      <c r="F6" s="226"/>
    </row>
    <row r="7" spans="1:8" ht="15" customHeight="1" x14ac:dyDescent="0.2">
      <c r="A7" s="8" t="s">
        <v>48</v>
      </c>
      <c r="B7" s="171" t="s">
        <v>49</v>
      </c>
      <c r="C7" s="171">
        <v>184.98</v>
      </c>
      <c r="D7" s="171">
        <v>199.18</v>
      </c>
      <c r="E7" s="171">
        <v>206.93</v>
      </c>
      <c r="F7" s="11">
        <f t="shared" ref="F7:F8" si="1">AVERAGE(C7:E7)</f>
        <v>197.02999999999997</v>
      </c>
    </row>
    <row r="8" spans="1:8" ht="15" customHeight="1" x14ac:dyDescent="0.2">
      <c r="A8" s="8" t="s">
        <v>50</v>
      </c>
      <c r="B8" s="171" t="s">
        <v>49</v>
      </c>
      <c r="C8" s="10">
        <v>26.72</v>
      </c>
      <c r="D8" s="10">
        <v>28.77</v>
      </c>
      <c r="E8" s="10">
        <v>29.89</v>
      </c>
      <c r="F8" s="11">
        <f t="shared" si="1"/>
        <v>28.459999999999997</v>
      </c>
      <c r="H8" s="173"/>
    </row>
    <row r="9" spans="1:8" ht="15" customHeight="1" x14ac:dyDescent="0.2">
      <c r="A9" s="13"/>
      <c r="B9" s="14"/>
      <c r="C9" s="15"/>
      <c r="D9" s="15"/>
      <c r="E9" s="15"/>
      <c r="F9" s="16"/>
      <c r="H9" s="173"/>
    </row>
    <row r="10" spans="1:8" ht="15" customHeight="1" x14ac:dyDescent="0.2">
      <c r="A10" s="227" t="s">
        <v>9</v>
      </c>
      <c r="B10" s="228"/>
      <c r="C10" s="228"/>
      <c r="D10" s="228"/>
      <c r="E10" s="228"/>
      <c r="F10" s="229"/>
      <c r="H10" s="173"/>
    </row>
    <row r="11" spans="1:8" ht="15" customHeight="1" x14ac:dyDescent="0.2">
      <c r="A11" s="230" t="s">
        <v>41</v>
      </c>
      <c r="B11" s="230" t="s">
        <v>42</v>
      </c>
      <c r="C11" s="235" t="s">
        <v>43</v>
      </c>
      <c r="D11" s="235"/>
      <c r="E11" s="235"/>
      <c r="F11" s="230" t="s">
        <v>44</v>
      </c>
      <c r="H11" s="173"/>
    </row>
    <row r="12" spans="1:8" ht="15" customHeight="1" x14ac:dyDescent="0.2">
      <c r="A12" s="231"/>
      <c r="B12" s="231"/>
      <c r="C12" s="171">
        <v>1</v>
      </c>
      <c r="D12" s="171">
        <v>2</v>
      </c>
      <c r="E12" s="171">
        <v>3</v>
      </c>
      <c r="F12" s="231"/>
    </row>
    <row r="13" spans="1:8" ht="15" customHeight="1" x14ac:dyDescent="0.2">
      <c r="A13" s="8" t="s">
        <v>45</v>
      </c>
      <c r="B13" s="9" t="s">
        <v>46</v>
      </c>
      <c r="C13" s="9">
        <v>237</v>
      </c>
      <c r="D13" s="9">
        <v>236</v>
      </c>
      <c r="E13" s="9">
        <v>225</v>
      </c>
      <c r="F13" s="12">
        <f t="shared" ref="F13:F16" si="2">AVERAGE(C13:E13)</f>
        <v>232.66666666666666</v>
      </c>
    </row>
    <row r="14" spans="1:8" ht="15" customHeight="1" x14ac:dyDescent="0.2">
      <c r="A14" s="224" t="s">
        <v>47</v>
      </c>
      <c r="B14" s="225"/>
      <c r="C14" s="225"/>
      <c r="D14" s="225"/>
      <c r="E14" s="225"/>
      <c r="F14" s="226"/>
    </row>
    <row r="15" spans="1:8" ht="15" customHeight="1" x14ac:dyDescent="0.2">
      <c r="A15" s="8" t="s">
        <v>48</v>
      </c>
      <c r="B15" s="171" t="s">
        <v>49</v>
      </c>
      <c r="C15" s="171">
        <v>184.95</v>
      </c>
      <c r="D15" s="171">
        <v>194.22</v>
      </c>
      <c r="E15" s="171">
        <v>203.45</v>
      </c>
      <c r="F15" s="11">
        <f t="shared" si="2"/>
        <v>194.20666666666662</v>
      </c>
    </row>
    <row r="16" spans="1:8" ht="15" customHeight="1" x14ac:dyDescent="0.2">
      <c r="A16" s="8" t="s">
        <v>50</v>
      </c>
      <c r="B16" s="171" t="s">
        <v>49</v>
      </c>
      <c r="C16" s="10">
        <v>41.1</v>
      </c>
      <c r="D16" s="10">
        <v>43.16</v>
      </c>
      <c r="E16" s="10">
        <v>45.21</v>
      </c>
      <c r="F16" s="11">
        <f t="shared" si="2"/>
        <v>43.156666666666666</v>
      </c>
    </row>
    <row r="18" spans="1:6" ht="15" customHeight="1" x14ac:dyDescent="0.2">
      <c r="A18" s="227" t="s">
        <v>10</v>
      </c>
      <c r="B18" s="228"/>
      <c r="C18" s="228"/>
      <c r="D18" s="228"/>
      <c r="E18" s="228"/>
      <c r="F18" s="229"/>
    </row>
    <row r="19" spans="1:6" ht="15" customHeight="1" x14ac:dyDescent="0.2">
      <c r="A19" s="230" t="s">
        <v>41</v>
      </c>
      <c r="B19" s="230" t="s">
        <v>42</v>
      </c>
      <c r="C19" s="235" t="s">
        <v>43</v>
      </c>
      <c r="D19" s="235"/>
      <c r="E19" s="235"/>
      <c r="F19" s="230" t="s">
        <v>44</v>
      </c>
    </row>
    <row r="20" spans="1:6" ht="15" customHeight="1" x14ac:dyDescent="0.2">
      <c r="A20" s="231"/>
      <c r="B20" s="231"/>
      <c r="C20" s="171">
        <v>1</v>
      </c>
      <c r="D20" s="171">
        <v>2</v>
      </c>
      <c r="E20" s="171">
        <v>3</v>
      </c>
      <c r="F20" s="231"/>
    </row>
    <row r="21" spans="1:6" ht="15" customHeight="1" x14ac:dyDescent="0.2">
      <c r="A21" s="8" t="s">
        <v>45</v>
      </c>
      <c r="B21" s="171" t="s">
        <v>46</v>
      </c>
      <c r="C21" s="9">
        <v>327</v>
      </c>
      <c r="D21" s="9">
        <v>332</v>
      </c>
      <c r="E21" s="9">
        <v>287</v>
      </c>
      <c r="F21" s="11">
        <f t="shared" ref="F21:F24" si="3">AVERAGE(C21:E21)</f>
        <v>315.33333333333331</v>
      </c>
    </row>
    <row r="22" spans="1:6" ht="15" customHeight="1" x14ac:dyDescent="0.2">
      <c r="A22" s="224" t="s">
        <v>47</v>
      </c>
      <c r="B22" s="225"/>
      <c r="C22" s="225"/>
      <c r="D22" s="225"/>
      <c r="E22" s="225"/>
      <c r="F22" s="226"/>
    </row>
    <row r="23" spans="1:6" ht="15" customHeight="1" x14ac:dyDescent="0.2">
      <c r="A23" s="8" t="s">
        <v>48</v>
      </c>
      <c r="B23" s="171" t="s">
        <v>49</v>
      </c>
      <c r="C23" s="171">
        <v>171.77</v>
      </c>
      <c r="D23" s="171">
        <v>184.95</v>
      </c>
      <c r="E23" s="171">
        <v>198.19</v>
      </c>
      <c r="F23" s="11">
        <f t="shared" si="3"/>
        <v>184.97000000000003</v>
      </c>
    </row>
    <row r="24" spans="1:6" ht="15" customHeight="1" x14ac:dyDescent="0.2">
      <c r="A24" s="8" t="s">
        <v>50</v>
      </c>
      <c r="B24" s="171" t="s">
        <v>49</v>
      </c>
      <c r="C24" s="10">
        <v>26.72</v>
      </c>
      <c r="D24" s="10">
        <v>28.77</v>
      </c>
      <c r="E24" s="10">
        <v>30.83</v>
      </c>
      <c r="F24" s="11">
        <f t="shared" si="3"/>
        <v>28.77333333333333</v>
      </c>
    </row>
    <row r="25" spans="1:6" ht="15" customHeight="1" x14ac:dyDescent="0.2">
      <c r="A25" s="172" t="s">
        <v>244</v>
      </c>
    </row>
    <row r="26" spans="1:6" ht="15" customHeight="1" x14ac:dyDescent="0.2">
      <c r="A26" s="3" t="s">
        <v>245</v>
      </c>
    </row>
  </sheetData>
  <sheetProtection password="B056" sheet="1" objects="1" scenarios="1"/>
  <mergeCells count="19">
    <mergeCell ref="A22:F22"/>
    <mergeCell ref="A1:F1"/>
    <mergeCell ref="A3:A4"/>
    <mergeCell ref="B3:B4"/>
    <mergeCell ref="C3:E3"/>
    <mergeCell ref="F3:F4"/>
    <mergeCell ref="A14:F14"/>
    <mergeCell ref="A18:F18"/>
    <mergeCell ref="A19:A20"/>
    <mergeCell ref="B19:B20"/>
    <mergeCell ref="A2:F2"/>
    <mergeCell ref="A6:F6"/>
    <mergeCell ref="C19:E19"/>
    <mergeCell ref="F19:F20"/>
    <mergeCell ref="A10:F10"/>
    <mergeCell ref="A11:A12"/>
    <mergeCell ref="B11:B12"/>
    <mergeCell ref="C11:E11"/>
    <mergeCell ref="F11:F1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8"/>
  <sheetViews>
    <sheetView zoomScaleNormal="100" workbookViewId="0">
      <pane xSplit="1" ySplit="11" topLeftCell="L12" activePane="bottomRight" state="frozen"/>
      <selection pane="topRight" activeCell="B1" sqref="B1"/>
      <selection pane="bottomLeft" activeCell="A10" sqref="A10"/>
      <selection pane="bottomRight" activeCell="AA13" sqref="AA13"/>
    </sheetView>
  </sheetViews>
  <sheetFormatPr defaultRowHeight="15" customHeight="1" x14ac:dyDescent="0.25"/>
  <cols>
    <col min="1" max="1" width="29.42578125" style="3" customWidth="1"/>
    <col min="2" max="2" width="10.85546875" style="3" customWidth="1"/>
    <col min="3" max="3" width="17.140625" style="3" customWidth="1"/>
    <col min="4" max="4" width="10.5703125" style="3" customWidth="1"/>
    <col min="5" max="5" width="13.28515625" style="3" customWidth="1"/>
    <col min="6" max="6" width="10.42578125" style="3" customWidth="1"/>
    <col min="7" max="7" width="12.7109375" style="3" customWidth="1"/>
    <col min="8" max="9" width="9.85546875" style="3" customWidth="1"/>
    <col min="10" max="10" width="9.140625" style="3" customWidth="1"/>
    <col min="11" max="11" width="11" style="3" customWidth="1"/>
    <col min="12" max="12" width="11.42578125" style="3" customWidth="1"/>
    <col min="13" max="13" width="13.140625" style="3" customWidth="1"/>
    <col min="14" max="14" width="8.7109375" style="3" customWidth="1"/>
    <col min="15" max="15" width="16.140625" style="3" customWidth="1"/>
    <col min="16" max="16" width="11.85546875" style="3" customWidth="1"/>
    <col min="17" max="16384" width="9.140625" style="3"/>
  </cols>
  <sheetData>
    <row r="1" spans="1:30" ht="15" customHeight="1" x14ac:dyDescent="0.25">
      <c r="A1" s="118" t="s">
        <v>232</v>
      </c>
    </row>
    <row r="3" spans="1:30" ht="15" customHeight="1" x14ac:dyDescent="0.25">
      <c r="A3" s="3" t="s">
        <v>141</v>
      </c>
      <c r="B3" s="30">
        <f>2780*11</f>
        <v>30580</v>
      </c>
      <c r="R3" s="97"/>
      <c r="S3" s="3" t="s">
        <v>156</v>
      </c>
    </row>
    <row r="4" spans="1:30" ht="15" customHeight="1" x14ac:dyDescent="0.25">
      <c r="A4" s="36" t="s">
        <v>100</v>
      </c>
      <c r="B4" s="127">
        <v>1.2</v>
      </c>
      <c r="F4" s="118"/>
      <c r="R4" s="98"/>
      <c r="S4" s="3" t="s">
        <v>157</v>
      </c>
    </row>
    <row r="5" spans="1:30" ht="15" customHeight="1" x14ac:dyDescent="0.25">
      <c r="A5" s="37" t="s">
        <v>101</v>
      </c>
      <c r="B5" s="128">
        <v>62.3</v>
      </c>
    </row>
    <row r="6" spans="1:30" ht="15" customHeight="1" x14ac:dyDescent="0.25">
      <c r="A6" s="38" t="s">
        <v>102</v>
      </c>
      <c r="B6" s="129">
        <f>B4*B5/100</f>
        <v>0.74759999999999993</v>
      </c>
      <c r="Q6"/>
      <c r="R6"/>
      <c r="S6"/>
      <c r="T6"/>
      <c r="U6"/>
      <c r="V6"/>
      <c r="W6"/>
      <c r="X6"/>
      <c r="Y6"/>
      <c r="Z6"/>
    </row>
    <row r="7" spans="1:30" ht="15" customHeight="1" x14ac:dyDescent="0.25">
      <c r="A7" s="39" t="s">
        <v>103</v>
      </c>
      <c r="B7" s="127">
        <v>70</v>
      </c>
      <c r="Q7"/>
      <c r="R7"/>
      <c r="S7"/>
      <c r="T7"/>
      <c r="U7"/>
      <c r="V7"/>
      <c r="W7"/>
      <c r="X7"/>
      <c r="Y7"/>
      <c r="Z7"/>
    </row>
    <row r="8" spans="1:30" ht="15" customHeight="1" x14ac:dyDescent="0.25">
      <c r="A8" s="38" t="s">
        <v>104</v>
      </c>
      <c r="B8" s="129">
        <f>((B7*10^-6)/B6)*100</f>
        <v>9.3632958801498131E-3</v>
      </c>
    </row>
    <row r="9" spans="1:30" ht="15" customHeight="1" x14ac:dyDescent="0.25">
      <c r="B9" s="29"/>
    </row>
    <row r="10" spans="1:30" s="6" customFormat="1" ht="15" customHeight="1" x14ac:dyDescent="0.25">
      <c r="A10" s="240" t="s">
        <v>70</v>
      </c>
      <c r="B10" s="240" t="s">
        <v>58</v>
      </c>
      <c r="C10" s="240" t="s">
        <v>82</v>
      </c>
      <c r="D10" s="244" t="s">
        <v>240</v>
      </c>
      <c r="E10" s="244" t="s">
        <v>241</v>
      </c>
      <c r="F10" s="240" t="s">
        <v>85</v>
      </c>
      <c r="G10" s="240" t="s">
        <v>87</v>
      </c>
      <c r="H10" s="240" t="s">
        <v>86</v>
      </c>
      <c r="I10" s="240" t="s">
        <v>233</v>
      </c>
      <c r="J10" s="240" t="s">
        <v>88</v>
      </c>
      <c r="K10" s="240" t="s">
        <v>63</v>
      </c>
      <c r="L10" s="240" t="s">
        <v>83</v>
      </c>
      <c r="M10" s="240" t="s">
        <v>71</v>
      </c>
      <c r="N10" s="240" t="s">
        <v>42</v>
      </c>
      <c r="O10" s="240" t="s">
        <v>106</v>
      </c>
      <c r="P10" s="245" t="s">
        <v>225</v>
      </c>
      <c r="Q10" s="241" t="s">
        <v>209</v>
      </c>
      <c r="R10" s="242"/>
      <c r="S10" s="242"/>
      <c r="T10" s="242"/>
      <c r="U10" s="242"/>
      <c r="V10" s="242"/>
      <c r="W10" s="243"/>
      <c r="X10" s="241" t="s">
        <v>105</v>
      </c>
      <c r="Y10" s="242"/>
      <c r="Z10" s="242"/>
      <c r="AA10" s="242"/>
      <c r="AB10" s="242"/>
      <c r="AC10" s="242"/>
      <c r="AD10" s="243"/>
    </row>
    <row r="11" spans="1:30" s="6" customFormat="1" ht="25.5" customHeight="1" x14ac:dyDescent="0.25">
      <c r="A11" s="240"/>
      <c r="B11" s="240"/>
      <c r="C11" s="240"/>
      <c r="D11" s="244"/>
      <c r="E11" s="244"/>
      <c r="F11" s="240"/>
      <c r="G11" s="240"/>
      <c r="H11" s="240"/>
      <c r="I11" s="240"/>
      <c r="J11" s="240"/>
      <c r="K11" s="240"/>
      <c r="L11" s="240"/>
      <c r="M11" s="240"/>
      <c r="N11" s="240"/>
      <c r="O11" s="240"/>
      <c r="P11" s="246"/>
      <c r="Q11" s="151" t="s">
        <v>122</v>
      </c>
      <c r="R11" s="150" t="s">
        <v>146</v>
      </c>
      <c r="S11" s="150" t="s">
        <v>237</v>
      </c>
      <c r="T11" s="151" t="s">
        <v>67</v>
      </c>
      <c r="U11" s="151" t="s">
        <v>66</v>
      </c>
      <c r="V11" s="151" t="s">
        <v>5</v>
      </c>
      <c r="W11" s="151" t="s">
        <v>39</v>
      </c>
      <c r="X11" s="167" t="s">
        <v>122</v>
      </c>
      <c r="Y11" s="150" t="s">
        <v>146</v>
      </c>
      <c r="Z11" s="167" t="s">
        <v>237</v>
      </c>
      <c r="AA11" s="40" t="s">
        <v>67</v>
      </c>
      <c r="AB11" s="40" t="s">
        <v>66</v>
      </c>
      <c r="AC11" s="40" t="s">
        <v>5</v>
      </c>
      <c r="AD11" s="40" t="s">
        <v>39</v>
      </c>
    </row>
    <row r="12" spans="1:30" s="25" customFormat="1" ht="15" customHeight="1" x14ac:dyDescent="0.25">
      <c r="A12" s="25" t="s">
        <v>73</v>
      </c>
      <c r="B12" s="31" t="s">
        <v>62</v>
      </c>
      <c r="C12" s="31"/>
      <c r="D12" s="96">
        <v>-20.231631</v>
      </c>
      <c r="E12" s="96">
        <v>-40.275747000000003</v>
      </c>
      <c r="F12" s="31">
        <v>0.99</v>
      </c>
      <c r="G12" s="31">
        <v>134</v>
      </c>
      <c r="H12" s="54">
        <v>33422</v>
      </c>
      <c r="I12" s="54">
        <f>(H12*273.15)/(273.15+G12)</f>
        <v>22422.250521920665</v>
      </c>
      <c r="J12" s="31">
        <v>8</v>
      </c>
      <c r="K12" s="31">
        <v>1</v>
      </c>
      <c r="L12" s="31" t="s">
        <v>29</v>
      </c>
      <c r="M12" s="54">
        <v>180000</v>
      </c>
      <c r="N12" s="31" t="s">
        <v>72</v>
      </c>
      <c r="O12" s="55">
        <f>M12/(30*24)</f>
        <v>250</v>
      </c>
      <c r="P12" s="55"/>
      <c r="Q12" s="102">
        <f>'FE-Fab Ceramica'!C11</f>
        <v>0.245</v>
      </c>
      <c r="R12" s="53"/>
      <c r="S12" s="53"/>
      <c r="T12" s="102">
        <f>'FE-Fab Ceramica'!E20</f>
        <v>0.27</v>
      </c>
      <c r="U12" s="102">
        <f>'FE-Fab Ceramica'!C20</f>
        <v>4.4475655430711615E-2</v>
      </c>
      <c r="V12" s="102">
        <f>'FE-Fab Ceramica'!G20</f>
        <v>1.65</v>
      </c>
      <c r="W12" s="103">
        <f>'FE-Fab Ceramica'!I20</f>
        <v>0.215</v>
      </c>
      <c r="X12" s="52">
        <f>(($B$3/8760)*Q12)*(O12/(O12+O13))</f>
        <v>0.35801688435807583</v>
      </c>
      <c r="Y12" s="52">
        <f t="shared" ref="Y12:Y19" si="0">X12</f>
        <v>0.35801688435807583</v>
      </c>
      <c r="Z12" s="52">
        <f t="shared" ref="Z12:Z19" si="1">X12</f>
        <v>0.35801688435807583</v>
      </c>
      <c r="AA12" s="52">
        <f>($B$3/8760/2)*T12</f>
        <v>0.47126712328767129</v>
      </c>
      <c r="AB12" s="52">
        <f t="shared" ref="AA12:AD13" si="2">($B$3/8760/2)*U12</f>
        <v>7.7629311819130201E-2</v>
      </c>
      <c r="AC12" s="52">
        <f t="shared" si="2"/>
        <v>2.8799657534246577</v>
      </c>
      <c r="AD12" s="52">
        <f t="shared" si="2"/>
        <v>0.37526826484018266</v>
      </c>
    </row>
    <row r="13" spans="1:30" s="25" customFormat="1" ht="15" customHeight="1" x14ac:dyDescent="0.25">
      <c r="A13" s="25" t="s">
        <v>74</v>
      </c>
      <c r="B13" s="31" t="s">
        <v>59</v>
      </c>
      <c r="C13" s="31"/>
      <c r="D13" s="96">
        <v>-20.231649000000001</v>
      </c>
      <c r="E13" s="96">
        <v>-40.275708999999999</v>
      </c>
      <c r="F13" s="31">
        <v>0.99</v>
      </c>
      <c r="G13" s="31">
        <v>232</v>
      </c>
      <c r="H13" s="54">
        <v>38803</v>
      </c>
      <c r="I13" s="54">
        <f t="shared" ref="I13" si="3">(H13*273.15)/(273.15+G13)</f>
        <v>20981.9646639612</v>
      </c>
      <c r="J13" s="31">
        <v>8</v>
      </c>
      <c r="K13" s="31">
        <v>1</v>
      </c>
      <c r="L13" s="31" t="s">
        <v>29</v>
      </c>
      <c r="M13" s="54">
        <v>250000</v>
      </c>
      <c r="N13" s="31" t="s">
        <v>72</v>
      </c>
      <c r="O13" s="55">
        <f>M13/(30*24)</f>
        <v>347.22222222222223</v>
      </c>
      <c r="P13" s="55"/>
      <c r="Q13" s="102">
        <f>'FE-Fab Ceramica'!C11</f>
        <v>0.245</v>
      </c>
      <c r="R13" s="53"/>
      <c r="S13" s="53"/>
      <c r="T13" s="102">
        <f>'FE-Fab Ceramica'!E20</f>
        <v>0.27</v>
      </c>
      <c r="U13" s="102">
        <f>'FE-Fab Ceramica'!C20</f>
        <v>4.4475655430711615E-2</v>
      </c>
      <c r="V13" s="102">
        <f>'FE-Fab Ceramica'!G20</f>
        <v>1.65</v>
      </c>
      <c r="W13" s="103">
        <f>'FE-Fab Ceramica'!I20</f>
        <v>0.215</v>
      </c>
      <c r="X13" s="52">
        <f>(($B$3/8760)*Q13)*(O13/(O12+O13))</f>
        <v>0.49724567271954978</v>
      </c>
      <c r="Y13" s="52">
        <f t="shared" si="0"/>
        <v>0.49724567271954978</v>
      </c>
      <c r="Z13" s="52">
        <f t="shared" si="1"/>
        <v>0.49724567271954978</v>
      </c>
      <c r="AA13" s="52">
        <f t="shared" si="2"/>
        <v>0.47126712328767129</v>
      </c>
      <c r="AB13" s="52">
        <f t="shared" si="2"/>
        <v>7.7629311819130201E-2</v>
      </c>
      <c r="AC13" s="52">
        <f t="shared" si="2"/>
        <v>2.8799657534246577</v>
      </c>
      <c r="AD13" s="52">
        <f t="shared" si="2"/>
        <v>0.37526826484018266</v>
      </c>
    </row>
    <row r="14" spans="1:30" s="25" customFormat="1" ht="15" customHeight="1" x14ac:dyDescent="0.25">
      <c r="A14" s="25" t="s">
        <v>154</v>
      </c>
      <c r="B14" s="31" t="s">
        <v>62</v>
      </c>
      <c r="C14" s="31"/>
      <c r="D14" s="96">
        <v>-20.230706000000001</v>
      </c>
      <c r="E14" s="96">
        <v>-40.274935999999997</v>
      </c>
      <c r="F14" s="31">
        <v>0.8</v>
      </c>
      <c r="G14" s="31">
        <v>272.60000000000002</v>
      </c>
      <c r="H14" s="54">
        <v>8863</v>
      </c>
      <c r="I14" s="54">
        <f t="shared" ref="I14:I24" si="4">(H14*273.15)/(273.15+G14)</f>
        <v>4435.9660100778738</v>
      </c>
      <c r="J14" s="31">
        <v>8</v>
      </c>
      <c r="K14" s="31">
        <v>1</v>
      </c>
      <c r="L14" s="31" t="s">
        <v>29</v>
      </c>
      <c r="M14" s="54">
        <f>265000/2</f>
        <v>132500</v>
      </c>
      <c r="N14" s="31" t="s">
        <v>78</v>
      </c>
      <c r="O14" s="55">
        <f>(M14/8760)</f>
        <v>15.125570776255708</v>
      </c>
      <c r="P14" s="55"/>
      <c r="Q14" s="102">
        <f>'FE-Fab Ceramica'!C12</f>
        <v>3.3500000000000002E-2</v>
      </c>
      <c r="R14" s="54"/>
      <c r="S14" s="54"/>
      <c r="T14" s="100">
        <f>'FE-Combustão'!D5</f>
        <v>1600</v>
      </c>
      <c r="U14" s="99">
        <f>'FE-Combustão'!C13</f>
        <v>9.6</v>
      </c>
      <c r="V14" s="100">
        <f>'FE-Combustão'!D6</f>
        <v>1344</v>
      </c>
      <c r="W14" s="101">
        <f>'FE-Combustão'!C14</f>
        <v>88</v>
      </c>
      <c r="X14" s="52">
        <f>((B3/2/8760)*Q14)</f>
        <v>5.8472031963470325E-2</v>
      </c>
      <c r="Y14" s="52">
        <f t="shared" si="0"/>
        <v>5.8472031963470325E-2</v>
      </c>
      <c r="Z14" s="52">
        <f t="shared" si="1"/>
        <v>5.8472031963470325E-2</v>
      </c>
      <c r="AA14" s="52">
        <f t="shared" ref="AA14:AA22" si="5">(($O14)*T14)/10^6</f>
        <v>2.4200913242009132E-2</v>
      </c>
      <c r="AB14" s="52">
        <f t="shared" ref="AB14:AB22" si="6">(($O14)*U14)/10^6</f>
        <v>1.4520547945205478E-4</v>
      </c>
      <c r="AC14" s="52">
        <f t="shared" ref="AC14:AC22" si="7">(($O14)*V14)/10^6</f>
        <v>2.0328767123287669E-2</v>
      </c>
      <c r="AD14" s="52">
        <f t="shared" ref="AD14:AD22" si="8">(($O14)*W14)/10^6</f>
        <v>1.3310502283105023E-3</v>
      </c>
    </row>
    <row r="15" spans="1:30" s="25" customFormat="1" ht="15" customHeight="1" x14ac:dyDescent="0.25">
      <c r="A15" s="25" t="s">
        <v>155</v>
      </c>
      <c r="B15" s="31"/>
      <c r="C15" s="31"/>
      <c r="D15" s="96">
        <v>-20.230651999999999</v>
      </c>
      <c r="E15" s="96">
        <v>-40.274954999999999</v>
      </c>
      <c r="F15" s="31">
        <v>0.8</v>
      </c>
      <c r="G15" s="31">
        <v>272.60000000000002</v>
      </c>
      <c r="H15" s="54">
        <v>8863</v>
      </c>
      <c r="I15" s="54">
        <f t="shared" si="4"/>
        <v>4435.9660100778738</v>
      </c>
      <c r="J15" s="31">
        <v>8</v>
      </c>
      <c r="K15" s="31">
        <v>1</v>
      </c>
      <c r="L15" s="31" t="s">
        <v>29</v>
      </c>
      <c r="M15" s="54">
        <f>265000/2</f>
        <v>132500</v>
      </c>
      <c r="N15" s="31" t="s">
        <v>78</v>
      </c>
      <c r="O15" s="55">
        <f>(M15/8760)</f>
        <v>15.125570776255708</v>
      </c>
      <c r="P15" s="55"/>
      <c r="Q15" s="102">
        <f>'FE-Fab Ceramica'!C12</f>
        <v>3.3500000000000002E-2</v>
      </c>
      <c r="R15" s="54"/>
      <c r="S15" s="54"/>
      <c r="T15" s="100">
        <f>'FE-Combustão'!D5</f>
        <v>1600</v>
      </c>
      <c r="U15" s="99">
        <f>'FE-Combustão'!C13</f>
        <v>9.6</v>
      </c>
      <c r="V15" s="100">
        <f>'FE-Combustão'!D6</f>
        <v>1344</v>
      </c>
      <c r="W15" s="101">
        <f>'FE-Combustão'!C14</f>
        <v>88</v>
      </c>
      <c r="X15" s="52">
        <f>((B3/2/8760)*Q14)</f>
        <v>5.8472031963470325E-2</v>
      </c>
      <c r="Y15" s="52">
        <f t="shared" si="0"/>
        <v>5.8472031963470325E-2</v>
      </c>
      <c r="Z15" s="52">
        <f t="shared" si="1"/>
        <v>5.8472031963470325E-2</v>
      </c>
      <c r="AA15" s="52">
        <f t="shared" si="5"/>
        <v>2.4200913242009132E-2</v>
      </c>
      <c r="AB15" s="52">
        <f t="shared" si="6"/>
        <v>1.4520547945205478E-4</v>
      </c>
      <c r="AC15" s="52">
        <f t="shared" si="7"/>
        <v>2.0328767123287669E-2</v>
      </c>
      <c r="AD15" s="52">
        <f t="shared" si="8"/>
        <v>1.3310502283105023E-3</v>
      </c>
    </row>
    <row r="16" spans="1:30" s="25" customFormat="1" ht="15" customHeight="1" x14ac:dyDescent="0.25">
      <c r="A16" s="25" t="s">
        <v>84</v>
      </c>
      <c r="B16" s="31"/>
      <c r="C16" s="31" t="s">
        <v>64</v>
      </c>
      <c r="D16" s="96">
        <v>-20.231515999999999</v>
      </c>
      <c r="E16" s="96">
        <v>-40.275315999999997</v>
      </c>
      <c r="F16" s="31">
        <v>0.5</v>
      </c>
      <c r="G16" s="31">
        <v>70</v>
      </c>
      <c r="H16" s="54">
        <v>40000</v>
      </c>
      <c r="I16" s="54">
        <f t="shared" si="4"/>
        <v>31840.303074457235</v>
      </c>
      <c r="J16" s="31">
        <v>8</v>
      </c>
      <c r="K16" s="31" t="s">
        <v>64</v>
      </c>
      <c r="L16" s="31" t="s">
        <v>29</v>
      </c>
      <c r="M16" s="54">
        <v>803000</v>
      </c>
      <c r="N16" s="31" t="s">
        <v>78</v>
      </c>
      <c r="O16" s="55">
        <f>M16/8760</f>
        <v>91.666666666666671</v>
      </c>
      <c r="P16" s="55"/>
      <c r="Q16" s="102">
        <f>'FE-Fab Ceramica'!C6</f>
        <v>1.1499999999999999</v>
      </c>
      <c r="R16" s="54"/>
      <c r="S16" s="54"/>
      <c r="T16" s="100">
        <f>'FE-Combustão'!D5</f>
        <v>1600</v>
      </c>
      <c r="U16" s="99">
        <f>'FE-Combustão'!C13</f>
        <v>9.6</v>
      </c>
      <c r="V16" s="100">
        <f>'FE-Combustão'!D6</f>
        <v>1344</v>
      </c>
      <c r="W16" s="101">
        <f>'FE-Combustão'!C14</f>
        <v>88</v>
      </c>
      <c r="X16" s="52">
        <f>((B3/8760)*Q16)*(O16/SUM(O16:O19))</f>
        <v>2.8880502299468427</v>
      </c>
      <c r="Y16" s="52">
        <f t="shared" si="0"/>
        <v>2.8880502299468427</v>
      </c>
      <c r="Z16" s="52">
        <f t="shared" si="1"/>
        <v>2.8880502299468427</v>
      </c>
      <c r="AA16" s="52">
        <f t="shared" si="5"/>
        <v>0.1466666666666667</v>
      </c>
      <c r="AB16" s="52">
        <f t="shared" si="6"/>
        <v>8.8000000000000003E-4</v>
      </c>
      <c r="AC16" s="52">
        <f t="shared" si="7"/>
        <v>0.1232</v>
      </c>
      <c r="AD16" s="52">
        <f t="shared" si="8"/>
        <v>8.0666666666666664E-3</v>
      </c>
    </row>
    <row r="17" spans="1:30" s="26" customFormat="1" ht="15" customHeight="1" x14ac:dyDescent="0.25">
      <c r="A17" s="26" t="s">
        <v>57</v>
      </c>
      <c r="B17" s="78"/>
      <c r="C17" s="78" t="s">
        <v>89</v>
      </c>
      <c r="D17" s="113">
        <v>-20.231355000000001</v>
      </c>
      <c r="E17" s="113">
        <v>-40.276319999999998</v>
      </c>
      <c r="F17" s="78">
        <v>0.4</v>
      </c>
      <c r="G17" s="78">
        <v>40</v>
      </c>
      <c r="H17" s="79">
        <v>10000</v>
      </c>
      <c r="I17" s="79">
        <f t="shared" si="4"/>
        <v>8722.6568737026992</v>
      </c>
      <c r="J17" s="78">
        <v>8</v>
      </c>
      <c r="K17" s="78">
        <v>3</v>
      </c>
      <c r="L17" s="78" t="s">
        <v>29</v>
      </c>
      <c r="M17" s="79">
        <v>80000</v>
      </c>
      <c r="N17" s="78" t="s">
        <v>79</v>
      </c>
      <c r="O17" s="80">
        <f>(M17/8760)*3</f>
        <v>27.397260273972606</v>
      </c>
      <c r="P17" s="80"/>
      <c r="Q17" s="102">
        <f>'FE-Fab Ceramica'!C6</f>
        <v>1.1499999999999999</v>
      </c>
      <c r="R17" s="79"/>
      <c r="S17" s="79"/>
      <c r="T17" s="100">
        <f>'FE-Combustão'!D5</f>
        <v>1600</v>
      </c>
      <c r="U17" s="99">
        <f>'FE-Combustão'!C13</f>
        <v>9.6</v>
      </c>
      <c r="V17" s="100">
        <f>'FE-Combustão'!D6</f>
        <v>1344</v>
      </c>
      <c r="W17" s="101">
        <f>'FE-Combustão'!C14</f>
        <v>88</v>
      </c>
      <c r="X17" s="81">
        <f>((B3/8760)*Q17)*(O17/SUM(O16:O19))</f>
        <v>0.86317815091811001</v>
      </c>
      <c r="Y17" s="52">
        <f t="shared" si="0"/>
        <v>0.86317815091811001</v>
      </c>
      <c r="Z17" s="52">
        <f t="shared" si="1"/>
        <v>0.86317815091811001</v>
      </c>
      <c r="AA17" s="81">
        <f t="shared" si="5"/>
        <v>4.3835616438356172E-2</v>
      </c>
      <c r="AB17" s="81">
        <f t="shared" si="6"/>
        <v>2.6301369863013702E-4</v>
      </c>
      <c r="AC17" s="81">
        <f t="shared" si="7"/>
        <v>3.6821917808219182E-2</v>
      </c>
      <c r="AD17" s="81">
        <f t="shared" si="8"/>
        <v>2.4109589041095892E-3</v>
      </c>
    </row>
    <row r="18" spans="1:30" s="26" customFormat="1" ht="15" customHeight="1" x14ac:dyDescent="0.25">
      <c r="A18" s="26" t="s">
        <v>77</v>
      </c>
      <c r="B18" s="78" t="s">
        <v>61</v>
      </c>
      <c r="C18" s="78"/>
      <c r="D18" s="113">
        <v>-20.230968000000001</v>
      </c>
      <c r="E18" s="113">
        <v>-40.276181999999999</v>
      </c>
      <c r="F18" s="78">
        <v>0.5</v>
      </c>
      <c r="G18" s="78">
        <v>50</v>
      </c>
      <c r="H18" s="79">
        <v>20000</v>
      </c>
      <c r="I18" s="79">
        <f t="shared" si="4"/>
        <v>16905.461859817424</v>
      </c>
      <c r="J18" s="78">
        <v>8</v>
      </c>
      <c r="K18" s="78">
        <v>4</v>
      </c>
      <c r="L18" s="78" t="s">
        <v>29</v>
      </c>
      <c r="M18" s="79">
        <v>6750</v>
      </c>
      <c r="N18" s="78" t="s">
        <v>90</v>
      </c>
      <c r="O18" s="80">
        <f>(M18/8760)*4</f>
        <v>3.0821917808219177</v>
      </c>
      <c r="P18" s="80"/>
      <c r="Q18" s="102">
        <f>'FE-Fab Ceramica'!C6</f>
        <v>1.1499999999999999</v>
      </c>
      <c r="R18" s="79"/>
      <c r="S18" s="79"/>
      <c r="T18" s="100">
        <f>'FE-Combustão'!D5</f>
        <v>1600</v>
      </c>
      <c r="U18" s="99">
        <f>'FE-Combustão'!C13</f>
        <v>9.6</v>
      </c>
      <c r="V18" s="100">
        <f>'FE-Combustão'!D6</f>
        <v>1344</v>
      </c>
      <c r="W18" s="101">
        <f>'FE-Combustão'!C14</f>
        <v>88</v>
      </c>
      <c r="X18" s="81">
        <f>((B3/8760)*Q18)*(O18/SUM(O16:O19))</f>
        <v>9.7107541978287359E-2</v>
      </c>
      <c r="Y18" s="52">
        <f t="shared" si="0"/>
        <v>9.7107541978287359E-2</v>
      </c>
      <c r="Z18" s="52">
        <f t="shared" si="1"/>
        <v>9.7107541978287359E-2</v>
      </c>
      <c r="AA18" s="81">
        <f t="shared" si="5"/>
        <v>4.9315068493150684E-3</v>
      </c>
      <c r="AB18" s="81">
        <f t="shared" si="6"/>
        <v>2.9589041095890407E-5</v>
      </c>
      <c r="AC18" s="81">
        <f t="shared" si="7"/>
        <v>4.1424657534246574E-3</v>
      </c>
      <c r="AD18" s="81">
        <f t="shared" si="8"/>
        <v>2.7123287671232871E-4</v>
      </c>
    </row>
    <row r="19" spans="1:30" s="26" customFormat="1" ht="15" customHeight="1" x14ac:dyDescent="0.25">
      <c r="A19" s="26" t="s">
        <v>80</v>
      </c>
      <c r="B19" s="78" t="s">
        <v>81</v>
      </c>
      <c r="C19" s="78"/>
      <c r="D19" s="113">
        <v>-20.23021</v>
      </c>
      <c r="E19" s="113">
        <v>-40.276004</v>
      </c>
      <c r="F19" s="78">
        <v>0.4</v>
      </c>
      <c r="G19" s="78">
        <v>40</v>
      </c>
      <c r="H19" s="79">
        <v>10000</v>
      </c>
      <c r="I19" s="79">
        <f t="shared" si="4"/>
        <v>8722.6568737026992</v>
      </c>
      <c r="J19" s="78">
        <v>8</v>
      </c>
      <c r="K19" s="78">
        <v>3</v>
      </c>
      <c r="L19" s="78" t="s">
        <v>29</v>
      </c>
      <c r="M19" s="79">
        <v>15400</v>
      </c>
      <c r="N19" s="78" t="s">
        <v>79</v>
      </c>
      <c r="O19" s="80">
        <f>(M19/8760)*3</f>
        <v>5.2739726027397262</v>
      </c>
      <c r="P19" s="80"/>
      <c r="Q19" s="102">
        <f>'FE-Fab Ceramica'!C6</f>
        <v>1.1499999999999999</v>
      </c>
      <c r="R19" s="79"/>
      <c r="S19" s="79"/>
      <c r="T19" s="100">
        <f>'FE-Combustão'!D5</f>
        <v>1600</v>
      </c>
      <c r="U19" s="99">
        <f>'FE-Combustão'!C13</f>
        <v>9.6</v>
      </c>
      <c r="V19" s="100">
        <f>'FE-Combustão'!D6</f>
        <v>1344</v>
      </c>
      <c r="W19" s="101">
        <f>'FE-Combustão'!C14</f>
        <v>88</v>
      </c>
      <c r="X19" s="81">
        <f>((B3/8760)*Q19)*(O19/SUM(O16:O19))</f>
        <v>0.16616179405173617</v>
      </c>
      <c r="Y19" s="52">
        <f t="shared" si="0"/>
        <v>0.16616179405173617</v>
      </c>
      <c r="Z19" s="52">
        <f t="shared" si="1"/>
        <v>0.16616179405173617</v>
      </c>
      <c r="AA19" s="81">
        <f t="shared" si="5"/>
        <v>8.4383561643835616E-3</v>
      </c>
      <c r="AB19" s="81">
        <f t="shared" si="6"/>
        <v>5.0630136986301373E-5</v>
      </c>
      <c r="AC19" s="81">
        <f t="shared" si="7"/>
        <v>7.088219178082192E-3</v>
      </c>
      <c r="AD19" s="81">
        <f t="shared" si="8"/>
        <v>4.6410958904109589E-4</v>
      </c>
    </row>
    <row r="20" spans="1:30" s="25" customFormat="1" ht="15" customHeight="1" x14ac:dyDescent="0.25">
      <c r="A20" s="56" t="s">
        <v>75</v>
      </c>
      <c r="B20" s="31" t="s">
        <v>60</v>
      </c>
      <c r="C20" s="31"/>
      <c r="D20" s="96">
        <v>-20.230907999999999</v>
      </c>
      <c r="E20" s="96">
        <v>-40.275742000000001</v>
      </c>
      <c r="F20" s="31">
        <v>0.3</v>
      </c>
      <c r="G20" s="31">
        <v>90</v>
      </c>
      <c r="H20" s="54">
        <v>5000</v>
      </c>
      <c r="I20" s="54">
        <f t="shared" si="4"/>
        <v>3760.842627013631</v>
      </c>
      <c r="J20" s="31">
        <v>8</v>
      </c>
      <c r="K20" s="31">
        <v>1</v>
      </c>
      <c r="L20" s="31" t="s">
        <v>29</v>
      </c>
      <c r="M20" s="54">
        <v>8000</v>
      </c>
      <c r="N20" s="31" t="s">
        <v>72</v>
      </c>
      <c r="O20" s="55">
        <f>M20/(30*24)</f>
        <v>11.111111111111111</v>
      </c>
      <c r="P20" s="55"/>
      <c r="Q20" s="99">
        <f>'FE-Combustão'!C15</f>
        <v>121.6</v>
      </c>
      <c r="R20" s="54"/>
      <c r="S20" s="54"/>
      <c r="T20" s="100">
        <f>'FE-Combustão'!D5</f>
        <v>1600</v>
      </c>
      <c r="U20" s="99">
        <f>'FE-Combustão'!C13</f>
        <v>9.6</v>
      </c>
      <c r="V20" s="100">
        <f>'FE-Combustão'!D6</f>
        <v>1344</v>
      </c>
      <c r="W20" s="101">
        <f>'FE-Combustão'!C14</f>
        <v>88</v>
      </c>
      <c r="X20" s="52">
        <f>(($O20)*Q20)/10^6</f>
        <v>1.3511111111111111E-3</v>
      </c>
      <c r="Y20" s="52">
        <f t="shared" ref="Y20:Y30" si="9">X20</f>
        <v>1.3511111111111111E-3</v>
      </c>
      <c r="Z20" s="52">
        <f t="shared" ref="Z20:Z26" si="10">X20</f>
        <v>1.3511111111111111E-3</v>
      </c>
      <c r="AA20" s="52">
        <f t="shared" si="5"/>
        <v>1.7777777777777778E-2</v>
      </c>
      <c r="AB20" s="52">
        <f t="shared" si="6"/>
        <v>1.0666666666666665E-4</v>
      </c>
      <c r="AC20" s="52">
        <f t="shared" si="7"/>
        <v>1.4933333333333331E-2</v>
      </c>
      <c r="AD20" s="52">
        <f t="shared" si="8"/>
        <v>9.7777777777777772E-4</v>
      </c>
    </row>
    <row r="21" spans="1:30" s="25" customFormat="1" ht="15" customHeight="1" x14ac:dyDescent="0.25">
      <c r="A21" s="56" t="s">
        <v>76</v>
      </c>
      <c r="B21" s="31" t="s">
        <v>60</v>
      </c>
      <c r="C21" s="31"/>
      <c r="D21" s="96">
        <v>-20.230877</v>
      </c>
      <c r="E21" s="96">
        <v>-40.275070999999997</v>
      </c>
      <c r="F21" s="31">
        <v>0.3</v>
      </c>
      <c r="G21" s="31">
        <v>90</v>
      </c>
      <c r="H21" s="54">
        <v>5000</v>
      </c>
      <c r="I21" s="54">
        <f t="shared" si="4"/>
        <v>3760.842627013631</v>
      </c>
      <c r="J21" s="31">
        <v>8</v>
      </c>
      <c r="K21" s="31">
        <v>1</v>
      </c>
      <c r="L21" s="31" t="s">
        <v>29</v>
      </c>
      <c r="M21" s="54">
        <v>8000</v>
      </c>
      <c r="N21" s="31" t="s">
        <v>72</v>
      </c>
      <c r="O21" s="55">
        <f t="shared" ref="O21:O22" si="11">M21/(30*24)</f>
        <v>11.111111111111111</v>
      </c>
      <c r="P21" s="55"/>
      <c r="Q21" s="99">
        <f>'FE-Combustão'!C15</f>
        <v>121.6</v>
      </c>
      <c r="R21" s="54"/>
      <c r="S21" s="54"/>
      <c r="T21" s="100">
        <f>'FE-Combustão'!D5</f>
        <v>1600</v>
      </c>
      <c r="U21" s="99">
        <f>'FE-Combustão'!C13</f>
        <v>9.6</v>
      </c>
      <c r="V21" s="100">
        <f>'FE-Combustão'!D6</f>
        <v>1344</v>
      </c>
      <c r="W21" s="101">
        <f>'FE-Combustão'!C14</f>
        <v>88</v>
      </c>
      <c r="X21" s="52">
        <f>(($O21)*Q21)/10^6</f>
        <v>1.3511111111111111E-3</v>
      </c>
      <c r="Y21" s="52">
        <f t="shared" si="9"/>
        <v>1.3511111111111111E-3</v>
      </c>
      <c r="Z21" s="52">
        <f t="shared" si="10"/>
        <v>1.3511111111111111E-3</v>
      </c>
      <c r="AA21" s="52">
        <f t="shared" si="5"/>
        <v>1.7777777777777778E-2</v>
      </c>
      <c r="AB21" s="52">
        <f t="shared" si="6"/>
        <v>1.0666666666666665E-4</v>
      </c>
      <c r="AC21" s="52">
        <f t="shared" si="7"/>
        <v>1.4933333333333331E-2</v>
      </c>
      <c r="AD21" s="52">
        <f t="shared" si="8"/>
        <v>9.7777777777777772E-4</v>
      </c>
    </row>
    <row r="22" spans="1:30" s="25" customFormat="1" ht="15" customHeight="1" x14ac:dyDescent="0.25">
      <c r="A22" s="56" t="s">
        <v>76</v>
      </c>
      <c r="B22" s="31" t="s">
        <v>60</v>
      </c>
      <c r="C22" s="31"/>
      <c r="D22" s="96">
        <v>-20.23085</v>
      </c>
      <c r="E22" s="96">
        <v>-40.275061000000001</v>
      </c>
      <c r="F22" s="31">
        <v>0.2</v>
      </c>
      <c r="G22" s="31">
        <v>90</v>
      </c>
      <c r="H22" s="54">
        <v>2500</v>
      </c>
      <c r="I22" s="54">
        <f t="shared" si="4"/>
        <v>1880.4213135068155</v>
      </c>
      <c r="J22" s="31">
        <v>8</v>
      </c>
      <c r="K22" s="31">
        <v>1</v>
      </c>
      <c r="L22" s="31" t="s">
        <v>29</v>
      </c>
      <c r="M22" s="54">
        <v>4500</v>
      </c>
      <c r="N22" s="31" t="s">
        <v>72</v>
      </c>
      <c r="O22" s="55">
        <f t="shared" si="11"/>
        <v>6.25</v>
      </c>
      <c r="P22" s="55"/>
      <c r="Q22" s="99">
        <f>'FE-Combustão'!C15</f>
        <v>121.6</v>
      </c>
      <c r="R22" s="54"/>
      <c r="S22" s="54"/>
      <c r="T22" s="100">
        <f>'FE-Combustão'!D5</f>
        <v>1600</v>
      </c>
      <c r="U22" s="99">
        <f>'FE-Combustão'!C13</f>
        <v>9.6</v>
      </c>
      <c r="V22" s="100">
        <f>'FE-Combustão'!D6</f>
        <v>1344</v>
      </c>
      <c r="W22" s="101">
        <f>'FE-Combustão'!C14</f>
        <v>88</v>
      </c>
      <c r="X22" s="52">
        <f>(($O22)*Q22)/10^6</f>
        <v>7.6000000000000004E-4</v>
      </c>
      <c r="Y22" s="52">
        <f t="shared" si="9"/>
        <v>7.6000000000000004E-4</v>
      </c>
      <c r="Z22" s="52">
        <f t="shared" si="10"/>
        <v>7.6000000000000004E-4</v>
      </c>
      <c r="AA22" s="52">
        <f t="shared" si="5"/>
        <v>0.01</v>
      </c>
      <c r="AB22" s="52">
        <f t="shared" si="6"/>
        <v>6.0000000000000002E-5</v>
      </c>
      <c r="AC22" s="52">
        <f t="shared" si="7"/>
        <v>8.3999999999999995E-3</v>
      </c>
      <c r="AD22" s="52">
        <f t="shared" si="8"/>
        <v>5.5000000000000003E-4</v>
      </c>
    </row>
    <row r="23" spans="1:30" s="25" customFormat="1" ht="15" customHeight="1" x14ac:dyDescent="0.25">
      <c r="A23" s="25" t="s">
        <v>170</v>
      </c>
      <c r="C23" s="25" t="s">
        <v>96</v>
      </c>
      <c r="D23" s="96">
        <v>-20.230346000000001</v>
      </c>
      <c r="E23" s="96">
        <v>-40.276015000000001</v>
      </c>
      <c r="F23" s="53">
        <v>0.35</v>
      </c>
      <c r="G23" s="31">
        <v>27</v>
      </c>
      <c r="H23" s="54">
        <v>2000</v>
      </c>
      <c r="I23" s="54">
        <f t="shared" si="4"/>
        <v>1820.089955022489</v>
      </c>
      <c r="J23" s="31">
        <v>8</v>
      </c>
      <c r="K23" s="31">
        <v>1</v>
      </c>
      <c r="L23" s="31"/>
      <c r="M23" s="54"/>
      <c r="N23" s="31"/>
      <c r="O23" s="31"/>
      <c r="P23" s="111">
        <v>10</v>
      </c>
      <c r="X23" s="144">
        <f>(P23*H23)/10^6</f>
        <v>0.02</v>
      </c>
      <c r="Y23" s="52">
        <f t="shared" si="9"/>
        <v>0.02</v>
      </c>
      <c r="Z23" s="52">
        <f t="shared" si="10"/>
        <v>0.02</v>
      </c>
    </row>
    <row r="24" spans="1:30" s="25" customFormat="1" ht="15" customHeight="1" x14ac:dyDescent="0.25">
      <c r="A24" s="25" t="s">
        <v>97</v>
      </c>
      <c r="C24" s="25" t="s">
        <v>98</v>
      </c>
      <c r="D24" s="96">
        <v>-20.231943000000001</v>
      </c>
      <c r="E24" s="96">
        <v>-40.276296000000002</v>
      </c>
      <c r="F24" s="31" t="s">
        <v>99</v>
      </c>
      <c r="G24" s="31">
        <v>25</v>
      </c>
      <c r="H24" s="54">
        <v>4700</v>
      </c>
      <c r="I24" s="54">
        <f t="shared" si="4"/>
        <v>4305.9030689250385</v>
      </c>
      <c r="J24" s="31" t="s">
        <v>99</v>
      </c>
      <c r="K24" s="31">
        <v>1</v>
      </c>
      <c r="P24" s="111">
        <v>10</v>
      </c>
      <c r="X24" s="144">
        <f>(P24*H24)/10^6</f>
        <v>4.7E-2</v>
      </c>
      <c r="Y24" s="52">
        <f t="shared" si="9"/>
        <v>4.7E-2</v>
      </c>
      <c r="Z24" s="52">
        <f t="shared" si="10"/>
        <v>4.7E-2</v>
      </c>
    </row>
    <row r="25" spans="1:30" s="25" customFormat="1" ht="15" customHeight="1" x14ac:dyDescent="0.25">
      <c r="A25" s="25" t="s">
        <v>166</v>
      </c>
      <c r="D25" s="96">
        <v>-20.230622</v>
      </c>
      <c r="E25" s="96">
        <v>-40.275346999999996</v>
      </c>
      <c r="F25" s="31">
        <v>0.5</v>
      </c>
      <c r="G25" s="31">
        <v>80</v>
      </c>
      <c r="H25" s="54">
        <v>20000</v>
      </c>
      <c r="I25" s="54">
        <f t="shared" ref="I25:I30" si="12">(H25*273.15)/(273.15+G25)</f>
        <v>15469.347302845817</v>
      </c>
      <c r="J25" s="31">
        <v>8</v>
      </c>
      <c r="K25" s="31"/>
      <c r="P25" s="31"/>
      <c r="Q25" s="103">
        <f>'FE-Fab Ceramica'!C7</f>
        <v>5.5E-2</v>
      </c>
      <c r="X25" s="144">
        <f>(($B$3/8760/3)*Q25)/3</f>
        <v>2.1333079654997464E-2</v>
      </c>
      <c r="Y25" s="52">
        <f>X25</f>
        <v>2.1333079654997464E-2</v>
      </c>
      <c r="Z25" s="52">
        <f t="shared" si="10"/>
        <v>2.1333079654997464E-2</v>
      </c>
    </row>
    <row r="26" spans="1:30" s="25" customFormat="1" ht="15" customHeight="1" x14ac:dyDescent="0.25">
      <c r="A26" s="25" t="s">
        <v>167</v>
      </c>
      <c r="D26" s="96">
        <v>-20.230604</v>
      </c>
      <c r="E26" s="96">
        <v>-40.275317999999999</v>
      </c>
      <c r="F26" s="31">
        <v>0.5</v>
      </c>
      <c r="G26" s="31">
        <v>80</v>
      </c>
      <c r="H26" s="54">
        <v>20000</v>
      </c>
      <c r="I26" s="54">
        <f t="shared" si="12"/>
        <v>15469.347302845817</v>
      </c>
      <c r="J26" s="31">
        <v>8</v>
      </c>
      <c r="K26" s="31"/>
      <c r="P26" s="31"/>
      <c r="Q26" s="103">
        <f>'FE-Fab Ceramica'!C7</f>
        <v>5.5E-2</v>
      </c>
      <c r="X26" s="144">
        <f>(($B$3/8760/3)*Q26)/3</f>
        <v>2.1333079654997464E-2</v>
      </c>
      <c r="Y26" s="52">
        <f t="shared" si="9"/>
        <v>2.1333079654997464E-2</v>
      </c>
      <c r="Z26" s="52">
        <f t="shared" si="10"/>
        <v>2.1333079654997464E-2</v>
      </c>
    </row>
    <row r="27" spans="1:30" s="25" customFormat="1" ht="15" customHeight="1" x14ac:dyDescent="0.25">
      <c r="A27" s="25" t="s">
        <v>142</v>
      </c>
      <c r="D27" s="96">
        <v>-20.231003000000001</v>
      </c>
      <c r="E27" s="96">
        <v>-40.275053</v>
      </c>
      <c r="F27" s="31">
        <v>0.5</v>
      </c>
      <c r="G27" s="31">
        <v>80</v>
      </c>
      <c r="H27" s="54">
        <v>20000</v>
      </c>
      <c r="I27" s="54">
        <f>(H27*273.15)/(273.15+G27)</f>
        <v>15469.347302845817</v>
      </c>
      <c r="J27" s="31">
        <v>8</v>
      </c>
      <c r="K27" s="31"/>
      <c r="P27" s="31"/>
      <c r="Q27" s="103">
        <f>'FE-Fab Ceramica'!C7</f>
        <v>5.5E-2</v>
      </c>
      <c r="X27" s="144">
        <f>(($B$3/8760/3)*Q27)/3</f>
        <v>2.1333079654997464E-2</v>
      </c>
      <c r="Y27" s="52">
        <f t="shared" si="9"/>
        <v>2.1333079654997464E-2</v>
      </c>
      <c r="Z27" s="52">
        <f t="shared" ref="Z27:Z30" si="13">X27</f>
        <v>2.1333079654997464E-2</v>
      </c>
    </row>
    <row r="28" spans="1:30" s="25" customFormat="1" ht="15" customHeight="1" x14ac:dyDescent="0.25">
      <c r="A28" s="25" t="s">
        <v>168</v>
      </c>
      <c r="D28" s="96">
        <v>-20.230622</v>
      </c>
      <c r="E28" s="96">
        <v>-40.275346999999996</v>
      </c>
      <c r="F28" s="31">
        <v>0.5</v>
      </c>
      <c r="G28" s="31">
        <v>80</v>
      </c>
      <c r="H28" s="54">
        <v>20000</v>
      </c>
      <c r="I28" s="54">
        <f t="shared" si="12"/>
        <v>15469.347302845817</v>
      </c>
      <c r="J28" s="31">
        <v>8</v>
      </c>
      <c r="K28" s="31"/>
      <c r="P28" s="31"/>
      <c r="Q28" s="103">
        <f>'FE-Fab Ceramica'!C7</f>
        <v>5.5E-2</v>
      </c>
      <c r="X28" s="144">
        <f>(($B$3/8760/2)*Q28)/3</f>
        <v>3.1999619482496196E-2</v>
      </c>
      <c r="Y28" s="52">
        <f t="shared" si="9"/>
        <v>3.1999619482496196E-2</v>
      </c>
      <c r="Z28" s="52">
        <f t="shared" si="13"/>
        <v>3.1999619482496196E-2</v>
      </c>
    </row>
    <row r="29" spans="1:30" s="25" customFormat="1" ht="15" customHeight="1" x14ac:dyDescent="0.25">
      <c r="A29" s="25" t="s">
        <v>169</v>
      </c>
      <c r="D29" s="96">
        <v>-20.230604</v>
      </c>
      <c r="E29" s="96">
        <v>-40.275317999999999</v>
      </c>
      <c r="F29" s="31">
        <v>0.5</v>
      </c>
      <c r="G29" s="31">
        <v>80</v>
      </c>
      <c r="H29" s="54">
        <v>20000</v>
      </c>
      <c r="I29" s="54">
        <f t="shared" si="12"/>
        <v>15469.347302845817</v>
      </c>
      <c r="J29" s="31">
        <v>8</v>
      </c>
      <c r="K29" s="31"/>
      <c r="P29" s="31"/>
      <c r="Q29" s="103">
        <f>'FE-Fab Ceramica'!C7</f>
        <v>5.5E-2</v>
      </c>
      <c r="X29" s="144">
        <f>(($B$3/8760/2)*Q29)/3</f>
        <v>3.1999619482496196E-2</v>
      </c>
      <c r="Y29" s="52">
        <f t="shared" si="9"/>
        <v>3.1999619482496196E-2</v>
      </c>
      <c r="Z29" s="52">
        <f t="shared" si="13"/>
        <v>3.1999619482496196E-2</v>
      </c>
    </row>
    <row r="30" spans="1:30" s="25" customFormat="1" ht="15" customHeight="1" x14ac:dyDescent="0.25">
      <c r="A30" s="25" t="s">
        <v>143</v>
      </c>
      <c r="D30" s="96">
        <v>-20.230775000000001</v>
      </c>
      <c r="E30" s="96">
        <v>-40.275367000000003</v>
      </c>
      <c r="F30" s="31">
        <v>0.5</v>
      </c>
      <c r="G30" s="31">
        <v>80</v>
      </c>
      <c r="H30" s="54">
        <v>20000</v>
      </c>
      <c r="I30" s="54">
        <f t="shared" si="12"/>
        <v>15469.347302845817</v>
      </c>
      <c r="J30" s="31">
        <v>8</v>
      </c>
      <c r="K30" s="31"/>
      <c r="P30" s="31"/>
      <c r="Q30" s="103">
        <f>'FE-Fab Ceramica'!C7</f>
        <v>5.5E-2</v>
      </c>
      <c r="X30" s="144">
        <f>(($B$3/8760/2)*Q30)/3</f>
        <v>3.1999619482496196E-2</v>
      </c>
      <c r="Y30" s="52">
        <f t="shared" si="9"/>
        <v>3.1999619482496196E-2</v>
      </c>
      <c r="Z30" s="52">
        <f t="shared" si="13"/>
        <v>3.1999619482496196E-2</v>
      </c>
    </row>
    <row r="31" spans="1:30" ht="15" customHeight="1" x14ac:dyDescent="0.25">
      <c r="A31" s="237" t="s">
        <v>234</v>
      </c>
      <c r="B31" s="238"/>
      <c r="C31" s="238"/>
      <c r="D31" s="238"/>
      <c r="E31" s="238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8"/>
      <c r="R31" s="238"/>
      <c r="S31" s="238"/>
      <c r="T31" s="238"/>
      <c r="U31" s="238"/>
      <c r="V31" s="238"/>
      <c r="W31" s="239"/>
      <c r="X31" s="159">
        <f>SUM(X12:X30)</f>
        <v>5.2171646575342443</v>
      </c>
      <c r="Y31" s="159">
        <f t="shared" ref="Y31:AC31" si="14">SUM(Y12:Y30)</f>
        <v>5.2171646575342443</v>
      </c>
      <c r="Z31" s="159">
        <f t="shared" si="14"/>
        <v>5.2171646575342443</v>
      </c>
      <c r="AA31" s="159">
        <f>SUM(AA12:AA30)</f>
        <v>1.2403637747336376</v>
      </c>
      <c r="AB31" s="159">
        <f t="shared" si="14"/>
        <v>0.15704560080721017</v>
      </c>
      <c r="AC31" s="159">
        <f t="shared" si="14"/>
        <v>6.0101083105022841</v>
      </c>
      <c r="AD31" s="159">
        <f>SUM(AD12:AD30)</f>
        <v>0.76691715372907154</v>
      </c>
    </row>
    <row r="34" spans="1:16" ht="15" customHeight="1" x14ac:dyDescent="0.25">
      <c r="A34" s="3" t="s">
        <v>171</v>
      </c>
      <c r="E34" s="3" t="s">
        <v>171</v>
      </c>
      <c r="P34" s="82"/>
    </row>
    <row r="36" spans="1:16" ht="15" customHeight="1" x14ac:dyDescent="0.25">
      <c r="C36" s="7"/>
      <c r="D36" s="30"/>
      <c r="E36" s="30"/>
      <c r="F36" s="30"/>
      <c r="G36" s="7"/>
      <c r="H36" s="30"/>
      <c r="I36" s="30"/>
      <c r="J36" s="7"/>
      <c r="K36" s="7"/>
      <c r="L36" s="7"/>
      <c r="M36" s="7"/>
      <c r="N36" s="7"/>
      <c r="O36" s="7"/>
      <c r="P36" s="7"/>
    </row>
    <row r="38" spans="1:16" ht="15" customHeight="1" x14ac:dyDescent="0.25">
      <c r="F38" s="30"/>
    </row>
  </sheetData>
  <sheetProtection password="B056" sheet="1" objects="1" scenarios="1"/>
  <mergeCells count="19">
    <mergeCell ref="X10:AD10"/>
    <mergeCell ref="E10:E11"/>
    <mergeCell ref="D10:D11"/>
    <mergeCell ref="O10:O11"/>
    <mergeCell ref="Q10:W10"/>
    <mergeCell ref="N10:N11"/>
    <mergeCell ref="M10:M11"/>
    <mergeCell ref="L10:L11"/>
    <mergeCell ref="K10:K11"/>
    <mergeCell ref="J10:J11"/>
    <mergeCell ref="I10:I11"/>
    <mergeCell ref="H10:H11"/>
    <mergeCell ref="P10:P11"/>
    <mergeCell ref="A31:W31"/>
    <mergeCell ref="C10:C11"/>
    <mergeCell ref="B10:B11"/>
    <mergeCell ref="A10:A11"/>
    <mergeCell ref="G10:G11"/>
    <mergeCell ref="F10:F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0"/>
  <sheetViews>
    <sheetView workbookViewId="0">
      <selection activeCell="B10" sqref="B10:C11"/>
    </sheetView>
  </sheetViews>
  <sheetFormatPr defaultRowHeight="15" customHeight="1" x14ac:dyDescent="0.25"/>
  <cols>
    <col min="1" max="1" width="23" style="3" customWidth="1"/>
    <col min="2" max="2" width="11.5703125" style="3" customWidth="1"/>
    <col min="3" max="3" width="10.85546875" style="3" customWidth="1"/>
    <col min="4" max="4" width="15" style="3" customWidth="1"/>
    <col min="5" max="5" width="12.5703125" style="3" customWidth="1"/>
    <col min="6" max="6" width="11.5703125" style="3" customWidth="1"/>
    <col min="7" max="7" width="27.28515625" style="3" customWidth="1"/>
    <col min="8" max="16384" width="9.140625" style="3"/>
  </cols>
  <sheetData>
    <row r="1" spans="1:18" ht="15" customHeight="1" x14ac:dyDescent="0.25">
      <c r="A1" s="118" t="s">
        <v>232</v>
      </c>
    </row>
    <row r="3" spans="1:18" ht="15" customHeight="1" x14ac:dyDescent="0.25">
      <c r="A3" s="149" t="s">
        <v>69</v>
      </c>
      <c r="B3" s="149" t="s">
        <v>93</v>
      </c>
    </row>
    <row r="4" spans="1:18" ht="15" customHeight="1" x14ac:dyDescent="0.25">
      <c r="A4" s="3" t="s">
        <v>94</v>
      </c>
      <c r="B4" s="162">
        <v>3972.39</v>
      </c>
    </row>
    <row r="5" spans="1:18" ht="15" customHeight="1" x14ac:dyDescent="0.25">
      <c r="A5" s="3" t="s">
        <v>95</v>
      </c>
      <c r="B5" s="162">
        <v>12481.97</v>
      </c>
    </row>
    <row r="6" spans="1:18" ht="15" customHeight="1" x14ac:dyDescent="0.25">
      <c r="A6" s="3" t="s">
        <v>92</v>
      </c>
      <c r="B6" s="7">
        <v>537.1</v>
      </c>
    </row>
    <row r="7" spans="1:18" ht="15" customHeight="1" x14ac:dyDescent="0.25">
      <c r="B7" s="29"/>
    </row>
    <row r="8" spans="1:18" ht="15" customHeight="1" x14ac:dyDescent="0.25">
      <c r="A8" s="3" t="s">
        <v>153</v>
      </c>
      <c r="B8" s="161">
        <v>4.1937865160171146</v>
      </c>
    </row>
    <row r="9" spans="1:18" ht="15" customHeight="1" x14ac:dyDescent="0.25">
      <c r="B9" s="161"/>
    </row>
    <row r="10" spans="1:18" s="6" customFormat="1" ht="15" customHeight="1" x14ac:dyDescent="0.25">
      <c r="A10" s="247" t="s">
        <v>4</v>
      </c>
      <c r="B10" s="244" t="s">
        <v>240</v>
      </c>
      <c r="C10" s="244" t="s">
        <v>241</v>
      </c>
      <c r="D10" s="247" t="s">
        <v>235</v>
      </c>
      <c r="E10" s="247" t="s">
        <v>231</v>
      </c>
      <c r="F10" s="247" t="s">
        <v>236</v>
      </c>
      <c r="G10" s="247" t="s">
        <v>144</v>
      </c>
      <c r="H10" s="247" t="s">
        <v>145</v>
      </c>
      <c r="I10" s="247"/>
      <c r="J10" s="247"/>
      <c r="K10" s="247" t="s">
        <v>121</v>
      </c>
      <c r="L10" s="247"/>
      <c r="M10" s="247"/>
    </row>
    <row r="11" spans="1:18" s="6" customFormat="1" ht="15" customHeight="1" x14ac:dyDescent="0.25">
      <c r="A11" s="247"/>
      <c r="B11" s="244"/>
      <c r="C11" s="244"/>
      <c r="D11" s="247"/>
      <c r="E11" s="247"/>
      <c r="F11" s="247"/>
      <c r="G11" s="247"/>
      <c r="H11" s="41" t="s">
        <v>122</v>
      </c>
      <c r="I11" s="41" t="s">
        <v>146</v>
      </c>
      <c r="J11" s="41" t="s">
        <v>147</v>
      </c>
      <c r="K11" s="41" t="s">
        <v>122</v>
      </c>
      <c r="L11" s="41" t="s">
        <v>146</v>
      </c>
      <c r="M11" s="41" t="s">
        <v>147</v>
      </c>
    </row>
    <row r="12" spans="1:18" ht="22.5" x14ac:dyDescent="0.25">
      <c r="A12" s="84" t="s">
        <v>148</v>
      </c>
      <c r="B12" s="85">
        <v>-20.229866000000001</v>
      </c>
      <c r="C12" s="85">
        <v>-40.276345999999997</v>
      </c>
      <c r="D12" s="86">
        <f>(SUM(B4:B6)/8760)*2</f>
        <v>3.8793287671232877</v>
      </c>
      <c r="E12" s="87">
        <v>50</v>
      </c>
      <c r="F12" s="88">
        <f>(15+20)/2</f>
        <v>17.5</v>
      </c>
      <c r="G12" s="35" t="s">
        <v>149</v>
      </c>
      <c r="H12" s="163">
        <f>A19*0.0016*((($B$8/2.2)^1.3)/($F$12/2)^1.4)</f>
        <v>1.3145561998991891E-4</v>
      </c>
      <c r="I12" s="163">
        <f>B19*0.0016*((($B$8/2.2)^1.3)/($F$12/2)^1.4)</f>
        <v>6.2174955400637325E-5</v>
      </c>
      <c r="J12" s="163">
        <f>C19*0.0016*((($B$8/2.2)^1.3)/($F$12/2)^1.4)</f>
        <v>9.4150646749536526E-6</v>
      </c>
      <c r="K12" s="89">
        <f>$D$12*H12*(1-$E$12/100)</f>
        <v>2.5497978411345978E-4</v>
      </c>
      <c r="L12" s="89">
        <f>$D$12*I12*(1-$E$12/100)</f>
        <v>1.2059854654014989E-4</v>
      </c>
      <c r="M12" s="89">
        <f>$D$12*J12*(1-$E$12/100)</f>
        <v>1.8262065618936987E-5</v>
      </c>
    </row>
    <row r="13" spans="1:18" s="25" customFormat="1" ht="15" customHeight="1" x14ac:dyDescent="0.25">
      <c r="A13" s="249" t="s">
        <v>234</v>
      </c>
      <c r="B13" s="250"/>
      <c r="C13" s="250"/>
      <c r="D13" s="250"/>
      <c r="E13" s="250"/>
      <c r="F13" s="250"/>
      <c r="G13" s="250"/>
      <c r="H13" s="250"/>
      <c r="I13" s="250"/>
      <c r="J13" s="251"/>
      <c r="K13" s="160">
        <f>K12</f>
        <v>2.5497978411345978E-4</v>
      </c>
      <c r="L13" s="160">
        <f t="shared" ref="L13:M13" si="0">L12</f>
        <v>1.2059854654014989E-4</v>
      </c>
      <c r="M13" s="160">
        <f t="shared" si="0"/>
        <v>1.8262065618936987E-5</v>
      </c>
      <c r="O13" s="84"/>
      <c r="P13" s="84"/>
      <c r="Q13" s="84"/>
      <c r="R13" s="84"/>
    </row>
    <row r="14" spans="1:18" s="25" customFormat="1" ht="15" customHeight="1" x14ac:dyDescent="0.25">
      <c r="A14" s="90"/>
      <c r="B14" s="91"/>
      <c r="C14" s="90"/>
      <c r="D14" s="90"/>
      <c r="E14" s="92"/>
      <c r="F14" s="92"/>
      <c r="G14" s="92"/>
      <c r="H14" s="92"/>
      <c r="I14" s="92"/>
      <c r="J14" s="92"/>
      <c r="K14" s="92"/>
      <c r="M14" s="84"/>
      <c r="N14" s="84"/>
      <c r="O14" s="84"/>
      <c r="P14" s="84"/>
    </row>
    <row r="15" spans="1:18" s="25" customFormat="1" ht="15" customHeight="1" x14ac:dyDescent="0.25">
      <c r="A15" s="90"/>
      <c r="B15" s="90"/>
      <c r="C15" s="90"/>
      <c r="D15" s="90"/>
      <c r="E15" s="92"/>
      <c r="F15" s="92"/>
      <c r="G15" s="92"/>
      <c r="H15" s="92"/>
      <c r="I15" s="93"/>
      <c r="J15" s="93"/>
      <c r="K15" s="94"/>
      <c r="M15" s="84"/>
      <c r="N15" s="84"/>
      <c r="O15" s="84"/>
      <c r="P15" s="84"/>
    </row>
    <row r="16" spans="1:18" s="25" customFormat="1" ht="15" customHeight="1" x14ac:dyDescent="0.25">
      <c r="A16" s="3" t="s">
        <v>150</v>
      </c>
      <c r="B16"/>
      <c r="C16"/>
      <c r="D16"/>
      <c r="E16"/>
      <c r="F16" s="3"/>
      <c r="G16" s="3"/>
      <c r="H16" s="3"/>
      <c r="I16" s="3"/>
      <c r="J16" s="3"/>
      <c r="K16" s="3"/>
      <c r="M16" s="84"/>
      <c r="N16" s="84"/>
      <c r="O16" s="84"/>
      <c r="P16" s="84"/>
    </row>
    <row r="17" spans="1:5" ht="15" customHeight="1" x14ac:dyDescent="0.25">
      <c r="A17" s="178" t="s">
        <v>151</v>
      </c>
      <c r="B17" s="179"/>
      <c r="C17" s="180"/>
    </row>
    <row r="18" spans="1:5" ht="15" customHeight="1" x14ac:dyDescent="0.25">
      <c r="A18" s="34" t="s">
        <v>52</v>
      </c>
      <c r="B18" s="34" t="s">
        <v>53</v>
      </c>
      <c r="C18" s="34" t="s">
        <v>54</v>
      </c>
    </row>
    <row r="19" spans="1:5" ht="15" customHeight="1" x14ac:dyDescent="0.25">
      <c r="A19" s="95">
        <v>0.74</v>
      </c>
      <c r="B19" s="95">
        <v>0.35</v>
      </c>
      <c r="C19" s="95">
        <v>5.2999999999999999E-2</v>
      </c>
    </row>
    <row r="20" spans="1:5" ht="15" customHeight="1" x14ac:dyDescent="0.25">
      <c r="A20"/>
      <c r="B20"/>
      <c r="C20"/>
      <c r="D20"/>
      <c r="E20"/>
    </row>
    <row r="21" spans="1:5" ht="15" customHeight="1" x14ac:dyDescent="0.2">
      <c r="A21" s="248" t="s">
        <v>134</v>
      </c>
      <c r="B21" s="252"/>
      <c r="C21" s="253"/>
      <c r="D21" s="254"/>
      <c r="E21" s="141"/>
    </row>
    <row r="22" spans="1:5" ht="15" customHeight="1" x14ac:dyDescent="0.2">
      <c r="A22" s="248"/>
      <c r="B22" s="255"/>
      <c r="C22" s="256"/>
      <c r="D22" s="257"/>
      <c r="E22" s="141"/>
    </row>
    <row r="23" spans="1:5" ht="15" customHeight="1" x14ac:dyDescent="0.2">
      <c r="A23" s="248"/>
      <c r="B23" s="255"/>
      <c r="C23" s="256"/>
      <c r="D23" s="257"/>
      <c r="E23" s="141"/>
    </row>
    <row r="24" spans="1:5" ht="15" customHeight="1" x14ac:dyDescent="0.2">
      <c r="A24" s="248"/>
      <c r="B24" s="255"/>
      <c r="C24" s="256"/>
      <c r="D24" s="257"/>
      <c r="E24" s="141"/>
    </row>
    <row r="25" spans="1:5" ht="15" customHeight="1" x14ac:dyDescent="0.2">
      <c r="A25" s="248"/>
      <c r="B25" s="258"/>
      <c r="C25" s="259"/>
      <c r="D25" s="260"/>
      <c r="E25" s="141"/>
    </row>
    <row r="26" spans="1:5" ht="15" customHeight="1" x14ac:dyDescent="0.25">
      <c r="A26" s="248"/>
      <c r="B26" s="261" t="s">
        <v>152</v>
      </c>
      <c r="C26" s="262"/>
      <c r="D26" s="263"/>
      <c r="E26" s="142"/>
    </row>
    <row r="27" spans="1:5" ht="15" customHeight="1" x14ac:dyDescent="0.25">
      <c r="A27" s="248"/>
      <c r="B27" s="264"/>
      <c r="C27" s="196"/>
      <c r="D27" s="265"/>
      <c r="E27" s="142"/>
    </row>
    <row r="28" spans="1:5" ht="15" customHeight="1" x14ac:dyDescent="0.25">
      <c r="A28" s="248"/>
      <c r="B28" s="264"/>
      <c r="C28" s="196"/>
      <c r="D28" s="265"/>
      <c r="E28" s="142"/>
    </row>
    <row r="29" spans="1:5" ht="15" customHeight="1" x14ac:dyDescent="0.25">
      <c r="A29" s="248"/>
      <c r="B29" s="264"/>
      <c r="C29" s="196"/>
      <c r="D29" s="265"/>
      <c r="E29" s="142"/>
    </row>
    <row r="30" spans="1:5" ht="15" customHeight="1" x14ac:dyDescent="0.25">
      <c r="A30" s="248"/>
      <c r="B30" s="266"/>
      <c r="C30" s="267"/>
      <c r="D30" s="268"/>
      <c r="E30" s="142"/>
    </row>
  </sheetData>
  <sheetProtection password="B056" sheet="1" objects="1" scenarios="1"/>
  <mergeCells count="14">
    <mergeCell ref="H10:J10"/>
    <mergeCell ref="K10:M10"/>
    <mergeCell ref="A21:A30"/>
    <mergeCell ref="A10:A11"/>
    <mergeCell ref="D10:D11"/>
    <mergeCell ref="E10:E11"/>
    <mergeCell ref="F10:F11"/>
    <mergeCell ref="G10:G11"/>
    <mergeCell ref="A13:J13"/>
    <mergeCell ref="B21:D25"/>
    <mergeCell ref="B26:D30"/>
    <mergeCell ref="A17:C17"/>
    <mergeCell ref="B10:B11"/>
    <mergeCell ref="C10:C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4"/>
  <sheetViews>
    <sheetView workbookViewId="0">
      <selection activeCell="B5" sqref="B5:C6"/>
    </sheetView>
  </sheetViews>
  <sheetFormatPr defaultRowHeight="15" customHeight="1" x14ac:dyDescent="0.25"/>
  <cols>
    <col min="1" max="1" width="18.5703125" style="25" customWidth="1"/>
    <col min="2" max="2" width="13.28515625" style="25" customWidth="1"/>
    <col min="3" max="3" width="13.140625" style="25" customWidth="1"/>
    <col min="4" max="4" width="10.28515625" style="25" customWidth="1"/>
    <col min="5" max="6" width="12.7109375" style="25" customWidth="1"/>
    <col min="7" max="9" width="13.85546875" style="25" customWidth="1"/>
    <col min="10" max="12" width="13.42578125" style="25" customWidth="1"/>
    <col min="13" max="13" width="10.140625" style="25" customWidth="1"/>
    <col min="14" max="19" width="9.140625" style="25"/>
    <col min="20" max="20" width="9.7109375" style="25" customWidth="1"/>
    <col min="21" max="21" width="11.28515625" style="25" customWidth="1"/>
    <col min="22" max="16384" width="9.140625" style="25"/>
  </cols>
  <sheetData>
    <row r="1" spans="1:12" ht="15" customHeight="1" x14ac:dyDescent="0.25">
      <c r="A1" s="6" t="s">
        <v>141</v>
      </c>
      <c r="B1" s="154">
        <f>2780*11</f>
        <v>30580</v>
      </c>
    </row>
    <row r="2" spans="1:12" ht="15" customHeight="1" x14ac:dyDescent="0.25">
      <c r="A2" s="25" t="s">
        <v>164</v>
      </c>
      <c r="B2" s="54">
        <f>B1*0.05</f>
        <v>1529</v>
      </c>
    </row>
    <row r="3" spans="1:12" ht="15" customHeight="1" x14ac:dyDescent="0.25">
      <c r="B3" s="110"/>
    </row>
    <row r="4" spans="1:12" ht="15" customHeight="1" x14ac:dyDescent="0.25">
      <c r="A4" s="118" t="s">
        <v>232</v>
      </c>
    </row>
    <row r="5" spans="1:12" ht="15" customHeight="1" x14ac:dyDescent="0.25">
      <c r="A5" s="274" t="s">
        <v>158</v>
      </c>
      <c r="B5" s="244" t="s">
        <v>240</v>
      </c>
      <c r="C5" s="244" t="s">
        <v>241</v>
      </c>
      <c r="D5" s="274" t="s">
        <v>242</v>
      </c>
      <c r="E5" s="247" t="s">
        <v>159</v>
      </c>
      <c r="F5" s="247" t="s">
        <v>231</v>
      </c>
      <c r="G5" s="275" t="s">
        <v>160</v>
      </c>
      <c r="H5" s="273"/>
      <c r="I5" s="276"/>
      <c r="J5" s="272" t="s">
        <v>161</v>
      </c>
      <c r="K5" s="273"/>
      <c r="L5" s="273"/>
    </row>
    <row r="6" spans="1:12" ht="15" customHeight="1" x14ac:dyDescent="0.25">
      <c r="A6" s="274"/>
      <c r="B6" s="244"/>
      <c r="C6" s="244"/>
      <c r="D6" s="274"/>
      <c r="E6" s="247"/>
      <c r="F6" s="247"/>
      <c r="G6" s="124" t="s">
        <v>122</v>
      </c>
      <c r="H6" s="124" t="s">
        <v>239</v>
      </c>
      <c r="I6" s="143" t="s">
        <v>162</v>
      </c>
      <c r="J6" s="40" t="s">
        <v>122</v>
      </c>
      <c r="K6" s="40" t="s">
        <v>239</v>
      </c>
      <c r="L6" s="83" t="s">
        <v>162</v>
      </c>
    </row>
    <row r="7" spans="1:12" ht="15" customHeight="1" x14ac:dyDescent="0.25">
      <c r="A7" s="104" t="s">
        <v>165</v>
      </c>
      <c r="B7" s="112">
        <v>-20.230775999999999</v>
      </c>
      <c r="C7" s="112">
        <v>-40.276429999999998</v>
      </c>
      <c r="D7" s="105">
        <f>B2/8760</f>
        <v>0.17454337899543379</v>
      </c>
      <c r="E7" s="7" t="s">
        <v>163</v>
      </c>
      <c r="F7" s="7">
        <v>50</v>
      </c>
      <c r="G7" s="106">
        <f>'FE-Britador'!B5</f>
        <v>2.7000000000000001E-3</v>
      </c>
      <c r="H7" s="106">
        <f>'FE-Britador'!D5</f>
        <v>1.1999999999999999E-3</v>
      </c>
      <c r="I7" s="106">
        <f>('FE-Britador'!$F$6/'FE-Britador'!$D$6)*'FE-Britador'!$D$5</f>
        <v>2.2222222222222223E-4</v>
      </c>
      <c r="J7" s="137">
        <f>$D7*G7*(1-F7/100)</f>
        <v>2.3563356164383562E-4</v>
      </c>
      <c r="K7" s="138">
        <f>$D7*H7*(1-F7/100)</f>
        <v>1.0472602739726027E-4</v>
      </c>
      <c r="L7" s="138">
        <f>$D7*I7*(1-F7/100)</f>
        <v>1.9393708777270422E-5</v>
      </c>
    </row>
    <row r="8" spans="1:12" ht="15" customHeight="1" x14ac:dyDescent="0.25">
      <c r="A8" s="269" t="s">
        <v>234</v>
      </c>
      <c r="B8" s="270"/>
      <c r="C8" s="270"/>
      <c r="D8" s="270"/>
      <c r="E8" s="270"/>
      <c r="F8" s="270"/>
      <c r="G8" s="270"/>
      <c r="H8" s="270"/>
      <c r="I8" s="271"/>
      <c r="J8" s="170">
        <f>SUM(J7:J7)</f>
        <v>2.3563356164383562E-4</v>
      </c>
      <c r="K8" s="170">
        <f>SUM(K7:K7)</f>
        <v>1.0472602739726027E-4</v>
      </c>
      <c r="L8" s="170">
        <f>SUM(L7:L7)</f>
        <v>1.9393708777270422E-5</v>
      </c>
    </row>
    <row r="10" spans="1:12" ht="15" customHeight="1" x14ac:dyDescent="0.25">
      <c r="E10" s="107"/>
      <c r="F10" s="107"/>
    </row>
    <row r="11" spans="1:12" ht="15" customHeight="1" x14ac:dyDescent="0.25">
      <c r="E11" s="107"/>
      <c r="F11" s="107"/>
    </row>
    <row r="12" spans="1:12" ht="15" customHeight="1" x14ac:dyDescent="0.25">
      <c r="E12" s="107"/>
      <c r="F12" s="107"/>
    </row>
    <row r="13" spans="1:12" ht="15" customHeight="1" x14ac:dyDescent="0.25">
      <c r="A13" s="3" t="s">
        <v>114</v>
      </c>
    </row>
    <row r="14" spans="1:12" ht="15" customHeight="1" x14ac:dyDescent="0.25">
      <c r="J14" s="108"/>
    </row>
    <row r="24" spans="11:11" ht="15" customHeight="1" x14ac:dyDescent="0.25">
      <c r="K24" s="109"/>
    </row>
  </sheetData>
  <sheetProtection password="B056" sheet="1" objects="1" scenarios="1"/>
  <mergeCells count="9">
    <mergeCell ref="A8:I8"/>
    <mergeCell ref="J5:L5"/>
    <mergeCell ref="A5:A6"/>
    <mergeCell ref="D5:D6"/>
    <mergeCell ref="E5:E6"/>
    <mergeCell ref="F5:F6"/>
    <mergeCell ref="G5:I5"/>
    <mergeCell ref="B5:B6"/>
    <mergeCell ref="C5:C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1"/>
  <sheetViews>
    <sheetView workbookViewId="0">
      <selection activeCell="J20" sqref="J20"/>
    </sheetView>
  </sheetViews>
  <sheetFormatPr defaultRowHeight="15" customHeight="1" x14ac:dyDescent="0.25"/>
  <cols>
    <col min="1" max="1" width="25.7109375" style="3" bestFit="1" customWidth="1"/>
    <col min="2" max="3" width="13" style="3" customWidth="1"/>
    <col min="4" max="4" width="11.85546875" style="3" customWidth="1"/>
    <col min="5" max="5" width="10.28515625" style="3" bestFit="1" customWidth="1"/>
    <col min="6" max="6" width="10.5703125" style="3" bestFit="1" customWidth="1"/>
    <col min="7" max="7" width="20.28515625" style="3" customWidth="1"/>
    <col min="8" max="8" width="9" style="3" customWidth="1"/>
    <col min="9" max="9" width="13.42578125" style="3" customWidth="1"/>
    <col min="10" max="10" width="16" style="3" customWidth="1"/>
    <col min="11" max="15" width="10.28515625" style="3" customWidth="1"/>
    <col min="16" max="16384" width="9.140625" style="3"/>
  </cols>
  <sheetData>
    <row r="1" spans="1:22" ht="15" customHeight="1" x14ac:dyDescent="0.25">
      <c r="A1" s="118" t="s">
        <v>198</v>
      </c>
      <c r="B1" s="7">
        <v>0.55200000000000005</v>
      </c>
    </row>
    <row r="2" spans="1:22" ht="15" customHeight="1" x14ac:dyDescent="0.25">
      <c r="A2" s="3" t="s">
        <v>199</v>
      </c>
      <c r="B2" s="152">
        <v>140</v>
      </c>
    </row>
    <row r="3" spans="1:22" ht="15" customHeight="1" x14ac:dyDescent="0.25">
      <c r="A3" s="3" t="s">
        <v>200</v>
      </c>
      <c r="B3" s="153">
        <f>(B2*(B1*1000)/(35.3147*10))/100</f>
        <v>2.188323842479194</v>
      </c>
    </row>
    <row r="4" spans="1:22" ht="15" customHeight="1" x14ac:dyDescent="0.25">
      <c r="A4" s="3" t="s">
        <v>201</v>
      </c>
      <c r="B4" s="30">
        <v>1600</v>
      </c>
    </row>
    <row r="6" spans="1:22" s="6" customFormat="1" ht="15" customHeight="1" x14ac:dyDescent="0.25">
      <c r="A6" s="282" t="s">
        <v>55</v>
      </c>
      <c r="B6" s="244" t="s">
        <v>240</v>
      </c>
      <c r="C6" s="244" t="s">
        <v>241</v>
      </c>
      <c r="D6" s="282" t="s">
        <v>58</v>
      </c>
      <c r="E6" s="282" t="s">
        <v>63</v>
      </c>
      <c r="F6" s="282" t="s">
        <v>65</v>
      </c>
      <c r="G6" s="289" t="s">
        <v>140</v>
      </c>
      <c r="H6" s="282" t="s">
        <v>56</v>
      </c>
      <c r="I6" s="280" t="s">
        <v>117</v>
      </c>
      <c r="J6" s="291" t="s">
        <v>238</v>
      </c>
      <c r="K6" s="283" t="s">
        <v>230</v>
      </c>
      <c r="L6" s="284"/>
      <c r="M6" s="284"/>
      <c r="N6" s="284"/>
      <c r="O6" s="285"/>
      <c r="P6" s="277" t="s">
        <v>121</v>
      </c>
      <c r="Q6" s="278"/>
      <c r="R6" s="278"/>
      <c r="S6" s="278"/>
      <c r="T6" s="278"/>
      <c r="U6" s="278"/>
      <c r="V6" s="279"/>
    </row>
    <row r="7" spans="1:22" s="119" customFormat="1" ht="15" customHeight="1" x14ac:dyDescent="0.25">
      <c r="A7" s="282"/>
      <c r="B7" s="244"/>
      <c r="C7" s="244"/>
      <c r="D7" s="282"/>
      <c r="E7" s="282"/>
      <c r="F7" s="282"/>
      <c r="G7" s="290"/>
      <c r="H7" s="282"/>
      <c r="I7" s="281"/>
      <c r="J7" s="292"/>
      <c r="K7" s="115" t="s">
        <v>122</v>
      </c>
      <c r="L7" s="60" t="s">
        <v>67</v>
      </c>
      <c r="M7" s="60" t="s">
        <v>66</v>
      </c>
      <c r="N7" s="60" t="s">
        <v>5</v>
      </c>
      <c r="O7" s="60" t="s">
        <v>39</v>
      </c>
      <c r="P7" s="167" t="s">
        <v>122</v>
      </c>
      <c r="Q7" s="167" t="s">
        <v>146</v>
      </c>
      <c r="R7" s="167" t="s">
        <v>237</v>
      </c>
      <c r="S7" s="167" t="s">
        <v>67</v>
      </c>
      <c r="T7" s="167" t="s">
        <v>66</v>
      </c>
      <c r="U7" s="167" t="s">
        <v>5</v>
      </c>
      <c r="V7" s="167" t="s">
        <v>39</v>
      </c>
    </row>
    <row r="8" spans="1:22" s="18" customFormat="1" ht="15" customHeight="1" x14ac:dyDescent="0.25">
      <c r="A8" s="27" t="s">
        <v>115</v>
      </c>
      <c r="B8" s="112">
        <v>-20.229783000000001</v>
      </c>
      <c r="C8" s="112">
        <v>-40.276335000000003</v>
      </c>
      <c r="D8" s="28"/>
      <c r="E8" s="28">
        <v>11</v>
      </c>
      <c r="F8" s="72">
        <f>70*0.7457</f>
        <v>52.199000000000005</v>
      </c>
      <c r="G8" s="72"/>
      <c r="H8" s="122">
        <v>10</v>
      </c>
      <c r="I8" s="57" t="s">
        <v>118</v>
      </c>
      <c r="J8" s="57">
        <f>B4/(B1*30*24)</f>
        <v>4.0257648953301119</v>
      </c>
      <c r="K8" s="121">
        <f>(0.7*'FE-Combustão'!E27)+(0.3*'FE-Combustão'!I27)</f>
        <v>9.2399999999999996E-2</v>
      </c>
      <c r="L8" s="59">
        <f>(0.7*'FE-Combustão'!E29)+(0.3*'FE-Combustão'!I29)</f>
        <v>1.7279999999999998</v>
      </c>
      <c r="M8" s="121">
        <f>(0.7*0.09*B3*0.12)+(0.3*0.1*B3*0.12)</f>
        <v>2.4421694082067805E-2</v>
      </c>
      <c r="N8" s="59">
        <f>(0.7*'FE-Combustão'!E30)+(0.3*'FE-Combustão'!I30)</f>
        <v>0.97560000000000002</v>
      </c>
      <c r="O8" s="59">
        <f>(0.7*'FE-Combustão'!E31)+(0.3*'FE-Combustão'!I31)</f>
        <v>0.12839999999999999</v>
      </c>
      <c r="P8" s="165">
        <f>(K8*J8)/1000</f>
        <v>3.7198067632850237E-4</v>
      </c>
      <c r="Q8" s="165">
        <f>P8</f>
        <v>3.7198067632850237E-4</v>
      </c>
      <c r="R8" s="165">
        <f>P8</f>
        <v>3.7198067632850237E-4</v>
      </c>
      <c r="S8" s="166">
        <f>(L8*J8)/1000</f>
        <v>6.9565217391304324E-3</v>
      </c>
      <c r="T8" s="165">
        <f>(M8*J8)/1000</f>
        <v>9.831599872007971E-5</v>
      </c>
      <c r="U8" s="166">
        <f>(N8*J8)/1000</f>
        <v>3.9275362318840568E-3</v>
      </c>
      <c r="V8" s="166">
        <f>(O8*J8)/1000</f>
        <v>5.1690821256038634E-4</v>
      </c>
    </row>
    <row r="9" spans="1:22" s="18" customFormat="1" ht="15" customHeight="1" x14ac:dyDescent="0.25">
      <c r="A9" s="73" t="s">
        <v>116</v>
      </c>
      <c r="B9" s="120">
        <v>-20.229928000000001</v>
      </c>
      <c r="C9" s="120">
        <v>-40.276279000000002</v>
      </c>
      <c r="D9" s="74" t="s">
        <v>119</v>
      </c>
      <c r="E9" s="74">
        <v>2</v>
      </c>
      <c r="F9" s="75">
        <f>152*0.7457</f>
        <v>113.3464</v>
      </c>
      <c r="G9" s="76" t="s">
        <v>132</v>
      </c>
      <c r="H9" s="122">
        <v>10</v>
      </c>
      <c r="I9" s="58" t="s">
        <v>91</v>
      </c>
      <c r="J9" s="58"/>
      <c r="K9" s="77">
        <f>'FE-Equipamentos'!C13</f>
        <v>2.8793678975626062E-2</v>
      </c>
      <c r="L9" s="77">
        <f>'FE-Equipamentos'!E13</f>
        <v>0.31658054663341589</v>
      </c>
      <c r="M9" s="77">
        <f>'FE-Equipamentos'!D13</f>
        <v>2.7523820811752497E-4</v>
      </c>
      <c r="N9" s="77">
        <f>'FE-Equipamentos'!F13</f>
        <v>0.17000606424242778</v>
      </c>
      <c r="O9" s="77">
        <f>'FE-Equipamentos'!G13</f>
        <v>5.347757660811845E-2</v>
      </c>
      <c r="P9" s="166">
        <f>$E9*($H9/24)*K9</f>
        <v>2.3994732479688387E-2</v>
      </c>
      <c r="Q9" s="166">
        <f>P9</f>
        <v>2.3994732479688387E-2</v>
      </c>
      <c r="R9" s="166">
        <f>P9</f>
        <v>2.3994732479688387E-2</v>
      </c>
      <c r="S9" s="166">
        <f>$E9*($H9/24)*L9</f>
        <v>0.26381712219451325</v>
      </c>
      <c r="T9" s="165">
        <f>$E9*($H9/24)*M9</f>
        <v>2.2936517343127082E-4</v>
      </c>
      <c r="U9" s="166">
        <f>$E9*($H9/24)*N9</f>
        <v>0.14167172020202315</v>
      </c>
      <c r="V9" s="166">
        <f>$E9*($H9/24)*O9</f>
        <v>4.4564647173432045E-2</v>
      </c>
    </row>
    <row r="10" spans="1:22" s="18" customFormat="1" ht="15" customHeight="1" x14ac:dyDescent="0.25">
      <c r="A10" s="286" t="s">
        <v>234</v>
      </c>
      <c r="B10" s="287"/>
      <c r="C10" s="287"/>
      <c r="D10" s="287"/>
      <c r="E10" s="287"/>
      <c r="F10" s="287"/>
      <c r="G10" s="287"/>
      <c r="H10" s="287"/>
      <c r="I10" s="287"/>
      <c r="J10" s="287"/>
      <c r="K10" s="287"/>
      <c r="L10" s="287"/>
      <c r="M10" s="287"/>
      <c r="N10" s="287"/>
      <c r="O10" s="288"/>
      <c r="P10" s="159">
        <f t="shared" ref="P10:V10" si="0">SUM(P8:P9)</f>
        <v>2.4366713156016889E-2</v>
      </c>
      <c r="Q10" s="159">
        <f t="shared" si="0"/>
        <v>2.4366713156016889E-2</v>
      </c>
      <c r="R10" s="159">
        <f t="shared" si="0"/>
        <v>2.4366713156016889E-2</v>
      </c>
      <c r="S10" s="159">
        <f>SUM(S8:S9)</f>
        <v>0.27077364393364367</v>
      </c>
      <c r="T10" s="169">
        <f t="shared" si="0"/>
        <v>3.2768117215135054E-4</v>
      </c>
      <c r="U10" s="159">
        <f t="shared" si="0"/>
        <v>0.1455992564339072</v>
      </c>
      <c r="V10" s="159">
        <f t="shared" si="0"/>
        <v>4.5081555385992435E-2</v>
      </c>
    </row>
    <row r="11" spans="1:22" ht="15" customHeight="1" x14ac:dyDescent="0.25">
      <c r="D11" s="7"/>
    </row>
  </sheetData>
  <sheetProtection password="B056" sheet="1" objects="1" scenarios="1"/>
  <mergeCells count="13">
    <mergeCell ref="A10:O10"/>
    <mergeCell ref="D6:D7"/>
    <mergeCell ref="A6:A7"/>
    <mergeCell ref="G6:G7"/>
    <mergeCell ref="J6:J7"/>
    <mergeCell ref="B6:B7"/>
    <mergeCell ref="C6:C7"/>
    <mergeCell ref="P6:V6"/>
    <mergeCell ref="I6:I7"/>
    <mergeCell ref="H6:H7"/>
    <mergeCell ref="F6:F7"/>
    <mergeCell ref="E6:E7"/>
    <mergeCell ref="K6:O6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22" sqref="G22"/>
    </sheetView>
  </sheetViews>
  <sheetFormatPr defaultRowHeight="15" customHeight="1" x14ac:dyDescent="0.25"/>
  <cols>
    <col min="1" max="1" width="19.85546875" style="3" customWidth="1"/>
    <col min="2" max="16384" width="9.140625" style="3"/>
  </cols>
  <sheetData>
    <row r="1" spans="1:8" ht="15" customHeight="1" x14ac:dyDescent="0.25">
      <c r="A1" s="293" t="s">
        <v>158</v>
      </c>
      <c r="B1" s="277" t="s">
        <v>121</v>
      </c>
      <c r="C1" s="278"/>
      <c r="D1" s="278"/>
      <c r="E1" s="278"/>
      <c r="F1" s="278"/>
      <c r="G1" s="278"/>
      <c r="H1" s="279"/>
    </row>
    <row r="2" spans="1:8" ht="15" customHeight="1" x14ac:dyDescent="0.25">
      <c r="A2" s="294"/>
      <c r="B2" s="125" t="s">
        <v>122</v>
      </c>
      <c r="C2" s="125" t="s">
        <v>146</v>
      </c>
      <c r="D2" s="125" t="s">
        <v>147</v>
      </c>
      <c r="E2" s="125" t="s">
        <v>67</v>
      </c>
      <c r="F2" s="125" t="s">
        <v>66</v>
      </c>
      <c r="G2" s="125" t="s">
        <v>5</v>
      </c>
      <c r="H2" s="126" t="s">
        <v>39</v>
      </c>
    </row>
    <row r="3" spans="1:8" ht="15" customHeight="1" x14ac:dyDescent="0.25">
      <c r="A3" s="3" t="s">
        <v>217</v>
      </c>
      <c r="B3" s="148">
        <f>'Emissão Fontes Pontuais'!X31</f>
        <v>5.2171646575342443</v>
      </c>
      <c r="C3" s="148">
        <f>'Emissão Fontes Pontuais'!Y31</f>
        <v>5.2171646575342443</v>
      </c>
      <c r="D3" s="148">
        <f>'Emissão Fontes Pontuais'!Z31</f>
        <v>5.2171646575342443</v>
      </c>
      <c r="E3" s="148">
        <f>'Emissão Fontes Pontuais'!AA31</f>
        <v>1.2403637747336376</v>
      </c>
      <c r="F3" s="148">
        <f>'Emissão Fontes Pontuais'!AB31</f>
        <v>0.15704560080721017</v>
      </c>
      <c r="G3" s="148">
        <f>'Emissão Fontes Pontuais'!AC31</f>
        <v>6.0101083105022841</v>
      </c>
      <c r="H3" s="148">
        <f>'Emissão Fontes Pontuais'!AD31</f>
        <v>0.76691715372907154</v>
      </c>
    </row>
    <row r="4" spans="1:8" ht="15" customHeight="1" x14ac:dyDescent="0.25">
      <c r="A4" s="3" t="s">
        <v>218</v>
      </c>
      <c r="B4" s="148">
        <f>'Emissão Transferências'!K13</f>
        <v>2.5497978411345978E-4</v>
      </c>
      <c r="C4" s="148">
        <f>'Emissão Transferências'!L13</f>
        <v>1.2059854654014989E-4</v>
      </c>
      <c r="D4" s="148">
        <f>'Emissão Transferências'!M13</f>
        <v>1.8262065618936987E-5</v>
      </c>
      <c r="E4" s="148" t="s">
        <v>2</v>
      </c>
      <c r="F4" s="148" t="s">
        <v>2</v>
      </c>
      <c r="G4" s="148" t="s">
        <v>2</v>
      </c>
      <c r="H4" s="148" t="s">
        <v>2</v>
      </c>
    </row>
    <row r="5" spans="1:8" ht="15" customHeight="1" x14ac:dyDescent="0.25">
      <c r="A5" s="3" t="s">
        <v>219</v>
      </c>
      <c r="B5" s="148">
        <f>Britador!J8</f>
        <v>2.3563356164383562E-4</v>
      </c>
      <c r="C5" s="148">
        <f>Britador!K8</f>
        <v>1.0472602739726027E-4</v>
      </c>
      <c r="D5" s="148">
        <f>Britador!L8</f>
        <v>1.9393708777270422E-5</v>
      </c>
      <c r="E5" s="148" t="s">
        <v>2</v>
      </c>
      <c r="F5" s="148" t="s">
        <v>2</v>
      </c>
      <c r="G5" s="148" t="s">
        <v>2</v>
      </c>
      <c r="H5" s="148" t="s">
        <v>2</v>
      </c>
    </row>
    <row r="6" spans="1:8" ht="15" customHeight="1" x14ac:dyDescent="0.25">
      <c r="A6" s="3" t="s">
        <v>220</v>
      </c>
      <c r="B6" s="148">
        <f>'Emissão Maq e Equip'!P10</f>
        <v>2.4366713156016889E-2</v>
      </c>
      <c r="C6" s="148">
        <f>'Emissão Maq e Equip'!Q10</f>
        <v>2.4366713156016889E-2</v>
      </c>
      <c r="D6" s="148">
        <f>'Emissão Maq e Equip'!R10</f>
        <v>2.4366713156016889E-2</v>
      </c>
      <c r="E6" s="148">
        <f>'Emissão Maq e Equip'!S10</f>
        <v>0.27077364393364367</v>
      </c>
      <c r="F6" s="148">
        <f>'Emissão Maq e Equip'!T10</f>
        <v>3.2768117215135054E-4</v>
      </c>
      <c r="G6" s="148">
        <f>'Emissão Maq e Equip'!U10</f>
        <v>0.1455992564339072</v>
      </c>
      <c r="H6" s="148">
        <f>'Emissão Maq e Equip'!V10</f>
        <v>4.5081555385992435E-2</v>
      </c>
    </row>
    <row r="7" spans="1:8" ht="15" customHeight="1" x14ac:dyDescent="0.25">
      <c r="A7" s="3" t="s">
        <v>229</v>
      </c>
      <c r="B7" s="148">
        <v>0.24025016064377239</v>
      </c>
      <c r="C7" s="148">
        <v>0.12012508032188619</v>
      </c>
      <c r="D7" s="148">
        <v>1.8018762048282927E-2</v>
      </c>
      <c r="E7" s="148" t="s">
        <v>2</v>
      </c>
      <c r="F7" s="148" t="s">
        <v>2</v>
      </c>
      <c r="G7" s="148" t="s">
        <v>2</v>
      </c>
      <c r="H7" s="148" t="s">
        <v>2</v>
      </c>
    </row>
    <row r="8" spans="1:8" ht="15" customHeight="1" x14ac:dyDescent="0.25">
      <c r="A8" s="164" t="s">
        <v>234</v>
      </c>
      <c r="B8" s="159">
        <f>SUM(B3:B7)</f>
        <v>5.4822721446797908</v>
      </c>
      <c r="C8" s="159">
        <f t="shared" ref="C8:D8" si="0">SUM(C3:C7)</f>
        <v>5.3618817755860846</v>
      </c>
      <c r="D8" s="159">
        <f t="shared" si="0"/>
        <v>5.2595877885129401</v>
      </c>
      <c r="E8" s="159">
        <f>SUM(E3:E7)</f>
        <v>1.5111374186672812</v>
      </c>
      <c r="F8" s="159">
        <f>SUM(F3:F7)</f>
        <v>0.15737328197936151</v>
      </c>
      <c r="G8" s="159">
        <f t="shared" ref="G8:H8" si="1">SUM(G3:G7)</f>
        <v>6.1557075669361909</v>
      </c>
      <c r="H8" s="159">
        <f t="shared" si="1"/>
        <v>0.811998709115064</v>
      </c>
    </row>
    <row r="10" spans="1:8" ht="15" customHeight="1" x14ac:dyDescent="0.25">
      <c r="A10" s="3" t="s">
        <v>243</v>
      </c>
    </row>
  </sheetData>
  <sheetProtection password="B056" sheet="1" objects="1" scenarios="1"/>
  <mergeCells count="2">
    <mergeCell ref="B1:H1"/>
    <mergeCell ref="A1:A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FE-Fab Ceramica</vt:lpstr>
      <vt:lpstr>FE-Combustão</vt:lpstr>
      <vt:lpstr>FE-Equipamentos</vt:lpstr>
      <vt:lpstr>FE-Britador</vt:lpstr>
      <vt:lpstr>Monitoramento</vt:lpstr>
      <vt:lpstr>Emissão Fontes Pontuais</vt:lpstr>
      <vt:lpstr>Emissão Transferências</vt:lpstr>
      <vt:lpstr>Britador</vt:lpstr>
      <vt:lpstr>Emissão Maq e Equip</vt:lpstr>
      <vt:lpstr>Resumo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Vanessa Brusco Filete</cp:lastModifiedBy>
  <dcterms:created xsi:type="dcterms:W3CDTF">2016-12-13T12:13:55Z</dcterms:created>
  <dcterms:modified xsi:type="dcterms:W3CDTF">2019-06-06T20:33:36Z</dcterms:modified>
</cp:coreProperties>
</file>