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ydien\"/>
    </mc:Choice>
  </mc:AlternateContent>
  <bookViews>
    <workbookView xWindow="0" yWindow="0" windowWidth="24000" windowHeight="9135" tabRatio="899" firstSheet="4" activeTab="11"/>
  </bookViews>
  <sheets>
    <sheet name="Dados" sheetId="16" r:id="rId1"/>
    <sheet name="FE-Perfuração e Detonação" sheetId="20" r:id="rId2"/>
    <sheet name="FE-Maq Equip" sheetId="6" r:id="rId3"/>
    <sheet name="FE-Transferências" sheetId="10" r:id="rId4"/>
    <sheet name="FE-Britagem e Peneiramento" sheetId="25" r:id="rId5"/>
    <sheet name="FE-Vias" sheetId="13" r:id="rId6"/>
    <sheet name="Emissão Perfuração e Detonação" sheetId="18" r:id="rId7"/>
    <sheet name="Emissão Maq e Equip" sheetId="5" r:id="rId8"/>
    <sheet name="Emissão Transferências" sheetId="8" r:id="rId9"/>
    <sheet name="Emissão Brit e Pen" sheetId="22" r:id="rId10"/>
    <sheet name="Emissão Vias " sheetId="9" r:id="rId11"/>
    <sheet name="Resumo" sheetId="26" r:id="rId12"/>
  </sheets>
  <definedNames>
    <definedName name="FE_Equip">'FE-Maq Equip'!$B$3:$I$35</definedName>
    <definedName name="Pot_Equip">'FE-Maq Equip'!$B$3:$B$35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6" l="1"/>
  <c r="G3" i="26" l="1"/>
  <c r="E3" i="26" l="1"/>
  <c r="D9" i="26"/>
  <c r="C9" i="26"/>
  <c r="D5" i="22" l="1"/>
  <c r="D4" i="22"/>
  <c r="C12" i="9"/>
  <c r="C11" i="9"/>
  <c r="M15" i="5" l="1"/>
  <c r="M14" i="5"/>
  <c r="O15" i="5"/>
  <c r="O14" i="5"/>
  <c r="N15" i="5" l="1"/>
  <c r="N14" i="5"/>
  <c r="L15" i="5"/>
  <c r="L14" i="5"/>
  <c r="I15" i="5"/>
  <c r="J15" i="5" s="1"/>
  <c r="I14" i="5"/>
  <c r="J14" i="5" s="1"/>
  <c r="K15" i="5" l="1"/>
  <c r="K14" i="5"/>
  <c r="N7" i="9" l="1"/>
  <c r="N6" i="9"/>
  <c r="N5" i="9"/>
  <c r="N4" i="9"/>
  <c r="M7" i="9"/>
  <c r="M6" i="9"/>
  <c r="M5" i="9"/>
  <c r="M4" i="9"/>
  <c r="L7" i="9"/>
  <c r="L6" i="9"/>
  <c r="L5" i="9"/>
  <c r="L4" i="9"/>
  <c r="G16" i="13"/>
  <c r="J15" i="13"/>
  <c r="J14" i="13"/>
  <c r="J13" i="13"/>
  <c r="J12" i="13"/>
  <c r="J11" i="13"/>
  <c r="J10" i="13"/>
  <c r="J9" i="13"/>
  <c r="J8" i="13"/>
  <c r="J7" i="13"/>
  <c r="J6" i="13"/>
  <c r="J5" i="13"/>
  <c r="J4" i="13"/>
  <c r="H11" i="8" l="1"/>
  <c r="I11" i="8"/>
  <c r="J11" i="8"/>
  <c r="F7" i="9" l="1"/>
  <c r="F6" i="9"/>
  <c r="G11" i="22"/>
  <c r="F11" i="22"/>
  <c r="E11" i="22"/>
  <c r="H8" i="8"/>
  <c r="I8" i="8"/>
  <c r="J8" i="8"/>
  <c r="H9" i="8"/>
  <c r="I9" i="8"/>
  <c r="J9" i="8"/>
  <c r="F4" i="9" l="1"/>
  <c r="F5" i="9"/>
  <c r="G13" i="5" l="1"/>
  <c r="M13" i="5" s="1"/>
  <c r="G12" i="5"/>
  <c r="I12" i="5" s="1"/>
  <c r="J12" i="5" s="1"/>
  <c r="G11" i="5"/>
  <c r="M11" i="5" s="1"/>
  <c r="G10" i="5"/>
  <c r="I10" i="5" s="1"/>
  <c r="J10" i="5" s="1"/>
  <c r="G9" i="5"/>
  <c r="G8" i="5"/>
  <c r="G7" i="5"/>
  <c r="I7" i="5" s="1"/>
  <c r="J7" i="5" s="1"/>
  <c r="G6" i="5"/>
  <c r="G5" i="5"/>
  <c r="G4" i="5"/>
  <c r="N7" i="5" l="1"/>
  <c r="M7" i="5"/>
  <c r="N10" i="5"/>
  <c r="N12" i="5"/>
  <c r="M10" i="5"/>
  <c r="M12" i="5"/>
  <c r="L11" i="5"/>
  <c r="L13" i="5"/>
  <c r="O13" i="5"/>
  <c r="I13" i="5"/>
  <c r="J13" i="5" s="1"/>
  <c r="L7" i="5"/>
  <c r="L10" i="5"/>
  <c r="N11" i="5"/>
  <c r="L12" i="5"/>
  <c r="N13" i="5"/>
  <c r="O11" i="5"/>
  <c r="I11" i="5"/>
  <c r="J11" i="5" s="1"/>
  <c r="O7" i="5"/>
  <c r="O10" i="5"/>
  <c r="O12" i="5"/>
  <c r="K7" i="5"/>
  <c r="K12" i="5"/>
  <c r="K10" i="5"/>
  <c r="D78" i="16"/>
  <c r="D77" i="16"/>
  <c r="F9" i="18"/>
  <c r="D3" i="18"/>
  <c r="I3" i="18" l="1"/>
  <c r="K3" i="18"/>
  <c r="J3" i="18"/>
  <c r="K11" i="5"/>
  <c r="K13" i="5"/>
  <c r="C75" i="16"/>
  <c r="D75" i="16"/>
  <c r="I75" i="16"/>
  <c r="H6" i="8"/>
  <c r="I6" i="8"/>
  <c r="J6" i="8"/>
  <c r="H7" i="8"/>
  <c r="I7" i="8"/>
  <c r="J7" i="8"/>
  <c r="A48" i="16" l="1"/>
  <c r="B20" i="16" l="1"/>
  <c r="D11" i="8" l="1"/>
  <c r="D3" i="8"/>
  <c r="D3" i="22"/>
  <c r="D5" i="8"/>
  <c r="D10" i="8"/>
  <c r="D4" i="8"/>
  <c r="T7" i="9"/>
  <c r="T6" i="9"/>
  <c r="T5" i="9"/>
  <c r="T4" i="9"/>
  <c r="S7" i="9"/>
  <c r="S6" i="9"/>
  <c r="S5" i="9"/>
  <c r="S4" i="9"/>
  <c r="L5" i="8" l="1"/>
  <c r="M5" i="8"/>
  <c r="K5" i="8"/>
  <c r="K4" i="8"/>
  <c r="M4" i="8"/>
  <c r="L4" i="8"/>
  <c r="K10" i="8"/>
  <c r="L10" i="8"/>
  <c r="M10" i="8"/>
  <c r="M11" i="8"/>
  <c r="L11" i="8"/>
  <c r="K11" i="8"/>
  <c r="D6" i="8"/>
  <c r="D10" i="22"/>
  <c r="G10" i="22"/>
  <c r="G5" i="22"/>
  <c r="G4" i="22"/>
  <c r="G3" i="22"/>
  <c r="D7" i="8" l="1"/>
  <c r="L10" i="22"/>
  <c r="K10" i="22"/>
  <c r="J10" i="22"/>
  <c r="K6" i="8"/>
  <c r="L6" i="8"/>
  <c r="M6" i="8"/>
  <c r="D8" i="8"/>
  <c r="D11" i="22"/>
  <c r="G3" i="18"/>
  <c r="M8" i="8" l="1"/>
  <c r="K8" i="8"/>
  <c r="L8" i="8"/>
  <c r="K12" i="22"/>
  <c r="D9" i="8"/>
  <c r="L11" i="22"/>
  <c r="L12" i="22" s="1"/>
  <c r="K11" i="22"/>
  <c r="J11" i="22"/>
  <c r="J12" i="22" s="1"/>
  <c r="K7" i="8"/>
  <c r="L7" i="8"/>
  <c r="M7" i="8"/>
  <c r="O6" i="9"/>
  <c r="P6" i="9"/>
  <c r="Q6" i="9"/>
  <c r="R6" i="9"/>
  <c r="U6" i="9"/>
  <c r="O7" i="9"/>
  <c r="P7" i="9"/>
  <c r="Q7" i="9"/>
  <c r="R7" i="9"/>
  <c r="U7" i="9"/>
  <c r="R5" i="9"/>
  <c r="Q5" i="9"/>
  <c r="P5" i="9"/>
  <c r="O5" i="9"/>
  <c r="U5" i="9"/>
  <c r="L9" i="8" l="1"/>
  <c r="M9" i="8"/>
  <c r="K9" i="8"/>
  <c r="H10" i="8"/>
  <c r="H5" i="8"/>
  <c r="H4" i="8"/>
  <c r="F5" i="22"/>
  <c r="F4" i="22"/>
  <c r="F3" i="22"/>
  <c r="E5" i="22"/>
  <c r="E4" i="22"/>
  <c r="E3" i="22"/>
  <c r="I10" i="8" l="1"/>
  <c r="J10" i="8"/>
  <c r="I5" i="8"/>
  <c r="J5" i="8"/>
  <c r="J4" i="8"/>
  <c r="I4" i="8"/>
  <c r="F10" i="22"/>
  <c r="E10" i="22"/>
  <c r="J9" i="18" l="1"/>
  <c r="K9" i="18"/>
  <c r="E9" i="18"/>
  <c r="D9" i="18"/>
  <c r="G9" i="18" s="1"/>
  <c r="F3" i="18"/>
  <c r="E3" i="18"/>
  <c r="L9" i="18" l="1"/>
  <c r="L10" i="18" s="1"/>
  <c r="P9" i="18"/>
  <c r="O9" i="18"/>
  <c r="J4" i="18"/>
  <c r="K4" i="18"/>
  <c r="I4" i="18"/>
  <c r="I9" i="18"/>
  <c r="N9" i="18" s="1"/>
  <c r="N10" i="18" s="1"/>
  <c r="H9" i="18"/>
  <c r="M9" i="18" s="1"/>
  <c r="M10" i="18" s="1"/>
  <c r="C3" i="26" l="1"/>
  <c r="D3" i="26"/>
  <c r="P10" i="18"/>
  <c r="O10" i="18"/>
  <c r="B3" i="26"/>
  <c r="G7" i="9" l="1"/>
  <c r="I6" i="5"/>
  <c r="J6" i="5" s="1"/>
  <c r="L6" i="5"/>
  <c r="M6" i="5"/>
  <c r="N6" i="5"/>
  <c r="O6" i="5"/>
  <c r="I8" i="5"/>
  <c r="J8" i="5" s="1"/>
  <c r="L8" i="5"/>
  <c r="M8" i="5"/>
  <c r="N8" i="5"/>
  <c r="O8" i="5"/>
  <c r="I9" i="5"/>
  <c r="K9" i="5" s="1"/>
  <c r="L9" i="5"/>
  <c r="M9" i="5"/>
  <c r="N9" i="5"/>
  <c r="O9" i="5"/>
  <c r="Z7" i="9" l="1"/>
  <c r="AA7" i="9"/>
  <c r="AB7" i="9"/>
  <c r="W7" i="9"/>
  <c r="X7" i="9"/>
  <c r="Y7" i="9"/>
  <c r="G5" i="9"/>
  <c r="V7" i="9"/>
  <c r="K5" i="22"/>
  <c r="L5" i="22"/>
  <c r="J5" i="22"/>
  <c r="K3" i="22"/>
  <c r="L3" i="22"/>
  <c r="J3" i="22"/>
  <c r="K4" i="22"/>
  <c r="J4" i="22"/>
  <c r="L4" i="22"/>
  <c r="J9" i="5"/>
  <c r="K6" i="5"/>
  <c r="K8" i="5"/>
  <c r="P4" i="9"/>
  <c r="Q4" i="9"/>
  <c r="R4" i="9"/>
  <c r="U4" i="9"/>
  <c r="O4" i="9"/>
  <c r="G6" i="9" l="1"/>
  <c r="X6" i="9" s="1"/>
  <c r="K6" i="22"/>
  <c r="J6" i="22"/>
  <c r="B6" i="26" s="1"/>
  <c r="L6" i="22"/>
  <c r="D6" i="26" l="1"/>
  <c r="AA6" i="9"/>
  <c r="Y6" i="9"/>
  <c r="Z6" i="9"/>
  <c r="AB6" i="9"/>
  <c r="V6" i="9"/>
  <c r="W6" i="9"/>
  <c r="C6" i="26"/>
  <c r="G4" i="9" l="1"/>
  <c r="X4" i="9" l="1"/>
  <c r="W4" i="9"/>
  <c r="V4" i="9"/>
  <c r="W5" i="9"/>
  <c r="X5" i="9"/>
  <c r="V5" i="9"/>
  <c r="Z5" i="9"/>
  <c r="AA5" i="9"/>
  <c r="AB5" i="9"/>
  <c r="Y5" i="9"/>
  <c r="Z4" i="9"/>
  <c r="Z8" i="9" s="1"/>
  <c r="Y4" i="9"/>
  <c r="AA4" i="9"/>
  <c r="AB4" i="9"/>
  <c r="J3" i="8"/>
  <c r="I3" i="8"/>
  <c r="H3" i="8"/>
  <c r="AB8" i="9" l="1"/>
  <c r="H7" i="26" s="1"/>
  <c r="Y8" i="9"/>
  <c r="AA8" i="9"/>
  <c r="G7" i="26" s="1"/>
  <c r="X8" i="9"/>
  <c r="D7" i="26" s="1"/>
  <c r="W8" i="9"/>
  <c r="C7" i="26" s="1"/>
  <c r="E7" i="26"/>
  <c r="V8" i="9"/>
  <c r="B7" i="26" s="1"/>
  <c r="F7" i="26"/>
  <c r="K3" i="8"/>
  <c r="L3" i="8"/>
  <c r="M3" i="8"/>
  <c r="I5" i="5"/>
  <c r="K5" i="5" s="1"/>
  <c r="L5" i="5"/>
  <c r="M5" i="5"/>
  <c r="N5" i="5"/>
  <c r="O5" i="5"/>
  <c r="M12" i="8" l="1"/>
  <c r="D4" i="26" s="1"/>
  <c r="L12" i="8"/>
  <c r="C4" i="26" s="1"/>
  <c r="K12" i="8"/>
  <c r="B4" i="26" s="1"/>
  <c r="J5" i="5"/>
  <c r="I4" i="5" l="1"/>
  <c r="I16" i="5" s="1"/>
  <c r="B5" i="26" l="1"/>
  <c r="L4" i="5"/>
  <c r="L16" i="5" s="1"/>
  <c r="O4" i="5"/>
  <c r="O16" i="5" s="1"/>
  <c r="J4" i="5"/>
  <c r="J16" i="5" s="1"/>
  <c r="N4" i="5"/>
  <c r="N16" i="5" s="1"/>
  <c r="M4" i="5"/>
  <c r="M16" i="5" s="1"/>
  <c r="E5" i="26" l="1"/>
  <c r="E9" i="26" s="1"/>
  <c r="F5" i="26"/>
  <c r="F9" i="26" s="1"/>
  <c r="H5" i="26"/>
  <c r="H9" i="26" s="1"/>
  <c r="G5" i="26"/>
  <c r="G9" i="26" s="1"/>
  <c r="C5" i="26"/>
  <c r="K4" i="5"/>
  <c r="K16" i="5" s="1"/>
  <c r="D5" i="26" l="1"/>
</calcChain>
</file>

<file path=xl/comments1.xml><?xml version="1.0" encoding="utf-8"?>
<comments xmlns="http://schemas.openxmlformats.org/spreadsheetml/2006/main">
  <authors>
    <author>Alinie Rossi dos Santos</author>
  </authors>
  <commentList>
    <comment ref="B24" authorId="0" shapeId="0">
      <text>
        <r>
          <rPr>
            <sz val="9"/>
            <color indexed="81"/>
            <rFont val="Segoe UI"/>
            <family val="2"/>
          </rPr>
          <t>Com base na altura das bancadas de 9 m, volume total desmontado no ano de 120.694,9 m³ e 25 detonações no ano (Informações retiradas dos dados enviados pela empresa através do Ofício).</t>
        </r>
      </text>
    </comment>
  </commentList>
</comments>
</file>

<file path=xl/comments10.xml><?xml version="1.0" encoding="utf-8"?>
<comments xmlns="http://schemas.openxmlformats.org/spreadsheetml/2006/main">
  <authors>
    <author>Alinie Rossi dos Santos</author>
    <author>Vanessa Brusco Filete</author>
  </authors>
  <commentList>
    <comment ref="H2" authorId="0" shapeId="0">
      <text>
        <r>
          <rPr>
            <sz val="9"/>
            <color indexed="81"/>
            <rFont val="Segoe UI"/>
            <family val="2"/>
          </rPr>
          <t xml:space="preserve">USEPA (2006) - Unpaved Roads. Table 13.2.2-1 - Stone quarrying and processing
</t>
        </r>
      </text>
    </comment>
    <comment ref="I2" authorId="0" shapeId="0">
      <text>
        <r>
          <rPr>
            <sz val="9"/>
            <color indexed="81"/>
            <rFont val="Segoe UI"/>
            <family val="2"/>
          </rPr>
          <t>Como não foi informado o peso médio dos caminhões utilizados, foram consideradas as especificações técnicas de um caminhão basculante utilizado em atividade similar.
http://www1.dnit.gov.br/Pesagem/sis_sgpv/QFV/QFV%202008%20Divulga%C3%A7%C3%A3o.pdf</t>
        </r>
      </text>
    </comment>
    <comment ref="J2" authorId="0" shapeId="0">
      <text>
        <r>
          <rPr>
            <sz val="9"/>
            <color indexed="81"/>
            <rFont val="Segoe UI"/>
            <family val="2"/>
          </rPr>
          <t xml:space="preserve">Informado pela empresa que os 2 caminhões-pipa realizam 12 viagens por dia. </t>
        </r>
      </text>
    </comment>
    <comment ref="K2" authorId="0" shapeId="0">
      <text>
        <r>
          <rPr>
            <sz val="9"/>
            <color indexed="81"/>
            <rFont val="Segoe UI"/>
            <family val="2"/>
          </rPr>
          <t>WRAP (2006)</t>
        </r>
      </text>
    </comment>
    <comment ref="U3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D6" authorId="0" shapeId="0">
      <text>
        <r>
          <rPr>
            <sz val="9"/>
            <color indexed="81"/>
            <rFont val="Segoe UI"/>
            <family val="2"/>
          </rPr>
          <t>Fonte: National Pollutant Inventory. Emission Estimation Technique Manual for Mining. Australian Government. January 2012.
http://www.npi.gov.au/resource/emission-estimation-technique-manual-mining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  <author>Tatiane Jardim Morais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2007
</t>
        </r>
      </text>
    </comment>
    <comment ref="C48" authorId="1" shapeId="0">
      <text>
        <r>
          <rPr>
            <sz val="9"/>
            <color indexed="81"/>
            <rFont val="Segoe UI"/>
            <family val="2"/>
          </rPr>
          <t>2º Inventário Nacional de Emissões Veiculares</t>
        </r>
      </text>
    </comment>
    <comment ref="A50" authorId="1" shapeId="0">
      <text>
        <r>
          <rPr>
            <sz val="9"/>
            <color indexed="81"/>
            <rFont val="Segoe UI"/>
            <family val="2"/>
          </rPr>
          <t>Consumo específico obtido para veículos do ciclo Diesel, considerado a fase 5 do proconve.
Fonte: 2º Inventário Nacional de Emissões Veiculares
Referência: Tabela 16.
Unidade: g/kWh</t>
        </r>
      </text>
    </comment>
    <comment ref="C50" authorId="1" shapeId="0">
      <text>
        <r>
          <rPr>
            <sz val="9"/>
            <color indexed="81"/>
            <rFont val="Segoe UI"/>
            <family val="2"/>
          </rPr>
          <t>Fator de emissão obtido para veículos do ciclo Diesel, considerado o ano de 2010 (fase 5 do proconve).
Fonte: 2º Inventário Nacional de Emissões Veiculares
Referência: Tabela 17, Caminhões Pesados.
Unidade: g/kWh</t>
        </r>
      </text>
    </comment>
    <comment ref="D50" authorId="1" shapeId="0">
      <text>
        <r>
          <rPr>
            <sz val="9"/>
            <color indexed="81"/>
            <rFont val="Segoe UI"/>
            <family val="2"/>
          </rPr>
          <t>Fator de emissão obtido para veículos do ciclo Diesel, considerado o ano de 2010 (fase 5 do proconve).
Fonte: 2º Inventário Nacional de Emissões Veiculares
Referência: Tabela 17, Caminhões Pesados.
Unidade: g/kWh</t>
        </r>
      </text>
    </comment>
    <comment ref="E50" authorId="1" shapeId="0">
      <text>
        <r>
          <rPr>
            <sz val="9"/>
            <color indexed="81"/>
            <rFont val="Segoe UI"/>
            <family val="2"/>
          </rPr>
          <t>Fator de emissão obtido para veículos do ciclo Diesel, considerado o ano de 2010 (fase 5 do proconve).
Fonte: 2º Inventário Nacional de Emissões Veiculares
Referência: Tabela 17, Caminhões Pesados.
Unidade: g/kWh</t>
        </r>
      </text>
    </comment>
    <comment ref="F50" authorId="1" shapeId="0">
      <text>
        <r>
          <rPr>
            <sz val="9"/>
            <color indexed="81"/>
            <rFont val="Segoe UI"/>
            <family val="2"/>
          </rPr>
          <t>Fator de emissão obtido para veículos do ciclo Diesel, considerado o ano de 2010 (fase 5 do proconve).
Fonte: 2º Inventário Nacional de Emissões Veiculares
Referência: Tabela 17, Caminhões Pesados.
Unidade: g/kWh</t>
        </r>
      </text>
    </comment>
  </commentList>
</comments>
</file>

<file path=xl/comments4.xml><?xml version="1.0" encoding="utf-8"?>
<comments xmlns="http://schemas.openxmlformats.org/spreadsheetml/2006/main">
  <authors>
    <author>Alinie Rossi dos Santos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 No data available, but emission factors for PM-10 for tertiary crushers can be used as an upper limit for
primary or secondary crushing 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2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6.xml><?xml version="1.0" encoding="utf-8"?>
<comments xmlns="http://schemas.openxmlformats.org/spreadsheetml/2006/main">
  <authors>
    <author>Alinie Rossi dos Santos</author>
  </authors>
  <commentList>
    <comment ref="H1" authorId="0" shapeId="0">
      <text>
        <r>
          <rPr>
            <sz val="9"/>
            <color indexed="81"/>
            <rFont val="Segoe UI"/>
            <family val="2"/>
          </rPr>
          <t>Ocorre injeção de água no processo de perfuração.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>Considerado o mesmo fator PM2.5/PM do processo de detonação</t>
        </r>
      </text>
    </comment>
    <comment ref="H3" authorId="0" shapeId="0">
      <text>
        <r>
          <rPr>
            <sz val="9"/>
            <color indexed="81"/>
            <rFont val="Segoe UI"/>
            <family val="2"/>
          </rPr>
          <t>Eficiência considerada</t>
        </r>
      </text>
    </comment>
    <comment ref="F7" authorId="0" shapeId="0">
      <text>
        <r>
          <rPr>
            <sz val="9"/>
            <color indexed="81"/>
            <rFont val="Segoe UI"/>
            <family val="2"/>
          </rPr>
          <t>Como apenas foi informado pelo cliente que o explosivo utilizado era encartuchado, foi considerado o tipo emulsão.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  <author>Alinie Rossi dos Santos</author>
  </authors>
  <commentList>
    <comment ref="J3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K3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M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O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B4" authorId="1" shapeId="0">
      <text>
        <r>
          <rPr>
            <sz val="9"/>
            <color indexed="81"/>
            <rFont val="Segoe UI"/>
            <family val="2"/>
          </rPr>
          <t>A partir do Catálogo de modelo similar ao modelo informado pelo empreendimento-Komatsu PC200</t>
        </r>
      </text>
    </comment>
    <comment ref="B5" authorId="1" shapeId="0">
      <text>
        <r>
          <rPr>
            <sz val="9"/>
            <color indexed="81"/>
            <rFont val="Segoe UI"/>
            <family val="2"/>
          </rPr>
          <t>A partir do Catálogo de modelo similar ao modelo informado pelo empreendimento-Komatsu PC200</t>
        </r>
      </text>
    </comment>
    <comment ref="B6" authorId="1" shapeId="0">
      <text>
        <r>
          <rPr>
            <sz val="9"/>
            <color indexed="81"/>
            <rFont val="Segoe UI"/>
            <family val="2"/>
          </rPr>
          <t>A partir do Catálogo de modelo similar ao modelo informado pelo empreendimento-Komatsu PC228</t>
        </r>
      </text>
    </comment>
    <comment ref="B7" authorId="1" shapeId="0">
      <text>
        <r>
          <rPr>
            <sz val="9"/>
            <color indexed="81"/>
            <rFont val="Segoe UI"/>
            <family val="2"/>
          </rPr>
          <t>A partir do Catálogo de modelo similar ao modelo informado pelo empreendimento-Komatsu PC228</t>
        </r>
      </text>
    </comment>
    <comment ref="B8" authorId="1" shapeId="0">
      <text>
        <r>
          <rPr>
            <sz val="9"/>
            <color indexed="81"/>
            <rFont val="Segoe UI"/>
            <family val="2"/>
          </rPr>
          <t>Com base no catálogo do modelo informado pelo  empreendimento.
CAT 950</t>
        </r>
      </text>
    </comment>
    <comment ref="B9" authorId="1" shapeId="0">
      <text>
        <r>
          <rPr>
            <sz val="9"/>
            <color indexed="81"/>
            <rFont val="Segoe UI"/>
            <family val="2"/>
          </rPr>
          <t>Com base no catálogo do modelo informado pelo  empreendimento.
CAT 950</t>
        </r>
      </text>
    </comment>
    <comment ref="B10" authorId="1" shapeId="0">
      <text>
        <r>
          <rPr>
            <sz val="9"/>
            <color indexed="81"/>
            <rFont val="Segoe UI"/>
            <family val="2"/>
          </rPr>
          <t>Com base no catálogo do modelo informado pelo  empreendimento.
Ingersoll Rand - ECM 590</t>
        </r>
      </text>
    </comment>
    <comment ref="B11" authorId="1" shapeId="0">
      <text>
        <r>
          <rPr>
            <sz val="9"/>
            <color indexed="81"/>
            <rFont val="Segoe UI"/>
            <family val="2"/>
          </rPr>
          <t xml:space="preserve">Com base no modelo informado pelo empreendimento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Com base no catálogo de modelo similar ao informado pelo empreendimento.
</t>
        </r>
      </text>
    </comment>
    <comment ref="B13" authorId="1" shapeId="0">
      <text>
        <r>
          <rPr>
            <sz val="9"/>
            <color indexed="81"/>
            <rFont val="Segoe UI"/>
            <family val="2"/>
          </rPr>
          <t xml:space="preserve">Como não foi encontrado catálogo do produto, e não foi informada a potência do equipamento foi considerada potência de modelo similar.
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</authors>
  <commentList>
    <comment ref="E1" authorId="0" shapeId="0">
      <text>
        <r>
          <rPr>
            <sz val="9"/>
            <color indexed="81"/>
            <rFont val="Segoe UI"/>
            <family val="2"/>
          </rPr>
          <t>USEPA (2003) Background Information for Revised AP-42 Section 11.19.2, Crushed Stone Processing
and Pulverized Mineral Processing:
The targeted moisture contents of the raw material (granite) during the uncontrolled  runs were &lt;1.5 percent. Assim, foi considerado o teor de umidade de 1%.</t>
        </r>
      </text>
    </comment>
    <comment ref="F2" authorId="0" shapeId="0">
      <text>
        <r>
          <rPr>
            <sz val="9"/>
            <color indexed="81"/>
            <rFont val="Segoe UI"/>
            <family val="2"/>
          </rPr>
          <t>Informado pelo empreendimento os pontos de transferência que possuíam umectação.</t>
        </r>
      </text>
    </comment>
    <comment ref="G2" authorId="0" shapeId="0">
      <text>
        <r>
          <rPr>
            <sz val="9"/>
            <color indexed="81"/>
            <rFont val="Segoe UI"/>
            <family val="2"/>
          </rPr>
          <t xml:space="preserve">WRAP (2006) - Implement wet suppression 
</t>
        </r>
      </text>
    </comment>
    <comment ref="A14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</commentList>
</comments>
</file>

<file path=xl/comments9.xml><?xml version="1.0" encoding="utf-8"?>
<comments xmlns="http://schemas.openxmlformats.org/spreadsheetml/2006/main">
  <authors>
    <author>Alinie Rossi dos Santos</author>
  </authors>
  <commentList>
    <comment ref="I1" authorId="0" shapeId="0">
      <text>
        <r>
          <rPr>
            <sz val="9"/>
            <color indexed="81"/>
            <rFont val="Segoe UI"/>
            <family val="2"/>
          </rPr>
          <t xml:space="preserve">WRAP (2006) - Implement wet suppression </t>
        </r>
      </text>
    </comment>
    <comment ref="E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F2" authorId="0" shapeId="0">
      <text>
        <r>
          <rPr>
            <sz val="9"/>
            <color indexed="81"/>
            <rFont val="Segoe UI"/>
            <family val="2"/>
          </rPr>
          <t xml:space="preserve"> Fonte: USEPA, (2004). Section 11.19.2 . Table 11.19.2-1 = No data available, but emission factors for PM-10 for tertiary crushers can be used as an upper limit for
primary or secondary crushing.</t>
        </r>
      </text>
    </comment>
    <comment ref="G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"Tertiary Crushing (controlled)"</t>
        </r>
      </text>
    </comment>
    <comment ref="A4" authorId="0" shapeId="0">
      <text>
        <r>
          <rPr>
            <sz val="9"/>
            <color indexed="81"/>
            <rFont val="Segoe UI"/>
            <family val="2"/>
          </rPr>
          <t xml:space="preserve">Como não foi informado a quantidade de material que passa pelo britador secundário,  foi considerado que 50% do material é rebritado.
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 xml:space="preserve">Considerada a mesma relação PM2.5/PM10 para o fator de "Tertiary Crushing (controlled)"
</t>
        </r>
      </text>
    </comment>
    <comment ref="A5" authorId="0" shapeId="0">
      <text>
        <r>
          <rPr>
            <sz val="9"/>
            <color indexed="81"/>
            <rFont val="Segoe UI"/>
            <family val="2"/>
          </rPr>
          <t>Como não foi informado a quantidade de material que passa novamente pelo britador terciário, foi considerado que 50% do material que passa pelo secundário, é destinado ao terciário.</t>
        </r>
      </text>
    </comment>
    <comment ref="G5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"Tertiary Crushing (controlled)"</t>
        </r>
      </text>
    </comment>
    <comment ref="I8" authorId="0" shapeId="0">
      <text>
        <r>
          <rPr>
            <sz val="9"/>
            <color indexed="81"/>
            <rFont val="Segoe UI"/>
            <family val="2"/>
          </rPr>
          <t xml:space="preserve">WRAP (2006) - Implement wet suppression </t>
        </r>
      </text>
    </comment>
    <comment ref="A10" authorId="0" shapeId="0">
      <text>
        <r>
          <rPr>
            <sz val="9"/>
            <color indexed="81"/>
            <rFont val="Segoe UI"/>
            <family val="2"/>
          </rPr>
          <t>Como não foi informado pelo empreendimento o fluxo dos materiais, considerado que o material que passa pelo britador secundário é destinado à peneira 1.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G10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  <comment ref="A11" authorId="0" shapeId="0">
      <text>
        <r>
          <rPr>
            <sz val="9"/>
            <color indexed="81"/>
            <rFont val="Segoe UI"/>
            <family val="2"/>
          </rPr>
          <t xml:space="preserve">Como não foi informado pelo empreendimento o fluxo dos materiais, considerado que o material que passa pelo britador terciário é destinado à peneira 2.
</t>
        </r>
      </text>
    </comment>
    <comment ref="G11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</commentList>
</comments>
</file>

<file path=xl/sharedStrings.xml><?xml version="1.0" encoding="utf-8"?>
<sst xmlns="http://schemas.openxmlformats.org/spreadsheetml/2006/main" count="450" uniqueCount="248">
  <si>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</si>
  <si>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</si>
  <si>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</si>
  <si>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</si>
  <si>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</si>
  <si>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</si>
  <si>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</si>
  <si>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</si>
  <si>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</si>
  <si>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</si>
  <si>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</si>
  <si>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</si>
  <si>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</si>
  <si>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</si>
  <si>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</si>
  <si>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</si>
  <si>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</si>
  <si>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</si>
  <si>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</si>
  <si>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</si>
  <si>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</si>
  <si>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Equação Geral:</t>
  </si>
  <si>
    <t>Onde:
E - emissão (lb/dia)
n - número de equipamentos de cada categoria
H - número de horas diárias de operação do equipamento
EF - fator de emissão (lb/h)</t>
  </si>
  <si>
    <t>Referência: AQMD (2016) - http://www.aqmd.gov/home/regulations/ceqa/air-quality-analysis-handbook/off-road-mobile-source-emission-factors</t>
  </si>
  <si>
    <t>Tipo</t>
  </si>
  <si>
    <t>Rubber Tired Loader 
(Pá Carrregadeira)</t>
  </si>
  <si>
    <t>Rubber Tired Loader - 25</t>
  </si>
  <si>
    <t>Rubber Tired Loader - 50</t>
  </si>
  <si>
    <t>Rubber Tired Loader - 120</t>
  </si>
  <si>
    <t>Rubber Tired Loader - 175</t>
  </si>
  <si>
    <t>Rubber Tired Loader - 250</t>
  </si>
  <si>
    <t>Rubber Tired Loader - 500</t>
  </si>
  <si>
    <t>Rubber Tired Loader - 750</t>
  </si>
  <si>
    <t>Rubber Tired Loader - 1000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</si>
  <si>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</si>
  <si>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</si>
  <si>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</si>
  <si>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</si>
  <si>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</si>
  <si>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Fonte: USEPA (2006) - https://www3.epa.gov/ttn/chief/ap42/ch13/final/c13s0204.pdf</t>
  </si>
  <si>
    <t>Velocidade do Vento (m/s)</t>
  </si>
  <si>
    <t>Escavadeira</t>
  </si>
  <si>
    <t>Material</t>
  </si>
  <si>
    <t xml:space="preserve">Fonte Emissora </t>
  </si>
  <si>
    <t>Não Pavimentada</t>
  </si>
  <si>
    <t>Fonte: USEPA (2006) https://www3.epa.gov/ttn/chief/ap42/ch13/final/c13s0202.pdf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</si>
  <si>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</si>
  <si>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</si>
  <si>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</si>
  <si>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</si>
  <si>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</si>
  <si>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</si>
  <si>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</si>
  <si>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</si>
  <si>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</si>
  <si>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</si>
  <si>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</si>
  <si>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</si>
  <si>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</si>
  <si>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</si>
  <si>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</si>
  <si>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</si>
  <si>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</si>
  <si>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</si>
  <si>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</si>
  <si>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</si>
  <si>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</si>
  <si>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</si>
  <si>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</si>
  <si>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</si>
  <si>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</si>
  <si>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</si>
  <si>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</si>
  <si>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</si>
  <si>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</si>
  <si>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</si>
  <si>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</si>
  <si>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</si>
  <si>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</si>
  <si>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</si>
  <si>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</si>
  <si>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</si>
  <si>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</si>
  <si>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</si>
  <si>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</si>
  <si>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</si>
  <si>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</si>
  <si>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</si>
  <si>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Excavator
(Escavadeira)</t>
  </si>
  <si>
    <t>Excavator - 25</t>
  </si>
  <si>
    <t>Excavator - 50</t>
  </si>
  <si>
    <t>Excavator - 120</t>
  </si>
  <si>
    <t>Excavator - 175</t>
  </si>
  <si>
    <t>Excavator - 250</t>
  </si>
  <si>
    <t>Excavator - 500</t>
  </si>
  <si>
    <t>Excavator - 750</t>
  </si>
  <si>
    <t>Mês</t>
  </si>
  <si>
    <t>Soma</t>
  </si>
  <si>
    <t>Quantidade Movimentada (t)</t>
  </si>
  <si>
    <t>Número de Detonações/ano</t>
  </si>
  <si>
    <t xml:space="preserve">Fator de Emissão </t>
  </si>
  <si>
    <t>DET - Detonação</t>
  </si>
  <si>
    <t>Número de furos/ano</t>
  </si>
  <si>
    <t xml:space="preserve">PER - Perfuração </t>
  </si>
  <si>
    <t>Fator de Emissão [kg/hole]</t>
  </si>
  <si>
    <t>Drilling - Overburden</t>
  </si>
  <si>
    <t>AP42 - 11.9 Western Surface Coal Mining</t>
  </si>
  <si>
    <t xml:space="preserve"> Table 11.9-2 - Emission Factor Equations for Uncontrolled Open Dust Sources at Western Surface Coal Mines</t>
  </si>
  <si>
    <t>Fator de Emissão [kg/blast]</t>
  </si>
  <si>
    <t>Coal or Overburden</t>
  </si>
  <si>
    <t>NPI - Emission Estimation Technique Manual for Explosives Detonation and firing ranges</t>
  </si>
  <si>
    <t>Table 7 - Emission factors for Category 1 and 2a substances</t>
  </si>
  <si>
    <t>Explosivo</t>
  </si>
  <si>
    <t>Fator de Emissão [kg/Mg]</t>
  </si>
  <si>
    <t>Emulsion (Water Based Gel)</t>
  </si>
  <si>
    <t>NOx</t>
  </si>
  <si>
    <t>Source</t>
  </si>
  <si>
    <t>Screening</t>
  </si>
  <si>
    <t>ND</t>
  </si>
  <si>
    <t>Fonte: USEPA (1998) https://www3.epa.gov/ttn/chief/ap42/ch11/final/c11s09.pdf
NPI (2012) http://www.npi.gov.au/system/files/resources/7e04163a-12ba-6864-d19a-f57d960aae58/files/mining.pdf</t>
  </si>
  <si>
    <t>AP42 - 11.9 Western Surface Coal Mining/NPI  - Emission Estimation Technique Manual for Mining</t>
  </si>
  <si>
    <t xml:space="preserve"> Table 11.9-4 - AP-42/ Table 2 - NPI </t>
  </si>
  <si>
    <t>Controle</t>
  </si>
  <si>
    <t>Número de detonações/ano</t>
  </si>
  <si>
    <t>A = área superficial detonada (m²)</t>
  </si>
  <si>
    <t>Equação</t>
  </si>
  <si>
    <r>
      <t>PM</t>
    </r>
    <r>
      <rPr>
        <vertAlign val="subscript"/>
        <sz val="8"/>
        <color theme="1"/>
        <rFont val="Arial"/>
        <family val="2"/>
      </rPr>
      <t>2.5</t>
    </r>
  </si>
  <si>
    <t>Transferências</t>
  </si>
  <si>
    <t>Fonte: NPI (2016) http://www.npi.gov.au/system/files/resources/e635847a-22ef-9f74-71ba-c10705d09e59/files/explosives-detonation-and-firing-ranges.pdf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</si>
  <si>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</si>
  <si>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 xml:space="preserve">BRT - Britador Primário </t>
  </si>
  <si>
    <t>TR - Car. Caminhão Lavra</t>
  </si>
  <si>
    <t>Fonte: USEPA (2004) https://www3.epa.gov/ttn/chief/ap42/ch11/final/c11s1902.pdf</t>
  </si>
  <si>
    <t>AP42 - 11.19.2  Crushed Stone Processing and Pulverized Mineral Processing</t>
  </si>
  <si>
    <t xml:space="preserve"> Table 11.19.2-1 Emission Factors for Crushed Stone Processing Operations (kg/Mg)</t>
  </si>
  <si>
    <t xml:space="preserve">Tertiary Crushing </t>
  </si>
  <si>
    <t>Tertiary Crushing (Controlled)</t>
  </si>
  <si>
    <t>Screnning (Controlled)</t>
  </si>
  <si>
    <r>
      <t>PM</t>
    </r>
    <r>
      <rPr>
        <b/>
        <vertAlign val="subscript"/>
        <sz val="8"/>
        <color theme="0"/>
        <rFont val="Arial"/>
        <family val="2"/>
      </rPr>
      <t xml:space="preserve">2,5 </t>
    </r>
  </si>
  <si>
    <t>Emission Factor Rating</t>
  </si>
  <si>
    <t>E</t>
  </si>
  <si>
    <t>C</t>
  </si>
  <si>
    <t>TR - Desc. Britador Primário</t>
  </si>
  <si>
    <t>TR - Pilha Produto Final</t>
  </si>
  <si>
    <t>Umectação</t>
  </si>
  <si>
    <t>Via Trecho 1</t>
  </si>
  <si>
    <t>Via Trecho 2</t>
  </si>
  <si>
    <t>Via Trecho 3</t>
  </si>
  <si>
    <t>Via Trecho 4</t>
  </si>
  <si>
    <t>Perfuração e Detonação</t>
  </si>
  <si>
    <t>Máquinas e Equipamentos</t>
  </si>
  <si>
    <t>Britagem e Peneiramento</t>
  </si>
  <si>
    <t>Vias de Tráfego</t>
  </si>
  <si>
    <t>Erosão Eólica</t>
  </si>
  <si>
    <t>Fontes Emissoras</t>
  </si>
  <si>
    <t>-</t>
  </si>
  <si>
    <t>Consideração:</t>
  </si>
  <si>
    <t>Como não foi informado o ano dos equipamentos, foi considerado, de forma conservadora, os fatores de 2007.</t>
  </si>
  <si>
    <t>Produção</t>
  </si>
  <si>
    <t>Fonte: Informações fornecidas pelo empreendimento à solicitação do Ofício</t>
  </si>
  <si>
    <t>Horário de Funcionamento - Produção</t>
  </si>
  <si>
    <t>Sexta</t>
  </si>
  <si>
    <t xml:space="preserve">Segunda-feira a quinta-feira </t>
  </si>
  <si>
    <t>07:00 às 18:00</t>
  </si>
  <si>
    <t>07:00 às 11:00</t>
  </si>
  <si>
    <t>Área superficial detonada (m²)/ano</t>
  </si>
  <si>
    <t>Quant. explosivos por detonação (kg/ano)</t>
  </si>
  <si>
    <t>Controle de Emissões</t>
  </si>
  <si>
    <t>TR - Empilhamento Pulmão</t>
  </si>
  <si>
    <t>Qtd furos</t>
  </si>
  <si>
    <t>Qts explosivos (kg)</t>
  </si>
  <si>
    <t>m²</t>
  </si>
  <si>
    <t>Carregadeira</t>
  </si>
  <si>
    <t>Perfuratriz</t>
  </si>
  <si>
    <t>Compressor de ar</t>
  </si>
  <si>
    <t>Air Compressors (Compressores de Ar)</t>
  </si>
  <si>
    <t>Air Compressors - 15</t>
  </si>
  <si>
    <t>Air Compressors - 25</t>
  </si>
  <si>
    <t>Air Compressors - 50</t>
  </si>
  <si>
    <t>Air Compressors - 120</t>
  </si>
  <si>
    <t>Air Compressors - 175</t>
  </si>
  <si>
    <t>Air Compressors - 250</t>
  </si>
  <si>
    <t>Air Compressors - 500</t>
  </si>
  <si>
    <t>Air Compressors - 750</t>
  </si>
  <si>
    <t>Air Compressors - 1000</t>
  </si>
  <si>
    <t>Bore/Drill Rigs
(Perfuratriz)</t>
  </si>
  <si>
    <t>Bore/Drill Rigs - 15</t>
  </si>
  <si>
    <t>Bore/Drill Rigs - 25</t>
  </si>
  <si>
    <t>Bore/Drill Rigs - 50</t>
  </si>
  <si>
    <t>Bore/Drill Rigs - 120</t>
  </si>
  <si>
    <t>Bore/Drill Rigs - 175</t>
  </si>
  <si>
    <t>Bore/Drill Rigs - 250</t>
  </si>
  <si>
    <t>Bore/Drill Rigs - 500</t>
  </si>
  <si>
    <t>Bore/Drill Rigs - 750</t>
  </si>
  <si>
    <t>Bore/Drill Rigs - 1000</t>
  </si>
  <si>
    <t>TR - Transferência Britador Secundário</t>
  </si>
  <si>
    <t>TR - Transferência Britador Terciário</t>
  </si>
  <si>
    <t>TR - Transferência Peneira 1</t>
  </si>
  <si>
    <t>TR - Transferência Peneira 2</t>
  </si>
  <si>
    <t xml:space="preserve">BRT - Britador Secundário </t>
  </si>
  <si>
    <t>BRT - Britador Terciário</t>
  </si>
  <si>
    <t>PEN - Peneira 1</t>
  </si>
  <si>
    <t>PEN - Peneira 2</t>
  </si>
  <si>
    <t>Viagens Caminhões internos</t>
  </si>
  <si>
    <t>Viagens Caminhões externos</t>
  </si>
  <si>
    <t>TR - Car. Caminhão</t>
  </si>
  <si>
    <t>Controle [%]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</si>
  <si>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</si>
  <si>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Caminhão Irrigadeira</t>
  </si>
  <si>
    <t>Caminhão Comboio</t>
  </si>
  <si>
    <t>Consumo Diesel (L/ano)</t>
  </si>
  <si>
    <t>Densidade do Diesel (kg/L)</t>
  </si>
  <si>
    <t>Fator de Emissão para veículos pesados (g/kWh)</t>
  </si>
  <si>
    <t>Teor de Enxofre no Diesel (ppm)</t>
  </si>
  <si>
    <t xml:space="preserve">NMHC </t>
  </si>
  <si>
    <r>
      <t>Caminhões pesados (g</t>
    </r>
    <r>
      <rPr>
        <vertAlign val="subscript"/>
        <sz val="8"/>
        <color theme="1"/>
        <rFont val="Arial"/>
        <family val="2"/>
      </rPr>
      <t>diesel</t>
    </r>
    <r>
      <rPr>
        <sz val="8"/>
        <color theme="1"/>
        <rFont val="Arial"/>
        <family val="2"/>
      </rPr>
      <t>/kWh)</t>
    </r>
  </si>
  <si>
    <t>Viagens/Hora</t>
  </si>
  <si>
    <t>Fonte: Informações fornecidos pelo empreendimento à solicitação através de Ofício</t>
  </si>
  <si>
    <t>TOTAL (PERFURAÇÃO)</t>
  </si>
  <si>
    <t>TOTAL (DETONAÇÃO)</t>
  </si>
  <si>
    <t>Fator de Emissão [kg/furo]</t>
  </si>
  <si>
    <t>Área Superficial Detonada [m²]/detonação</t>
  </si>
  <si>
    <t>Emulsão Encartuchada [t/ano]</t>
  </si>
  <si>
    <t>PM [kg/det]</t>
  </si>
  <si>
    <t>PM10 [kg/det]</t>
  </si>
  <si>
    <t>PM2,5 [kg/det]</t>
  </si>
  <si>
    <t>NOX [kg/t]</t>
  </si>
  <si>
    <t>CO [kg/t]</t>
  </si>
  <si>
    <t>VOC</t>
  </si>
  <si>
    <t>TOTAL</t>
  </si>
  <si>
    <t>Movimentação material [t/h]</t>
  </si>
  <si>
    <t>Umidade do Material [%]</t>
  </si>
  <si>
    <t>Fator de Emissão [kg/t]</t>
  </si>
  <si>
    <t>Eficiência [%]</t>
  </si>
  <si>
    <t>Quantidade Movimentada [t/h]</t>
  </si>
  <si>
    <t>Eficiência de Controle [%]</t>
  </si>
  <si>
    <t>Comprimento [m]</t>
  </si>
  <si>
    <t>Nº de Caminhões por Hora [h-1]</t>
  </si>
  <si>
    <t>DMT  [km/h]</t>
  </si>
  <si>
    <t>Teor de Silte [%]</t>
  </si>
  <si>
    <t>Peso Médio dos Caminhões [t]</t>
  </si>
  <si>
    <t>Fator de Emissão - Ressuspensão [kg/VKT]</t>
  </si>
  <si>
    <t>Fator de Emissão - Gases Escapamento [kg/km]</t>
  </si>
  <si>
    <t>TOTAL (BRITAGEM)</t>
  </si>
  <si>
    <t>TOTAL (PENEIRAMENTO)</t>
  </si>
  <si>
    <t>Latitude [º]</t>
  </si>
  <si>
    <t>Longitude [º]</t>
  </si>
  <si>
    <t>Nota: "Erosão Eólica" foi calculada na Planilha: Erosão Eólica_Rydien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</si>
</sst>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0.0"/>
    <numFmt numFmtId="167" formatCode="0.000"/>
    <numFmt numFmtId="168" formatCode="[&gt;=0.005]\ #,##0.00;[&lt;0.005]&quot;&lt;0,01&quot;"/>
    <numFmt numFmtId="169" formatCode="0.000000"/>
    <numFmt numFmtId="170" formatCode="#,##0.00000"/>
    <numFmt numFmtId="171" formatCode="[&gt;=0.005]\ #,##0.0;[&lt;0.005]&quot;&lt;0,01&quot;"/>
    <numFmt numFmtId="172" formatCode="#,##0.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4" fontId="1" fillId="0" borderId="11" xfId="0" applyNumberFormat="1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4" borderId="16" xfId="0" applyFont="1" applyFill="1" applyBorder="1" applyAlignment="1"/>
    <xf numFmtId="0" fontId="1" fillId="4" borderId="20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8" fillId="0" borderId="0" xfId="0" applyFont="1"/>
    <xf numFmtId="2" fontId="1" fillId="3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1" fontId="1" fillId="0" borderId="6" xfId="0" applyNumberFormat="1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vertical="center"/>
    </xf>
    <xf numFmtId="3" fontId="1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/>
    </xf>
    <xf numFmtId="4" fontId="1" fillId="0" borderId="20" xfId="0" applyNumberFormat="1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3" fontId="1" fillId="0" borderId="2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67" fontId="0" fillId="0" borderId="0" xfId="0" applyNumberFormat="1"/>
    <xf numFmtId="2" fontId="0" fillId="0" borderId="0" xfId="0" applyNumberFormat="1"/>
    <xf numFmtId="0" fontId="1" fillId="0" borderId="11" xfId="0" applyFont="1" applyFill="1" applyBorder="1" applyAlignment="1">
      <alignment horizontal="left" vertical="center"/>
    </xf>
    <xf numFmtId="165" fontId="1" fillId="0" borderId="11" xfId="0" applyNumberFormat="1" applyFont="1" applyFill="1" applyBorder="1" applyAlignment="1">
      <alignment vertical="center"/>
    </xf>
    <xf numFmtId="0" fontId="0" fillId="0" borderId="1" xfId="0" applyBorder="1"/>
    <xf numFmtId="2" fontId="1" fillId="0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1" fontId="1" fillId="0" borderId="0" xfId="0" applyNumberFormat="1" applyFont="1"/>
    <xf numFmtId="0" fontId="0" fillId="0" borderId="0" xfId="0" applyFont="1"/>
    <xf numFmtId="14" fontId="1" fillId="0" borderId="0" xfId="0" applyNumberFormat="1" applyFont="1"/>
    <xf numFmtId="4" fontId="1" fillId="0" borderId="0" xfId="0" applyNumberFormat="1" applyFont="1"/>
    <xf numFmtId="166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11" fillId="0" borderId="0" xfId="0" applyFont="1" applyFill="1" applyBorder="1"/>
    <xf numFmtId="0" fontId="7" fillId="0" borderId="0" xfId="0" applyFont="1" applyFill="1" applyBorder="1"/>
    <xf numFmtId="4" fontId="1" fillId="0" borderId="1" xfId="0" applyNumberFormat="1" applyFont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1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2" fillId="2" borderId="25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172" fontId="1" fillId="3" borderId="26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70" fontId="1" fillId="0" borderId="1" xfId="0" applyNumberFormat="1" applyFont="1" applyFill="1" applyBorder="1" applyAlignment="1">
      <alignment horizontal="center" vertical="center"/>
    </xf>
    <xf numFmtId="170" fontId="1" fillId="0" borderId="20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171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2" borderId="27" xfId="0" applyNumberFormat="1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11</xdr:row>
      <xdr:rowOff>80962</xdr:rowOff>
    </xdr:from>
    <xdr:ext cx="8423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2</xdr:col>
      <xdr:colOff>0</xdr:colOff>
      <xdr:row>11</xdr:row>
      <xdr:rowOff>80962</xdr:rowOff>
    </xdr:from>
    <xdr:ext cx="1230144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0,52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0,52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3</xdr:col>
      <xdr:colOff>9525</xdr:colOff>
      <xdr:row>11</xdr:row>
      <xdr:rowOff>80962</xdr:rowOff>
    </xdr:from>
    <xdr:ext cx="12301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0,03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0,03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37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9</xdr:row>
      <xdr:rowOff>66675</xdr:rowOff>
    </xdr:from>
    <xdr:to>
      <xdr:col>3</xdr:col>
      <xdr:colOff>828675</xdr:colOff>
      <xdr:row>10</xdr:row>
      <xdr:rowOff>247651</xdr:rowOff>
    </xdr:to>
    <xdr:sp macro="" textlink="">
      <xdr:nvSpPr>
        <xdr:cNvPr id="3" name="Elips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3162300" y="2019300"/>
          <a:ext cx="1028700" cy="37147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561975</xdr:colOff>
      <xdr:row>9</xdr:row>
      <xdr:rowOff>38100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61975" y="175260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561975" y="175260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3"/>
  <sheetViews>
    <sheetView workbookViewId="0">
      <selection activeCell="F19" sqref="F19"/>
    </sheetView>
  </sheetViews>
  <sheetFormatPr defaultColWidth="16" defaultRowHeight="15" customHeight="1" x14ac:dyDescent="0.2"/>
  <cols>
    <col min="1" max="1" width="35.28515625" style="1" customWidth="1"/>
    <col min="2" max="2" width="19.5703125" style="1" customWidth="1"/>
    <col min="3" max="4" width="16" style="1"/>
    <col min="5" max="5" width="18.7109375" style="1" customWidth="1"/>
    <col min="6" max="16384" width="16" style="1"/>
  </cols>
  <sheetData>
    <row r="1" spans="1:4" ht="15" customHeight="1" x14ac:dyDescent="0.2">
      <c r="A1" s="3" t="s">
        <v>159</v>
      </c>
    </row>
    <row r="2" spans="1:4" ht="15" customHeight="1" x14ac:dyDescent="0.2">
      <c r="A2" s="151" t="s">
        <v>160</v>
      </c>
      <c r="B2" s="151"/>
    </row>
    <row r="3" spans="1:4" ht="15" customHeight="1" x14ac:dyDescent="0.2">
      <c r="A3" s="2" t="s">
        <v>162</v>
      </c>
      <c r="B3" s="30" t="s">
        <v>163</v>
      </c>
    </row>
    <row r="4" spans="1:4" ht="15" customHeight="1" x14ac:dyDescent="0.2">
      <c r="A4" s="2" t="s">
        <v>161</v>
      </c>
      <c r="B4" s="30" t="s">
        <v>164</v>
      </c>
    </row>
    <row r="6" spans="1:4" ht="15" customHeight="1" x14ac:dyDescent="0.2">
      <c r="A6" s="152" t="s">
        <v>98</v>
      </c>
      <c r="B6" s="152"/>
      <c r="C6" s="108"/>
      <c r="D6" s="108"/>
    </row>
    <row r="7" spans="1:4" ht="15" customHeight="1" x14ac:dyDescent="0.2">
      <c r="A7" s="75" t="s">
        <v>96</v>
      </c>
      <c r="B7" s="75" t="s">
        <v>158</v>
      </c>
      <c r="C7" s="48"/>
      <c r="D7" s="48"/>
    </row>
    <row r="8" spans="1:4" ht="15" customHeight="1" x14ac:dyDescent="0.2">
      <c r="A8" s="30">
        <v>1</v>
      </c>
      <c r="B8" s="138">
        <v>53568</v>
      </c>
      <c r="C8" s="51"/>
      <c r="D8" s="51"/>
    </row>
    <row r="9" spans="1:4" ht="15" customHeight="1" x14ac:dyDescent="0.2">
      <c r="A9" s="52">
        <v>2</v>
      </c>
      <c r="B9" s="138">
        <v>40159</v>
      </c>
      <c r="C9" s="51"/>
      <c r="D9" s="51"/>
    </row>
    <row r="10" spans="1:4" ht="15" customHeight="1" x14ac:dyDescent="0.2">
      <c r="A10" s="43">
        <v>3</v>
      </c>
      <c r="B10" s="138">
        <v>38075</v>
      </c>
      <c r="C10" s="51"/>
      <c r="D10" s="51"/>
    </row>
    <row r="11" spans="1:4" ht="15" customHeight="1" x14ac:dyDescent="0.2">
      <c r="A11" s="43">
        <v>4</v>
      </c>
      <c r="B11" s="138">
        <v>36858</v>
      </c>
      <c r="C11" s="51"/>
      <c r="D11" s="51"/>
    </row>
    <row r="12" spans="1:4" ht="15" customHeight="1" x14ac:dyDescent="0.2">
      <c r="A12" s="53">
        <v>5</v>
      </c>
      <c r="B12" s="138">
        <v>37843</v>
      </c>
      <c r="C12" s="51"/>
      <c r="D12" s="51"/>
    </row>
    <row r="13" spans="1:4" ht="15" customHeight="1" x14ac:dyDescent="0.2">
      <c r="A13" s="47">
        <v>6</v>
      </c>
      <c r="B13" s="138">
        <v>23511</v>
      </c>
      <c r="C13" s="51"/>
      <c r="D13" s="51"/>
    </row>
    <row r="14" spans="1:4" ht="15" customHeight="1" x14ac:dyDescent="0.2">
      <c r="A14" s="54">
        <v>7</v>
      </c>
      <c r="B14" s="138">
        <v>20555</v>
      </c>
      <c r="C14" s="51"/>
      <c r="D14" s="51"/>
    </row>
    <row r="15" spans="1:4" ht="15" customHeight="1" x14ac:dyDescent="0.2">
      <c r="A15" s="30">
        <v>8</v>
      </c>
      <c r="B15" s="138">
        <v>28502</v>
      </c>
      <c r="C15" s="51"/>
      <c r="D15" s="51"/>
    </row>
    <row r="16" spans="1:4" ht="15" customHeight="1" x14ac:dyDescent="0.2">
      <c r="A16" s="30">
        <v>9</v>
      </c>
      <c r="B16" s="138">
        <v>23064</v>
      </c>
      <c r="C16" s="51"/>
      <c r="D16" s="51"/>
    </row>
    <row r="17" spans="1:7" ht="15" customHeight="1" x14ac:dyDescent="0.2">
      <c r="A17" s="30">
        <v>10</v>
      </c>
      <c r="B17" s="138">
        <v>14807</v>
      </c>
      <c r="C17" s="51"/>
      <c r="D17" s="51"/>
    </row>
    <row r="18" spans="1:7" ht="15" customHeight="1" x14ac:dyDescent="0.2">
      <c r="A18" s="30">
        <v>11</v>
      </c>
      <c r="B18" s="138">
        <v>23896</v>
      </c>
      <c r="C18" s="51"/>
      <c r="D18" s="51"/>
    </row>
    <row r="19" spans="1:7" ht="15" customHeight="1" x14ac:dyDescent="0.2">
      <c r="A19" s="30">
        <v>12</v>
      </c>
      <c r="B19" s="138">
        <v>23092</v>
      </c>
      <c r="C19" s="51"/>
      <c r="D19" s="51"/>
    </row>
    <row r="20" spans="1:7" ht="15" customHeight="1" x14ac:dyDescent="0.2">
      <c r="A20" s="55" t="s">
        <v>97</v>
      </c>
      <c r="B20" s="56">
        <f>SUM(B8:B19)</f>
        <v>363930</v>
      </c>
      <c r="C20" s="56"/>
      <c r="D20" s="56"/>
    </row>
    <row r="21" spans="1:7" ht="15" customHeight="1" x14ac:dyDescent="0.2">
      <c r="E21" s="30"/>
    </row>
    <row r="22" spans="1:7" ht="15" customHeight="1" x14ac:dyDescent="0.2">
      <c r="A22" s="57" t="s">
        <v>102</v>
      </c>
      <c r="B22" s="30">
        <v>1562</v>
      </c>
      <c r="C22" s="2"/>
      <c r="E22" s="30"/>
    </row>
    <row r="23" spans="1:7" ht="15" customHeight="1" x14ac:dyDescent="0.2">
      <c r="A23" s="2"/>
      <c r="B23" s="137"/>
      <c r="D23" s="30"/>
      <c r="E23" s="2"/>
      <c r="F23" s="30"/>
      <c r="G23" s="30"/>
    </row>
    <row r="24" spans="1:7" ht="15" customHeight="1" x14ac:dyDescent="0.2">
      <c r="A24" s="32" t="s">
        <v>165</v>
      </c>
      <c r="B24" s="6">
        <v>536</v>
      </c>
      <c r="D24" s="30"/>
      <c r="E24" s="30"/>
      <c r="F24" s="114"/>
      <c r="G24" s="114"/>
    </row>
    <row r="25" spans="1:7" ht="15" customHeight="1" x14ac:dyDescent="0.2">
      <c r="A25" s="32" t="s">
        <v>166</v>
      </c>
      <c r="B25" s="138">
        <v>60366.9</v>
      </c>
    </row>
    <row r="26" spans="1:7" ht="15" customHeight="1" x14ac:dyDescent="0.2">
      <c r="A26" s="57" t="s">
        <v>123</v>
      </c>
      <c r="B26" s="6">
        <v>25</v>
      </c>
    </row>
    <row r="34" spans="1:1" ht="15" customHeight="1" x14ac:dyDescent="0.25">
      <c r="A34" s="110"/>
    </row>
    <row r="48" spans="1:1" ht="15" customHeight="1" x14ac:dyDescent="0.2">
      <c r="A48" s="1">
        <f>24/12</f>
        <v>2</v>
      </c>
    </row>
    <row r="49" spans="1:9" ht="15" customHeight="1" x14ac:dyDescent="0.2">
      <c r="C49" s="30" t="s">
        <v>169</v>
      </c>
      <c r="D49" s="30" t="s">
        <v>170</v>
      </c>
      <c r="I49" s="1" t="s">
        <v>171</v>
      </c>
    </row>
    <row r="50" spans="1:9" ht="15" customHeight="1" x14ac:dyDescent="0.2">
      <c r="A50" s="1">
        <v>743</v>
      </c>
      <c r="B50" s="111">
        <v>42006</v>
      </c>
      <c r="C50" s="1">
        <v>43</v>
      </c>
      <c r="D50" s="112">
        <v>1556.5</v>
      </c>
      <c r="E50" s="1">
        <v>2.2999999999999998</v>
      </c>
      <c r="F50" s="1">
        <v>2.2000000000000002</v>
      </c>
      <c r="G50" s="1">
        <v>2.1</v>
      </c>
      <c r="H50" s="1" t="s">
        <v>155</v>
      </c>
      <c r="I50" s="1">
        <v>19.5</v>
      </c>
    </row>
    <row r="51" spans="1:9" ht="15" customHeight="1" x14ac:dyDescent="0.2">
      <c r="A51" s="1">
        <v>744</v>
      </c>
      <c r="B51" s="111">
        <v>42010</v>
      </c>
      <c r="C51" s="1">
        <v>64</v>
      </c>
      <c r="D51" s="112">
        <v>2084.8000000000002</v>
      </c>
      <c r="E51" s="1">
        <v>2.2999999999999998</v>
      </c>
      <c r="F51" s="1">
        <v>2.2000000000000002</v>
      </c>
      <c r="G51" s="1">
        <v>2.1</v>
      </c>
      <c r="H51" s="1" t="s">
        <v>155</v>
      </c>
      <c r="I51" s="1">
        <v>19.5</v>
      </c>
    </row>
    <row r="52" spans="1:9" ht="15" customHeight="1" x14ac:dyDescent="0.2">
      <c r="A52" s="1">
        <v>745</v>
      </c>
      <c r="B52" s="111">
        <v>42012</v>
      </c>
      <c r="C52" s="1">
        <v>41</v>
      </c>
      <c r="D52" s="1">
        <v>731.2</v>
      </c>
      <c r="E52" s="1">
        <v>2.2999999999999998</v>
      </c>
      <c r="F52" s="1">
        <v>2.2000000000000002</v>
      </c>
      <c r="G52" s="1">
        <v>2.1</v>
      </c>
      <c r="H52" s="1" t="s">
        <v>155</v>
      </c>
      <c r="I52" s="1">
        <v>19.5</v>
      </c>
    </row>
    <row r="53" spans="1:9" ht="15" customHeight="1" x14ac:dyDescent="0.2">
      <c r="A53" s="1">
        <v>746</v>
      </c>
      <c r="B53" s="111">
        <v>42030</v>
      </c>
      <c r="C53" s="1">
        <v>62</v>
      </c>
      <c r="D53" s="112">
        <v>2334.4</v>
      </c>
      <c r="E53" s="1">
        <v>2.2999999999999998</v>
      </c>
      <c r="F53" s="1">
        <v>2.2000000000000002</v>
      </c>
      <c r="G53" s="1">
        <v>2.1</v>
      </c>
      <c r="H53" s="1" t="s">
        <v>155</v>
      </c>
      <c r="I53" s="1">
        <v>19.5</v>
      </c>
    </row>
    <row r="54" spans="1:9" ht="15" customHeight="1" x14ac:dyDescent="0.2">
      <c r="A54" s="1">
        <v>747</v>
      </c>
      <c r="B54" s="111">
        <v>42033</v>
      </c>
      <c r="C54" s="1">
        <v>45</v>
      </c>
      <c r="D54" s="112">
        <v>2406.9</v>
      </c>
      <c r="E54" s="1">
        <v>2.2999999999999998</v>
      </c>
      <c r="F54" s="1">
        <v>2.2000000000000002</v>
      </c>
      <c r="G54" s="1">
        <v>2.1</v>
      </c>
      <c r="H54" s="1">
        <v>2</v>
      </c>
      <c r="I54" s="1">
        <v>33.880000000000003</v>
      </c>
    </row>
    <row r="55" spans="1:9" ht="15" customHeight="1" x14ac:dyDescent="0.2">
      <c r="A55" s="1">
        <v>748</v>
      </c>
      <c r="B55" s="111">
        <v>42046</v>
      </c>
      <c r="C55" s="1">
        <v>82</v>
      </c>
      <c r="D55" s="112">
        <v>3237.4</v>
      </c>
      <c r="E55" s="1">
        <v>2.2999999999999998</v>
      </c>
      <c r="F55" s="1">
        <v>2.2000000000000002</v>
      </c>
      <c r="G55" s="1">
        <v>2.1</v>
      </c>
      <c r="H55" s="1" t="s">
        <v>155</v>
      </c>
      <c r="I55" s="1">
        <v>19.5</v>
      </c>
    </row>
    <row r="56" spans="1:9" ht="15" customHeight="1" x14ac:dyDescent="0.2">
      <c r="A56" s="1">
        <v>749</v>
      </c>
      <c r="B56" s="111">
        <v>42061</v>
      </c>
      <c r="C56" s="1">
        <v>86</v>
      </c>
      <c r="D56" s="112">
        <v>4414.2</v>
      </c>
      <c r="E56" s="1">
        <v>2.2999999999999998</v>
      </c>
      <c r="F56" s="1">
        <v>2.2000000000000002</v>
      </c>
      <c r="G56" s="1">
        <v>2.1</v>
      </c>
      <c r="H56" s="1" t="s">
        <v>155</v>
      </c>
      <c r="I56" s="1">
        <v>19.5</v>
      </c>
    </row>
    <row r="57" spans="1:9" ht="15" customHeight="1" x14ac:dyDescent="0.2">
      <c r="A57" s="1">
        <v>750</v>
      </c>
      <c r="B57" s="111">
        <v>42069</v>
      </c>
      <c r="C57" s="1">
        <v>54</v>
      </c>
      <c r="D57" s="112">
        <v>2858.3</v>
      </c>
      <c r="E57" s="1">
        <v>2.2999999999999998</v>
      </c>
      <c r="F57" s="1">
        <v>2.2000000000000002</v>
      </c>
      <c r="G57" s="1" t="s">
        <v>155</v>
      </c>
      <c r="H57" s="1" t="s">
        <v>155</v>
      </c>
      <c r="I57" s="1">
        <v>8.86</v>
      </c>
    </row>
    <row r="58" spans="1:9" ht="15" customHeight="1" x14ac:dyDescent="0.2">
      <c r="A58" s="1">
        <v>751</v>
      </c>
      <c r="B58" s="111">
        <v>42076</v>
      </c>
      <c r="C58" s="1">
        <v>41</v>
      </c>
      <c r="D58" s="112">
        <v>1456.2</v>
      </c>
      <c r="E58" s="1">
        <v>2.2999999999999998</v>
      </c>
      <c r="F58" s="1">
        <v>2.2000000000000002</v>
      </c>
      <c r="G58" s="1">
        <v>2.1</v>
      </c>
      <c r="H58" s="1" t="s">
        <v>155</v>
      </c>
      <c r="I58" s="1">
        <v>19.5</v>
      </c>
    </row>
    <row r="59" spans="1:9" ht="15" customHeight="1" x14ac:dyDescent="0.2">
      <c r="A59" s="1">
        <v>752</v>
      </c>
      <c r="B59" s="111">
        <v>42081</v>
      </c>
      <c r="C59" s="1">
        <v>64</v>
      </c>
      <c r="D59" s="112">
        <v>1588.3</v>
      </c>
      <c r="E59" s="1">
        <v>2.2999999999999998</v>
      </c>
      <c r="F59" s="1">
        <v>2.2000000000000002</v>
      </c>
      <c r="G59" s="1">
        <v>2.1</v>
      </c>
      <c r="H59" s="1" t="s">
        <v>155</v>
      </c>
      <c r="I59" s="1">
        <v>19.5</v>
      </c>
    </row>
    <row r="60" spans="1:9" ht="15" customHeight="1" x14ac:dyDescent="0.2">
      <c r="A60" s="1">
        <v>753</v>
      </c>
      <c r="B60" s="111">
        <v>42103</v>
      </c>
      <c r="C60" s="1">
        <v>62</v>
      </c>
      <c r="D60" s="112">
        <v>2234.4</v>
      </c>
      <c r="E60" s="1">
        <v>2.2999999999999998</v>
      </c>
      <c r="F60" s="1">
        <v>2.2000000000000002</v>
      </c>
      <c r="G60" s="1">
        <v>2.1</v>
      </c>
      <c r="H60" s="1" t="s">
        <v>155</v>
      </c>
      <c r="I60" s="1">
        <v>19.5</v>
      </c>
    </row>
    <row r="61" spans="1:9" ht="15" customHeight="1" x14ac:dyDescent="0.2">
      <c r="A61" s="1">
        <v>754</v>
      </c>
      <c r="B61" s="111">
        <v>42117</v>
      </c>
      <c r="C61" s="1">
        <v>72</v>
      </c>
      <c r="D61" s="1">
        <v>885.9</v>
      </c>
      <c r="E61" s="1">
        <v>2.2999999999999998</v>
      </c>
      <c r="F61" s="1">
        <v>2.2000000000000002</v>
      </c>
      <c r="G61" s="1">
        <v>2.1</v>
      </c>
      <c r="H61" s="1" t="s">
        <v>155</v>
      </c>
      <c r="I61" s="1">
        <v>19.5</v>
      </c>
    </row>
    <row r="62" spans="1:9" ht="15" customHeight="1" x14ac:dyDescent="0.2">
      <c r="A62" s="1">
        <v>755</v>
      </c>
      <c r="B62" s="111">
        <v>42124</v>
      </c>
      <c r="C62" s="1">
        <v>85</v>
      </c>
      <c r="D62" s="112">
        <v>3487.9</v>
      </c>
      <c r="E62" s="1">
        <v>2.2999999999999998</v>
      </c>
      <c r="F62" s="1">
        <v>2.2000000000000002</v>
      </c>
      <c r="G62" s="1">
        <v>2.1</v>
      </c>
      <c r="H62" s="1" t="s">
        <v>155</v>
      </c>
      <c r="I62" s="1">
        <v>19.5</v>
      </c>
    </row>
    <row r="63" spans="1:9" ht="15" customHeight="1" x14ac:dyDescent="0.2">
      <c r="A63" s="1">
        <v>756</v>
      </c>
      <c r="B63" s="111">
        <v>42143</v>
      </c>
      <c r="C63" s="1">
        <v>85</v>
      </c>
      <c r="D63" s="112">
        <v>3837.9</v>
      </c>
      <c r="E63" s="1">
        <v>2.2999999999999998</v>
      </c>
      <c r="F63" s="1">
        <v>2.2000000000000002</v>
      </c>
      <c r="G63" s="1">
        <v>2.1</v>
      </c>
      <c r="H63" s="1" t="s">
        <v>155</v>
      </c>
      <c r="I63" s="1">
        <v>19.5</v>
      </c>
    </row>
    <row r="64" spans="1:9" ht="15" customHeight="1" x14ac:dyDescent="0.2">
      <c r="A64" s="1">
        <v>757</v>
      </c>
      <c r="B64" s="111">
        <v>42145</v>
      </c>
      <c r="C64" s="1">
        <v>44</v>
      </c>
      <c r="D64" s="112">
        <v>2131.6999999999998</v>
      </c>
      <c r="E64" s="1">
        <v>2.2999999999999998</v>
      </c>
      <c r="F64" s="1">
        <v>2.2000000000000002</v>
      </c>
      <c r="G64" s="1">
        <v>2.1</v>
      </c>
      <c r="H64" s="1">
        <v>2</v>
      </c>
      <c r="I64" s="1">
        <v>33.880000000000003</v>
      </c>
    </row>
    <row r="65" spans="1:9" ht="15" customHeight="1" x14ac:dyDescent="0.2">
      <c r="A65" s="1">
        <v>758</v>
      </c>
      <c r="B65" s="111">
        <v>42146</v>
      </c>
      <c r="C65" s="1">
        <v>77</v>
      </c>
      <c r="D65" s="112">
        <v>4611.7</v>
      </c>
      <c r="E65" s="1">
        <v>2.6</v>
      </c>
      <c r="F65" s="1">
        <v>2.2000000000000002</v>
      </c>
      <c r="G65" s="1">
        <v>2.1</v>
      </c>
      <c r="H65" s="1" t="s">
        <v>155</v>
      </c>
      <c r="I65" s="1">
        <v>20.39</v>
      </c>
    </row>
    <row r="66" spans="1:9" ht="15" customHeight="1" x14ac:dyDescent="0.2">
      <c r="A66" s="1">
        <v>759</v>
      </c>
      <c r="B66" s="111">
        <v>42201</v>
      </c>
      <c r="C66" s="1">
        <v>40</v>
      </c>
      <c r="D66" s="112">
        <v>1181.0999999999999</v>
      </c>
      <c r="E66" s="1">
        <v>2.2999999999999998</v>
      </c>
      <c r="F66" s="1">
        <v>2.2000000000000002</v>
      </c>
      <c r="G66" s="1">
        <v>2.1</v>
      </c>
      <c r="H66" s="1" t="s">
        <v>155</v>
      </c>
      <c r="I66" s="1">
        <v>19.5</v>
      </c>
    </row>
    <row r="67" spans="1:9" ht="15" customHeight="1" x14ac:dyDescent="0.2">
      <c r="A67" s="1">
        <v>760</v>
      </c>
      <c r="B67" s="111">
        <v>42222</v>
      </c>
      <c r="C67" s="1">
        <v>61</v>
      </c>
      <c r="D67" s="112">
        <v>1434.2</v>
      </c>
      <c r="E67" s="1">
        <v>2.2999999999999998</v>
      </c>
      <c r="F67" s="1">
        <v>2.2000000000000002</v>
      </c>
      <c r="G67" s="1">
        <v>2.1</v>
      </c>
      <c r="H67" s="1" t="s">
        <v>155</v>
      </c>
      <c r="I67" s="1">
        <v>19.5</v>
      </c>
    </row>
    <row r="68" spans="1:9" ht="15" customHeight="1" x14ac:dyDescent="0.2">
      <c r="A68" s="1">
        <v>761</v>
      </c>
      <c r="B68" s="111">
        <v>42236</v>
      </c>
      <c r="C68" s="1">
        <v>62</v>
      </c>
      <c r="D68" s="112">
        <v>2259.4</v>
      </c>
      <c r="E68" s="1">
        <v>2.2999999999999998</v>
      </c>
      <c r="F68" s="1">
        <v>2.2000000000000002</v>
      </c>
      <c r="G68" s="1">
        <v>2.1</v>
      </c>
      <c r="H68" s="1" t="s">
        <v>155</v>
      </c>
      <c r="I68" s="1">
        <v>19.5</v>
      </c>
    </row>
    <row r="69" spans="1:9" ht="15" customHeight="1" x14ac:dyDescent="0.2">
      <c r="A69" s="1">
        <v>762</v>
      </c>
      <c r="B69" s="111">
        <v>42248</v>
      </c>
      <c r="C69" s="1">
        <v>68</v>
      </c>
      <c r="D69" s="112">
        <v>4185.3999999999996</v>
      </c>
      <c r="E69" s="1">
        <v>2.6</v>
      </c>
      <c r="F69" s="1">
        <v>2.2000000000000002</v>
      </c>
      <c r="G69" s="1">
        <v>2.1</v>
      </c>
      <c r="H69" s="1" t="s">
        <v>155</v>
      </c>
      <c r="I69" s="1">
        <v>20.39</v>
      </c>
    </row>
    <row r="70" spans="1:9" ht="15" customHeight="1" x14ac:dyDescent="0.2">
      <c r="A70" s="1">
        <v>763</v>
      </c>
      <c r="B70" s="111">
        <v>42249</v>
      </c>
      <c r="C70" s="1">
        <v>49</v>
      </c>
      <c r="D70" s="112">
        <v>2107.4</v>
      </c>
      <c r="E70" s="1">
        <v>2.2999999999999998</v>
      </c>
      <c r="F70" s="1">
        <v>2.2000000000000002</v>
      </c>
      <c r="G70" s="1">
        <v>2.1</v>
      </c>
      <c r="H70" s="1">
        <v>2</v>
      </c>
      <c r="I70" s="1">
        <v>33.880000000000003</v>
      </c>
    </row>
    <row r="71" spans="1:9" ht="15" customHeight="1" x14ac:dyDescent="0.2">
      <c r="A71" s="1">
        <v>764</v>
      </c>
      <c r="B71" s="111">
        <v>42298</v>
      </c>
      <c r="C71" s="1">
        <v>64</v>
      </c>
      <c r="D71" s="112">
        <v>2409.6999999999998</v>
      </c>
      <c r="E71" s="1">
        <v>2.2999999999999998</v>
      </c>
      <c r="F71" s="1">
        <v>2.2000000000000002</v>
      </c>
      <c r="G71" s="1">
        <v>2.1</v>
      </c>
      <c r="H71" s="1" t="s">
        <v>155</v>
      </c>
      <c r="I71" s="1">
        <v>19.5</v>
      </c>
    </row>
    <row r="72" spans="1:9" ht="15" customHeight="1" x14ac:dyDescent="0.2">
      <c r="A72" s="1">
        <v>765</v>
      </c>
      <c r="B72" s="111">
        <v>42326</v>
      </c>
      <c r="C72" s="1">
        <v>64</v>
      </c>
      <c r="D72" s="112">
        <v>2784.7</v>
      </c>
      <c r="E72" s="1">
        <v>2.2999999999999998</v>
      </c>
      <c r="F72" s="1">
        <v>2.2000000000000002</v>
      </c>
      <c r="G72" s="1">
        <v>2.1</v>
      </c>
      <c r="H72" s="1" t="s">
        <v>155</v>
      </c>
      <c r="I72" s="1">
        <v>19.5</v>
      </c>
    </row>
    <row r="73" spans="1:9" ht="15" customHeight="1" x14ac:dyDescent="0.2">
      <c r="A73" s="1">
        <v>766</v>
      </c>
      <c r="B73" s="111">
        <v>42347</v>
      </c>
      <c r="C73" s="1">
        <v>69</v>
      </c>
      <c r="D73" s="112">
        <v>2410.5</v>
      </c>
      <c r="E73" s="1">
        <v>2.2999999999999998</v>
      </c>
      <c r="F73" s="1">
        <v>2.2000000000000002</v>
      </c>
      <c r="G73" s="1">
        <v>2.1</v>
      </c>
      <c r="H73" s="1">
        <v>2</v>
      </c>
      <c r="I73" s="1">
        <v>33.880000000000003</v>
      </c>
    </row>
    <row r="74" spans="1:9" ht="15" customHeight="1" x14ac:dyDescent="0.2">
      <c r="A74" s="1">
        <v>767</v>
      </c>
      <c r="B74" s="111">
        <v>42368</v>
      </c>
      <c r="C74" s="1">
        <v>78</v>
      </c>
      <c r="D74" s="112">
        <v>1736.8</v>
      </c>
      <c r="E74" s="1">
        <v>2.2999999999999998</v>
      </c>
      <c r="F74" s="1">
        <v>2.2000000000000002</v>
      </c>
      <c r="G74" s="1">
        <v>2.1</v>
      </c>
      <c r="H74" s="1" t="s">
        <v>155</v>
      </c>
      <c r="I74" s="1">
        <v>19.5</v>
      </c>
    </row>
    <row r="75" spans="1:9" ht="15" customHeight="1" x14ac:dyDescent="0.2">
      <c r="C75" s="95">
        <f>SUM(C50:C74)</f>
        <v>1562</v>
      </c>
      <c r="D75" s="95">
        <f>SUM(D50:D74)</f>
        <v>60366.899999999994</v>
      </c>
      <c r="E75" s="30"/>
      <c r="F75" s="30"/>
      <c r="G75" s="30"/>
      <c r="H75" s="30"/>
      <c r="I75" s="30">
        <f>SUM(I50:I74)</f>
        <v>536.16</v>
      </c>
    </row>
    <row r="77" spans="1:9" ht="15" customHeight="1" x14ac:dyDescent="0.2">
      <c r="D77" s="1">
        <f>120694/8.5</f>
        <v>14199.294117647059</v>
      </c>
    </row>
    <row r="78" spans="1:9" ht="15" customHeight="1" x14ac:dyDescent="0.2">
      <c r="D78" s="2">
        <f>D77/25</f>
        <v>567.97176470588238</v>
      </c>
    </row>
    <row r="79" spans="1:9" ht="15" customHeight="1" x14ac:dyDescent="0.2">
      <c r="D79" s="2"/>
    </row>
    <row r="80" spans="1:9" ht="15" customHeight="1" x14ac:dyDescent="0.2">
      <c r="C80" s="31"/>
    </row>
    <row r="83" spans="3:3" ht="15" customHeight="1" x14ac:dyDescent="0.2">
      <c r="C83" s="113"/>
    </row>
  </sheetData>
  <sheetProtection password="B056" sheet="1" objects="1" scenarios="1"/>
  <mergeCells count="2">
    <mergeCell ref="A2:B2"/>
    <mergeCell ref="A6:B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H25" sqref="H25"/>
    </sheetView>
  </sheetViews>
  <sheetFormatPr defaultRowHeight="15" x14ac:dyDescent="0.25"/>
  <cols>
    <col min="1" max="1" width="52.140625" bestFit="1" customWidth="1"/>
    <col min="2" max="2" width="15.5703125" customWidth="1"/>
    <col min="3" max="3" width="14.7109375" customWidth="1"/>
    <col min="4" max="4" width="13.7109375" customWidth="1"/>
    <col min="5" max="5" width="13.140625" customWidth="1"/>
    <col min="6" max="10" width="11.140625" customWidth="1"/>
    <col min="11" max="11" width="9.28515625" customWidth="1"/>
    <col min="12" max="12" width="11" customWidth="1"/>
  </cols>
  <sheetData>
    <row r="1" spans="1:13" ht="18" customHeight="1" x14ac:dyDescent="0.25">
      <c r="A1" s="203" t="s">
        <v>0</v>
      </c>
      <c r="B1" s="197" t="s">
        <v>245</v>
      </c>
      <c r="C1" s="197" t="s">
        <v>246</v>
      </c>
      <c r="D1" s="203" t="s">
        <v>234</v>
      </c>
      <c r="E1" s="206" t="s">
        <v>232</v>
      </c>
      <c r="F1" s="207"/>
      <c r="G1" s="207"/>
      <c r="H1" s="203" t="s">
        <v>122</v>
      </c>
      <c r="I1" s="203" t="s">
        <v>235</v>
      </c>
      <c r="J1" s="205" t="s">
        <v>1</v>
      </c>
      <c r="K1" s="205"/>
      <c r="L1" s="222"/>
    </row>
    <row r="2" spans="1:13" ht="18" customHeight="1" x14ac:dyDescent="0.25">
      <c r="A2" s="203"/>
      <c r="B2" s="197"/>
      <c r="C2" s="197"/>
      <c r="D2" s="203"/>
      <c r="E2" s="78" t="s">
        <v>34</v>
      </c>
      <c r="F2" s="78" t="s">
        <v>59</v>
      </c>
      <c r="G2" s="82" t="s">
        <v>138</v>
      </c>
      <c r="H2" s="203"/>
      <c r="I2" s="203"/>
      <c r="J2" s="83" t="s">
        <v>34</v>
      </c>
      <c r="K2" s="66" t="s">
        <v>59</v>
      </c>
      <c r="L2" s="66" t="s">
        <v>138</v>
      </c>
    </row>
    <row r="3" spans="1:13" x14ac:dyDescent="0.25">
      <c r="A3" s="4" t="s">
        <v>130</v>
      </c>
      <c r="B3" s="30">
        <v>-20.361212999999999</v>
      </c>
      <c r="C3" s="87">
        <v>-40.325780999999999</v>
      </c>
      <c r="D3" s="120">
        <f>Dados!B20/8760</f>
        <v>41.544520547945204</v>
      </c>
      <c r="E3" s="68">
        <f>'FE-Britagem e Peneiramento'!B5</f>
        <v>2.7000000000000001E-3</v>
      </c>
      <c r="F3" s="68">
        <f>'FE-Britagem e Peneiramento'!D5</f>
        <v>1.1999999999999999E-3</v>
      </c>
      <c r="G3" s="90">
        <f>('FE-Britagem e Peneiramento'!$F$6/'FE-Britagem e Peneiramento'!$D$6)*'FE-Britagem e Peneiramento'!$D$5</f>
        <v>2.2222222222222223E-4</v>
      </c>
      <c r="H3" s="6" t="s">
        <v>144</v>
      </c>
      <c r="I3" s="6">
        <v>50</v>
      </c>
      <c r="J3" s="145">
        <f>D3*E3*(1-I3/100)</f>
        <v>5.6085102739726028E-2</v>
      </c>
      <c r="K3" s="145">
        <f>D3*F3*(1-I3/100)</f>
        <v>2.4926712328767121E-2</v>
      </c>
      <c r="L3" s="139">
        <f>D3*G3*(1-I3/100)</f>
        <v>4.6160578386605783E-3</v>
      </c>
    </row>
    <row r="4" spans="1:13" x14ac:dyDescent="0.25">
      <c r="A4" s="4" t="s">
        <v>199</v>
      </c>
      <c r="B4" s="30">
        <v>-20.361526999999999</v>
      </c>
      <c r="C4" s="30">
        <v>-20.361526999999999</v>
      </c>
      <c r="D4" s="120">
        <f>D3*0.5</f>
        <v>20.772260273972602</v>
      </c>
      <c r="E4" s="80">
        <f>'FE-Britagem e Peneiramento'!B5</f>
        <v>2.7000000000000001E-3</v>
      </c>
      <c r="F4" s="80">
        <f>'FE-Britagem e Peneiramento'!D5</f>
        <v>1.1999999999999999E-3</v>
      </c>
      <c r="G4" s="90">
        <f>('FE-Britagem e Peneiramento'!$F$6/'FE-Britagem e Peneiramento'!$D$6)*'FE-Britagem e Peneiramento'!$D$5</f>
        <v>2.2222222222222223E-4</v>
      </c>
      <c r="H4" s="6" t="s">
        <v>144</v>
      </c>
      <c r="I4" s="6">
        <v>50</v>
      </c>
      <c r="J4" s="145">
        <f>D4*E4*(1-I4/100)</f>
        <v>2.8042551369863014E-2</v>
      </c>
      <c r="K4" s="145">
        <f>D4*F4*(1-I4/100)</f>
        <v>1.2463356164383561E-2</v>
      </c>
      <c r="L4" s="145">
        <f>D4*G4*(1-I4/100)</f>
        <v>2.3080289193302891E-3</v>
      </c>
    </row>
    <row r="5" spans="1:13" x14ac:dyDescent="0.25">
      <c r="A5" s="94" t="s">
        <v>200</v>
      </c>
      <c r="B5" s="30">
        <v>-20.361526999999999</v>
      </c>
      <c r="C5" s="30">
        <v>-20.361526999999999</v>
      </c>
      <c r="D5" s="121">
        <f>D4*0.5</f>
        <v>10.386130136986301</v>
      </c>
      <c r="E5" s="73">
        <f>'FE-Britagem e Peneiramento'!B5</f>
        <v>2.7000000000000001E-3</v>
      </c>
      <c r="F5" s="81">
        <f>'FE-Britagem e Peneiramento'!D5</f>
        <v>1.1999999999999999E-3</v>
      </c>
      <c r="G5" s="91">
        <f>('FE-Britagem e Peneiramento'!$F$6/'FE-Britagem e Peneiramento'!$D$6)*'FE-Britagem e Peneiramento'!$D$5</f>
        <v>2.2222222222222223E-4</v>
      </c>
      <c r="H5" s="6" t="s">
        <v>144</v>
      </c>
      <c r="I5" s="6">
        <v>50</v>
      </c>
      <c r="J5" s="145">
        <f>D5*E5*(1-I5/100)</f>
        <v>1.4021275684931507E-2</v>
      </c>
      <c r="K5" s="145">
        <f>D5*F5*(1-I5/100)</f>
        <v>6.2316780821917803E-3</v>
      </c>
      <c r="L5" s="145">
        <f>D5*G5*(1-I5/100)</f>
        <v>1.1540144596651446E-3</v>
      </c>
    </row>
    <row r="6" spans="1:13" x14ac:dyDescent="0.25">
      <c r="A6" s="210" t="s">
        <v>243</v>
      </c>
      <c r="B6" s="156"/>
      <c r="C6" s="156"/>
      <c r="D6" s="156"/>
      <c r="E6" s="156"/>
      <c r="F6" s="156"/>
      <c r="G6" s="156"/>
      <c r="H6" s="156"/>
      <c r="I6" s="211"/>
      <c r="J6" s="29">
        <f>SUM(J3:J5)</f>
        <v>9.8148929794520556E-2</v>
      </c>
      <c r="K6" s="29">
        <f t="shared" ref="K6:L6" si="0">SUM(K3:K5)</f>
        <v>4.3621746575342464E-2</v>
      </c>
      <c r="L6" s="29">
        <f t="shared" si="0"/>
        <v>8.078101217656012E-3</v>
      </c>
    </row>
    <row r="7" spans="1:13" x14ac:dyDescent="0.25">
      <c r="A7" s="84"/>
      <c r="B7" s="84"/>
      <c r="C7" s="84"/>
      <c r="E7" s="1"/>
      <c r="F7" s="1"/>
      <c r="G7" s="1"/>
      <c r="H7" s="1"/>
      <c r="I7" s="1"/>
      <c r="J7" s="1"/>
      <c r="K7" s="1"/>
      <c r="L7" s="1"/>
    </row>
    <row r="8" spans="1:13" ht="19.5" customHeight="1" x14ac:dyDescent="0.25">
      <c r="A8" s="203" t="s">
        <v>0</v>
      </c>
      <c r="B8" s="197" t="s">
        <v>245</v>
      </c>
      <c r="C8" s="197" t="s">
        <v>246</v>
      </c>
      <c r="D8" s="203" t="s">
        <v>234</v>
      </c>
      <c r="E8" s="206" t="s">
        <v>232</v>
      </c>
      <c r="F8" s="207"/>
      <c r="G8" s="208"/>
      <c r="H8" s="203" t="s">
        <v>122</v>
      </c>
      <c r="I8" s="203" t="s">
        <v>235</v>
      </c>
      <c r="J8" s="204" t="s">
        <v>1</v>
      </c>
      <c r="K8" s="205"/>
      <c r="L8" s="222"/>
    </row>
    <row r="9" spans="1:13" ht="15.75" customHeight="1" x14ac:dyDescent="0.25">
      <c r="A9" s="203"/>
      <c r="B9" s="197"/>
      <c r="C9" s="197"/>
      <c r="D9" s="203"/>
      <c r="E9" s="78" t="s">
        <v>34</v>
      </c>
      <c r="F9" s="78" t="s">
        <v>59</v>
      </c>
      <c r="G9" s="78" t="s">
        <v>138</v>
      </c>
      <c r="H9" s="203"/>
      <c r="I9" s="203"/>
      <c r="J9" s="78" t="s">
        <v>34</v>
      </c>
      <c r="K9" s="78" t="s">
        <v>59</v>
      </c>
      <c r="L9" s="78" t="s">
        <v>138</v>
      </c>
    </row>
    <row r="10" spans="1:13" x14ac:dyDescent="0.25">
      <c r="A10" s="4" t="s">
        <v>201</v>
      </c>
      <c r="B10" s="30">
        <v>-20.361726000000001</v>
      </c>
      <c r="C10" s="30">
        <v>-40.325468999999998</v>
      </c>
      <c r="D10" s="120">
        <f>D4</f>
        <v>20.772260273972602</v>
      </c>
      <c r="E10" s="48">
        <f>'FE-Britagem e Peneiramento'!B7</f>
        <v>1.2500000000000001E-2</v>
      </c>
      <c r="F10" s="48">
        <f>'FE-Britagem e Peneiramento'!D7</f>
        <v>4.3E-3</v>
      </c>
      <c r="G10" s="85">
        <f>('FE-Britagem e Peneiramento'!$F$8/'FE-Britagem e Peneiramento'!$D$8)*'FE-Britagem e Peneiramento'!$D$7</f>
        <v>2.9054054054054054E-4</v>
      </c>
      <c r="H10" s="6" t="s">
        <v>144</v>
      </c>
      <c r="I10" s="6">
        <v>50</v>
      </c>
      <c r="J10" s="146">
        <f>D10*E10*(1-I10/100)</f>
        <v>0.12982662671232878</v>
      </c>
      <c r="K10" s="146">
        <f>D10*F10*(1-I10/100)</f>
        <v>4.4660359589041097E-2</v>
      </c>
      <c r="L10" s="139">
        <f>D10*G10*(1-I10/100)</f>
        <v>3.0175918641243984E-3</v>
      </c>
    </row>
    <row r="11" spans="1:13" x14ac:dyDescent="0.25">
      <c r="A11" s="38" t="s">
        <v>202</v>
      </c>
      <c r="B11" s="30">
        <v>-20.361917999999999</v>
      </c>
      <c r="C11" s="30">
        <v>-40.325367999999997</v>
      </c>
      <c r="D11" s="123">
        <f>D5</f>
        <v>10.386130136986301</v>
      </c>
      <c r="E11" s="115">
        <f>'FE-Britagem e Peneiramento'!B7</f>
        <v>1.2500000000000001E-2</v>
      </c>
      <c r="F11" s="115">
        <f>'FE-Britagem e Peneiramento'!D7</f>
        <v>4.3E-3</v>
      </c>
      <c r="G11" s="122">
        <f>('FE-Britagem e Peneiramento'!$F$8/'FE-Britagem e Peneiramento'!$D$8)*'FE-Britagem e Peneiramento'!$D$7</f>
        <v>2.9054054054054054E-4</v>
      </c>
      <c r="H11" s="6" t="s">
        <v>144</v>
      </c>
      <c r="I11" s="6">
        <v>50</v>
      </c>
      <c r="J11" s="146">
        <f>D11*E11*(1-I11/100)</f>
        <v>6.491331335616439E-2</v>
      </c>
      <c r="K11" s="146">
        <f>D11*F11*(1-I11/100)</f>
        <v>2.2330179794520549E-2</v>
      </c>
      <c r="L11" s="139">
        <f>D11*G11*(1-I11/100)</f>
        <v>1.5087959320621992E-3</v>
      </c>
    </row>
    <row r="12" spans="1:13" x14ac:dyDescent="0.25">
      <c r="A12" s="156" t="s">
        <v>244</v>
      </c>
      <c r="B12" s="156"/>
      <c r="C12" s="156"/>
      <c r="D12" s="156"/>
      <c r="E12" s="156"/>
      <c r="F12" s="156"/>
      <c r="G12" s="156"/>
      <c r="H12" s="156"/>
      <c r="I12" s="156"/>
      <c r="J12" s="34">
        <f>SUM(J10:J11)</f>
        <v>0.19473994006849316</v>
      </c>
      <c r="K12" s="34">
        <f t="shared" ref="K12:L12" si="1">SUM(K10:K11)</f>
        <v>6.6990539383561643E-2</v>
      </c>
      <c r="L12" s="14">
        <f t="shared" si="1"/>
        <v>4.5263877961865973E-3</v>
      </c>
    </row>
    <row r="13" spans="1:13" x14ac:dyDescent="0.25">
      <c r="A13" s="33"/>
      <c r="B13" s="33"/>
      <c r="C13" s="33"/>
      <c r="D13" s="1"/>
      <c r="E13" s="1"/>
      <c r="F13" s="33"/>
      <c r="G13" s="1"/>
      <c r="H13" s="1"/>
      <c r="I13" s="1"/>
      <c r="J13" s="1"/>
      <c r="K13" s="1"/>
      <c r="L13" s="1"/>
      <c r="M13" s="1"/>
    </row>
    <row r="15" spans="1:13" x14ac:dyDescent="0.25">
      <c r="A15" s="1"/>
      <c r="B15" s="1"/>
      <c r="C15" s="1"/>
    </row>
    <row r="17" spans="1:3" x14ac:dyDescent="0.25">
      <c r="A17" s="33"/>
      <c r="B17" s="33"/>
      <c r="C17" s="33"/>
    </row>
    <row r="18" spans="1:3" x14ac:dyDescent="0.25">
      <c r="A18" s="33"/>
      <c r="B18" s="33"/>
      <c r="C18" s="33"/>
    </row>
  </sheetData>
  <sheetProtection password="B056" sheet="1" objects="1" scenarios="1"/>
  <mergeCells count="18">
    <mergeCell ref="H8:H9"/>
    <mergeCell ref="I8:I9"/>
    <mergeCell ref="A12:I12"/>
    <mergeCell ref="J1:L1"/>
    <mergeCell ref="E1:G1"/>
    <mergeCell ref="A1:A2"/>
    <mergeCell ref="D1:D2"/>
    <mergeCell ref="H1:H2"/>
    <mergeCell ref="I1:I2"/>
    <mergeCell ref="B1:B2"/>
    <mergeCell ref="C1:C2"/>
    <mergeCell ref="A6:I6"/>
    <mergeCell ref="J8:L8"/>
    <mergeCell ref="E8:G8"/>
    <mergeCell ref="A8:A9"/>
    <mergeCell ref="D8:D9"/>
    <mergeCell ref="B8:B9"/>
    <mergeCell ref="C8:C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"/>
  <sheetViews>
    <sheetView zoomScaleNormal="100" workbookViewId="0">
      <selection activeCell="K23" sqref="K23"/>
    </sheetView>
  </sheetViews>
  <sheetFormatPr defaultRowHeight="15" x14ac:dyDescent="0.25"/>
  <cols>
    <col min="1" max="1" width="22.140625" customWidth="1"/>
    <col min="2" max="2" width="12.7109375" customWidth="1"/>
    <col min="3" max="5" width="13.85546875" customWidth="1"/>
    <col min="6" max="6" width="14.28515625" customWidth="1"/>
    <col min="7" max="7" width="10.42578125" customWidth="1"/>
    <col min="8" max="8" width="11.85546875" customWidth="1"/>
    <col min="9" max="9" width="14.5703125" customWidth="1"/>
    <col min="10" max="10" width="12.5703125" customWidth="1"/>
    <col min="11" max="11" width="12.140625" customWidth="1"/>
    <col min="12" max="14" width="13.7109375" customWidth="1"/>
  </cols>
  <sheetData>
    <row r="1" spans="1:28" x14ac:dyDescent="0.25">
      <c r="A1" s="3" t="s">
        <v>217</v>
      </c>
    </row>
    <row r="2" spans="1:28" ht="15" customHeight="1" x14ac:dyDescent="0.25">
      <c r="A2" s="203" t="s">
        <v>43</v>
      </c>
      <c r="B2" s="203" t="s">
        <v>24</v>
      </c>
      <c r="C2" s="197" t="s">
        <v>245</v>
      </c>
      <c r="D2" s="197" t="s">
        <v>246</v>
      </c>
      <c r="E2" s="203" t="s">
        <v>236</v>
      </c>
      <c r="F2" s="203" t="s">
        <v>237</v>
      </c>
      <c r="G2" s="203" t="s">
        <v>238</v>
      </c>
      <c r="H2" s="198" t="s">
        <v>239</v>
      </c>
      <c r="I2" s="220" t="s">
        <v>240</v>
      </c>
      <c r="J2" s="198" t="s">
        <v>122</v>
      </c>
      <c r="K2" s="198" t="s">
        <v>235</v>
      </c>
      <c r="L2" s="206" t="s">
        <v>241</v>
      </c>
      <c r="M2" s="207"/>
      <c r="N2" s="207"/>
      <c r="O2" s="203" t="s">
        <v>242</v>
      </c>
      <c r="P2" s="203"/>
      <c r="Q2" s="203"/>
      <c r="R2" s="203"/>
      <c r="S2" s="203"/>
      <c r="T2" s="203"/>
      <c r="U2" s="203"/>
      <c r="V2" s="202" t="s">
        <v>1</v>
      </c>
      <c r="W2" s="202"/>
      <c r="X2" s="202"/>
      <c r="Y2" s="202"/>
      <c r="Z2" s="202"/>
      <c r="AA2" s="202"/>
      <c r="AB2" s="202"/>
    </row>
    <row r="3" spans="1:28" x14ac:dyDescent="0.25">
      <c r="A3" s="203"/>
      <c r="B3" s="203"/>
      <c r="C3" s="197"/>
      <c r="D3" s="197"/>
      <c r="E3" s="203"/>
      <c r="F3" s="203"/>
      <c r="G3" s="203"/>
      <c r="H3" s="199"/>
      <c r="I3" s="221"/>
      <c r="J3" s="199"/>
      <c r="K3" s="199"/>
      <c r="L3" s="35" t="s">
        <v>2</v>
      </c>
      <c r="M3" s="35" t="s">
        <v>3</v>
      </c>
      <c r="N3" s="39" t="s">
        <v>20</v>
      </c>
      <c r="O3" s="35" t="s">
        <v>2</v>
      </c>
      <c r="P3" s="35" t="s">
        <v>3</v>
      </c>
      <c r="Q3" s="35" t="s">
        <v>20</v>
      </c>
      <c r="R3" s="35" t="s">
        <v>5</v>
      </c>
      <c r="S3" s="35" t="s">
        <v>6</v>
      </c>
      <c r="T3" s="35" t="s">
        <v>4</v>
      </c>
      <c r="U3" s="135" t="s">
        <v>228</v>
      </c>
      <c r="V3" s="35" t="s">
        <v>2</v>
      </c>
      <c r="W3" s="35" t="s">
        <v>3</v>
      </c>
      <c r="X3" s="35" t="s">
        <v>20</v>
      </c>
      <c r="Y3" s="35" t="s">
        <v>5</v>
      </c>
      <c r="Z3" s="35" t="s">
        <v>6</v>
      </c>
      <c r="AA3" s="35" t="s">
        <v>4</v>
      </c>
      <c r="AB3" s="35" t="s">
        <v>228</v>
      </c>
    </row>
    <row r="4" spans="1:28" x14ac:dyDescent="0.25">
      <c r="A4" s="36" t="s">
        <v>145</v>
      </c>
      <c r="B4" s="30" t="s">
        <v>44</v>
      </c>
      <c r="C4" s="30">
        <v>-20.358663</v>
      </c>
      <c r="D4" s="30">
        <v>-40.329327999999997</v>
      </c>
      <c r="E4" s="30">
        <v>343</v>
      </c>
      <c r="F4" s="105">
        <f>C11/2</f>
        <v>1.3666666666666667</v>
      </c>
      <c r="G4" s="8">
        <f>E4*F4/1000</f>
        <v>0.46876666666666666</v>
      </c>
      <c r="H4" s="30">
        <v>8.3000000000000007</v>
      </c>
      <c r="I4" s="6">
        <v>16</v>
      </c>
      <c r="J4" s="6" t="s">
        <v>144</v>
      </c>
      <c r="K4" s="6">
        <v>74</v>
      </c>
      <c r="L4" s="8">
        <f>('FE-Vias'!$D$6*((H4/12)^'FE-Vias'!$D$7)*((I4/3)^'FE-Vias'!$D$8)*'FE-Vias'!$B$9/1000)*'FE-Vias'!$G$16</f>
        <v>1.6952671965211552</v>
      </c>
      <c r="M4" s="8">
        <f>('FE-Vias'!$C$6*((H4/12)^'FE-Vias'!$C$7)*((I4/3)^'FE-Vias'!$C$8)*'FE-Vias'!$B$9/1000)*'FE-Vias'!$G$16</f>
        <v>0.48207288747744004</v>
      </c>
      <c r="N4" s="8">
        <f>('FE-Vias'!$B$6*((H4/12)^'FE-Vias'!$B$7)*((I4/3)^'FE-Vias'!$B$8)*'FE-Vias'!$B$9/1000)*'FE-Vias'!$G$16</f>
        <v>4.820728874774402E-2</v>
      </c>
      <c r="O4" s="147">
        <f>'FE-Vias'!B22/1000</f>
        <v>1.7489827604766657E-4</v>
      </c>
      <c r="P4" s="147">
        <f>'FE-Vias'!C22/1000</f>
        <v>1.7489827604766657E-4</v>
      </c>
      <c r="Q4" s="147">
        <f>'FE-Vias'!D22/1000</f>
        <v>1.7489827604766657E-4</v>
      </c>
      <c r="R4" s="147">
        <f>'FE-Vias'!E22/1000</f>
        <v>5.4345140567386742E-3</v>
      </c>
      <c r="S4" s="148">
        <f>'FE-Vias'!$F$22/1000</f>
        <v>2.1032135261668511E-4</v>
      </c>
      <c r="T4" s="147">
        <f>'FE-Vias'!$G$22/1000</f>
        <v>1.0383730075038094E-3</v>
      </c>
      <c r="U4" s="147">
        <f>'FE-Vias'!H22/1000</f>
        <v>2.4766340643796463E-4</v>
      </c>
      <c r="V4" s="40">
        <f>(L4*G4*(1-K4/100))+(O4*G4)</f>
        <v>0.206700022215736</v>
      </c>
      <c r="W4" s="40">
        <f>(M4*G4*(1-K4/100))+(P4*G4)</f>
        <v>5.8836708625694026E-2</v>
      </c>
      <c r="X4" s="40">
        <f>(N4*G4*(1-K4/100))+(Q4*G4)</f>
        <v>5.9574586962511536E-3</v>
      </c>
      <c r="Y4" s="40">
        <f>R4*G4</f>
        <v>2.5475190393305326E-3</v>
      </c>
      <c r="Z4" s="40">
        <f>S4*G4</f>
        <v>9.8591639394948085E-5</v>
      </c>
      <c r="AA4" s="40">
        <f>T4*G4</f>
        <v>4.867546534842024E-4</v>
      </c>
      <c r="AB4" s="40">
        <f>U4*G4</f>
        <v>1.1609634949123655E-4</v>
      </c>
    </row>
    <row r="5" spans="1:28" x14ac:dyDescent="0.25">
      <c r="A5" s="36" t="s">
        <v>146</v>
      </c>
      <c r="B5" s="30" t="s">
        <v>44</v>
      </c>
      <c r="C5" s="30">
        <v>-20.360333000000001</v>
      </c>
      <c r="D5" s="30">
        <v>-40.328938000000001</v>
      </c>
      <c r="E5" s="30">
        <v>292</v>
      </c>
      <c r="F5" s="105">
        <f>C11/2</f>
        <v>1.3666666666666667</v>
      </c>
      <c r="G5" s="8">
        <f>E5*F5/1000</f>
        <v>0.39906666666666668</v>
      </c>
      <c r="H5" s="30">
        <v>8.3000000000000007</v>
      </c>
      <c r="I5" s="6">
        <v>16</v>
      </c>
      <c r="J5" s="6" t="s">
        <v>144</v>
      </c>
      <c r="K5" s="6">
        <v>74</v>
      </c>
      <c r="L5" s="8">
        <f>('FE-Vias'!$D$6*((H5/12)^'FE-Vias'!$D$7)*((I5/3)^'FE-Vias'!$D$8)*'FE-Vias'!$B$9/1000)*'FE-Vias'!$G$16</f>
        <v>1.6952671965211552</v>
      </c>
      <c r="M5" s="8">
        <f>('FE-Vias'!$C$6*((H5/12)^'FE-Vias'!$C$7)*((I5/3)^'FE-Vias'!$C$8)*'FE-Vias'!$B$9/1000)*'FE-Vias'!$G$16</f>
        <v>0.48207288747744004</v>
      </c>
      <c r="N5" s="8">
        <f>('FE-Vias'!$B$6*((H5/12)^'FE-Vias'!$B$7)*((I5/3)^'FE-Vias'!$B$8)*'FE-Vias'!$B$9/1000)*'FE-Vias'!$G$16</f>
        <v>4.820728874774402E-2</v>
      </c>
      <c r="O5" s="147">
        <f>'FE-Vias'!$B$22/1000</f>
        <v>1.7489827604766657E-4</v>
      </c>
      <c r="P5" s="147">
        <f>'FE-Vias'!$C$22/1000</f>
        <v>1.7489827604766657E-4</v>
      </c>
      <c r="Q5" s="147">
        <f>'FE-Vias'!$D$22/1000</f>
        <v>1.7489827604766657E-4</v>
      </c>
      <c r="R5" s="147">
        <f>'FE-Vias'!$E$22/1000</f>
        <v>5.4345140567386742E-3</v>
      </c>
      <c r="S5" s="148">
        <f>'FE-Vias'!$F$22/1000</f>
        <v>2.1032135261668511E-4</v>
      </c>
      <c r="T5" s="147">
        <f>'FE-Vias'!$G$22/1000</f>
        <v>1.0383730075038094E-3</v>
      </c>
      <c r="U5" s="147">
        <f>'FE-Vias'!$H$22/1000</f>
        <v>2.4766340643796463E-4</v>
      </c>
      <c r="V5" s="40">
        <f t="shared" ref="V5:V7" si="0">(L5*G5*(1-K5/100))+(O5*G5)</f>
        <v>0.17596619967053909</v>
      </c>
      <c r="W5" s="40">
        <f t="shared" ref="W5:W6" si="1">(M5*G5*(1-K5/100))+(P5*G5)</f>
        <v>5.0088393348987334E-2</v>
      </c>
      <c r="X5" s="40">
        <f t="shared" ref="X5:X6" si="2">(N5*G5*(1-K5/100))+(Q5*G5)</f>
        <v>5.0716557997240149E-3</v>
      </c>
      <c r="Y5" s="40">
        <f t="shared" ref="Y5:Y6" si="3">R5*G5</f>
        <v>2.1687334095758471E-3</v>
      </c>
      <c r="Z5" s="40">
        <f t="shared" ref="Z5:Z6" si="4">S5*G5</f>
        <v>8.3932241117565145E-5</v>
      </c>
      <c r="AA5" s="40">
        <f t="shared" ref="AA5:AA6" si="5">T5*G5</f>
        <v>4.1438005486118688E-4</v>
      </c>
      <c r="AB5" s="40">
        <f t="shared" ref="AB5:AB6" si="6">U5*G5</f>
        <v>9.8834210062510419E-5</v>
      </c>
    </row>
    <row r="6" spans="1:28" x14ac:dyDescent="0.25">
      <c r="A6" s="41" t="s">
        <v>147</v>
      </c>
      <c r="B6" s="30" t="s">
        <v>44</v>
      </c>
      <c r="C6" s="30">
        <v>-20.359204999999999</v>
      </c>
      <c r="D6" s="30">
        <v>-40.326385000000002</v>
      </c>
      <c r="E6" s="30">
        <v>506</v>
      </c>
      <c r="F6" s="105">
        <f>C11</f>
        <v>2.7333333333333334</v>
      </c>
      <c r="G6" s="8">
        <f>E6*F6/1000</f>
        <v>1.3830666666666667</v>
      </c>
      <c r="H6" s="30">
        <v>8.3000000000000007</v>
      </c>
      <c r="I6" s="6">
        <v>16</v>
      </c>
      <c r="J6" s="6" t="s">
        <v>144</v>
      </c>
      <c r="K6" s="6">
        <v>74</v>
      </c>
      <c r="L6" s="8">
        <f>('FE-Vias'!$D$6*((H6/12)^'FE-Vias'!$D$7)*((I6/3)^'FE-Vias'!$D$8)*'FE-Vias'!$B$9/1000)*'FE-Vias'!$G$16</f>
        <v>1.6952671965211552</v>
      </c>
      <c r="M6" s="8">
        <f>('FE-Vias'!$C$6*((H6/12)^'FE-Vias'!$C$7)*((I6/3)^'FE-Vias'!$C$8)*'FE-Vias'!$B$9/1000)*'FE-Vias'!$G$16</f>
        <v>0.48207288747744004</v>
      </c>
      <c r="N6" s="8">
        <f>('FE-Vias'!$B$6*((H6/12)^'FE-Vias'!$B$7)*((I6/3)^'FE-Vias'!$B$8)*'FE-Vias'!$B$9/1000)*'FE-Vias'!$G$16</f>
        <v>4.820728874774402E-2</v>
      </c>
      <c r="O6" s="147">
        <f>'FE-Vias'!$B$22/1000</f>
        <v>1.7489827604766657E-4</v>
      </c>
      <c r="P6" s="147">
        <f>'FE-Vias'!$C$22/1000</f>
        <v>1.7489827604766657E-4</v>
      </c>
      <c r="Q6" s="147">
        <f>'FE-Vias'!$D$22/1000</f>
        <v>1.7489827604766657E-4</v>
      </c>
      <c r="R6" s="147">
        <f>'FE-Vias'!$E$22/1000</f>
        <v>5.4345140567386742E-3</v>
      </c>
      <c r="S6" s="148">
        <f>'FE-Vias'!$F$22/1000</f>
        <v>2.1032135261668511E-4</v>
      </c>
      <c r="T6" s="147">
        <f>'FE-Vias'!$G$22/1000</f>
        <v>1.0383730075038094E-3</v>
      </c>
      <c r="U6" s="147">
        <f>'FE-Vias'!$H$22/1000</f>
        <v>2.4766340643796463E-4</v>
      </c>
      <c r="V6" s="40">
        <f t="shared" si="0"/>
        <v>0.60985545913214245</v>
      </c>
      <c r="W6" s="40">
        <f t="shared" si="1"/>
        <v>0.17359402078484651</v>
      </c>
      <c r="X6" s="40">
        <f t="shared" si="2"/>
        <v>1.7577108456577749E-2</v>
      </c>
      <c r="Y6" s="40">
        <f t="shared" si="3"/>
        <v>7.516295241406702E-3</v>
      </c>
      <c r="Z6" s="40">
        <f t="shared" si="4"/>
        <v>2.9088845209238328E-4</v>
      </c>
      <c r="AA6" s="40">
        <f t="shared" si="5"/>
        <v>1.4361390942449353E-3</v>
      </c>
      <c r="AB6" s="40">
        <f t="shared" si="6"/>
        <v>3.4253500199746761E-4</v>
      </c>
    </row>
    <row r="7" spans="1:28" x14ac:dyDescent="0.25">
      <c r="A7" s="41" t="s">
        <v>148</v>
      </c>
      <c r="B7" s="30" t="s">
        <v>44</v>
      </c>
      <c r="C7" s="30">
        <v>-20.362627</v>
      </c>
      <c r="D7" s="30">
        <v>-40.327323</v>
      </c>
      <c r="E7" s="30">
        <v>579</v>
      </c>
      <c r="F7" s="105">
        <f>C12</f>
        <v>2.0539954337899542</v>
      </c>
      <c r="G7" s="8">
        <f>E7*F7/1000</f>
        <v>1.1892633561643833</v>
      </c>
      <c r="H7" s="30">
        <v>8.3000000000000007</v>
      </c>
      <c r="I7" s="6">
        <v>16</v>
      </c>
      <c r="J7" s="6" t="s">
        <v>144</v>
      </c>
      <c r="K7" s="6">
        <v>74</v>
      </c>
      <c r="L7" s="8">
        <f>('FE-Vias'!$D$6*((H7/12)^'FE-Vias'!$D$7)*((I7/3)^'FE-Vias'!$D$8)*'FE-Vias'!$B$9/1000)*'FE-Vias'!$G$16</f>
        <v>1.6952671965211552</v>
      </c>
      <c r="M7" s="8">
        <f>('FE-Vias'!$C$6*((H7/12)^'FE-Vias'!$C$7)*((I7/3)^'FE-Vias'!$C$8)*'FE-Vias'!$B$9/1000)*'FE-Vias'!$G$16</f>
        <v>0.48207288747744004</v>
      </c>
      <c r="N7" s="8">
        <f>('FE-Vias'!$B$6*((H7/12)^'FE-Vias'!$B$7)*((I7/3)^'FE-Vias'!$B$8)*'FE-Vias'!$B$9/1000)*'FE-Vias'!$G$16</f>
        <v>4.820728874774402E-2</v>
      </c>
      <c r="O7" s="147">
        <f>'FE-Vias'!$B$22/1000</f>
        <v>1.7489827604766657E-4</v>
      </c>
      <c r="P7" s="147">
        <f>'FE-Vias'!$C$22/1000</f>
        <v>1.7489827604766657E-4</v>
      </c>
      <c r="Q7" s="147">
        <f>'FE-Vias'!$D$22/1000</f>
        <v>1.7489827604766657E-4</v>
      </c>
      <c r="R7" s="147">
        <f>'FE-Vias'!$E$22/1000</f>
        <v>5.4345140567386742E-3</v>
      </c>
      <c r="S7" s="148">
        <f>'FE-Vias'!$F$22/1000</f>
        <v>2.1032135261668511E-4</v>
      </c>
      <c r="T7" s="147">
        <f>'FE-Vias'!$G$22/1000</f>
        <v>1.0383730075038094E-3</v>
      </c>
      <c r="U7" s="147">
        <f>'FE-Vias'!$H$22/1000</f>
        <v>2.4766340643796463E-4</v>
      </c>
      <c r="V7" s="40">
        <f t="shared" si="0"/>
        <v>0.52439898060059476</v>
      </c>
      <c r="W7" s="40">
        <f>(M7*G7*(1-K7/100))+(P7*G7)</f>
        <v>0.14926902133085143</v>
      </c>
      <c r="X7" s="40">
        <f>(N7*G7*(1-K7/100))+(Q7*G7)</f>
        <v>1.511410223276898E-2</v>
      </c>
      <c r="Y7" s="40">
        <f>R7*G7</f>
        <v>6.463068426239553E-3</v>
      </c>
      <c r="Z7" s="40">
        <f>S7*G7</f>
        <v>2.5012747768595161E-4</v>
      </c>
      <c r="AA7" s="40">
        <f>T7*G7</f>
        <v>1.2348989678544848E-3</v>
      </c>
      <c r="AB7" s="40">
        <f>U7*G7</f>
        <v>2.9453701393951755E-4</v>
      </c>
    </row>
    <row r="8" spans="1:28" x14ac:dyDescent="0.25">
      <c r="A8" s="212" t="s">
        <v>229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14">
        <f t="shared" ref="V8:AB8" si="7">SUM(V4:V7)</f>
        <v>1.5169206616190123</v>
      </c>
      <c r="W8" s="14">
        <f t="shared" ref="W8" si="8">SUM(W4:W7)</f>
        <v>0.43178814409037924</v>
      </c>
      <c r="X8" s="14">
        <f t="shared" ref="X8" si="9">SUM(X4:X7)</f>
        <v>4.3720325185321901E-2</v>
      </c>
      <c r="Y8" s="14">
        <f t="shared" ref="Y8" si="10">SUM(Y4:Y7)</f>
        <v>1.8695616116552634E-2</v>
      </c>
      <c r="Z8" s="14">
        <f t="shared" ref="Z8" si="11">SUM(Z4:Z7)</f>
        <v>7.2353981029084813E-4</v>
      </c>
      <c r="AA8" s="14">
        <f t="shared" ref="AA8" si="12">SUM(AA4:AA7)</f>
        <v>3.5721727704448097E-3</v>
      </c>
      <c r="AB8" s="14">
        <f t="shared" si="7"/>
        <v>8.5200257549073225E-4</v>
      </c>
    </row>
    <row r="9" spans="1:28" x14ac:dyDescent="0.25">
      <c r="I9" s="126"/>
      <c r="J9" s="33"/>
    </row>
    <row r="10" spans="1:28" x14ac:dyDescent="0.25">
      <c r="B10" s="55" t="s">
        <v>61</v>
      </c>
      <c r="C10" s="55" t="s">
        <v>216</v>
      </c>
      <c r="H10" s="30"/>
    </row>
    <row r="11" spans="1:28" x14ac:dyDescent="0.25">
      <c r="A11" s="125" t="s">
        <v>203</v>
      </c>
      <c r="B11" s="137">
        <v>23944</v>
      </c>
      <c r="C11" s="8">
        <f>B11/8760</f>
        <v>2.7333333333333334</v>
      </c>
    </row>
    <row r="12" spans="1:28" x14ac:dyDescent="0.25">
      <c r="A12" s="57" t="s">
        <v>204</v>
      </c>
      <c r="B12" s="137">
        <v>17993</v>
      </c>
      <c r="C12" s="8">
        <f>B12/8760</f>
        <v>2.0539954337899542</v>
      </c>
    </row>
    <row r="14" spans="1:28" x14ac:dyDescent="0.25">
      <c r="A14" s="1"/>
      <c r="B14" s="1"/>
    </row>
    <row r="15" spans="1:28" x14ac:dyDescent="0.25">
      <c r="A15" s="1"/>
      <c r="B15" s="1"/>
    </row>
    <row r="16" spans="1:28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09"/>
    </row>
    <row r="21" spans="1:2" x14ac:dyDescent="0.25">
      <c r="B21" s="124"/>
    </row>
  </sheetData>
  <sheetProtection password="B056" sheet="1" objects="1" scenarios="1"/>
  <mergeCells count="15">
    <mergeCell ref="V2:AB2"/>
    <mergeCell ref="F2:F3"/>
    <mergeCell ref="G2:G3"/>
    <mergeCell ref="H2:H3"/>
    <mergeCell ref="I2:I3"/>
    <mergeCell ref="L2:N2"/>
    <mergeCell ref="O2:U2"/>
    <mergeCell ref="K2:K3"/>
    <mergeCell ref="J2:J3"/>
    <mergeCell ref="A8:U8"/>
    <mergeCell ref="A2:A3"/>
    <mergeCell ref="B2:B3"/>
    <mergeCell ref="C2:C3"/>
    <mergeCell ref="D2:D3"/>
    <mergeCell ref="E2:E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0" sqref="B10"/>
    </sheetView>
  </sheetViews>
  <sheetFormatPr defaultRowHeight="15" customHeight="1" x14ac:dyDescent="0.25"/>
  <cols>
    <col min="1" max="1" width="19.42578125" style="2" customWidth="1"/>
    <col min="2" max="16384" width="9.140625" style="2"/>
  </cols>
  <sheetData>
    <row r="1" spans="1:9" ht="15" customHeight="1" x14ac:dyDescent="0.25">
      <c r="A1" s="223" t="s">
        <v>154</v>
      </c>
      <c r="B1" s="215" t="s">
        <v>1</v>
      </c>
      <c r="C1" s="216"/>
      <c r="D1" s="216"/>
      <c r="E1" s="216"/>
      <c r="F1" s="216"/>
      <c r="G1" s="216"/>
      <c r="H1" s="216"/>
    </row>
    <row r="2" spans="1:9" ht="15" customHeight="1" x14ac:dyDescent="0.25">
      <c r="A2" s="223"/>
      <c r="B2" s="5" t="s">
        <v>2</v>
      </c>
      <c r="C2" s="5" t="s">
        <v>3</v>
      </c>
      <c r="D2" s="5" t="s">
        <v>20</v>
      </c>
      <c r="E2" s="5" t="s">
        <v>5</v>
      </c>
      <c r="F2" s="5" t="s">
        <v>6</v>
      </c>
      <c r="G2" s="5" t="s">
        <v>4</v>
      </c>
      <c r="H2" s="5" t="s">
        <v>228</v>
      </c>
    </row>
    <row r="3" spans="1:9" ht="15" customHeight="1" x14ac:dyDescent="0.25">
      <c r="A3" s="2" t="s">
        <v>149</v>
      </c>
      <c r="B3" s="8">
        <f>'Emissão Perfuração e Detonação'!I4+'Emissão Perfuração e Detonação'!L10</f>
        <v>3.5144056435941907E-2</v>
      </c>
      <c r="C3" s="8">
        <f>'Emissão Perfuração e Detonação'!J4+'Emissão Perfuração e Detonação'!M10</f>
        <v>1.8423263684589339E-2</v>
      </c>
      <c r="D3" s="8">
        <f>'Emissão Perfuração e Detonação'!K4+'Emissão Perfuração e Detonação'!N10</f>
        <v>1.0543216930782571E-3</v>
      </c>
      <c r="E3" s="149">
        <f>'Emissão Perfuração e Detonação'!O10</f>
        <v>1.3782397260273973E-3</v>
      </c>
      <c r="F3" s="8" t="s">
        <v>155</v>
      </c>
      <c r="G3" s="8">
        <f>'Emissão Perfuração e Detonação'!P10</f>
        <v>0.11715037671232877</v>
      </c>
      <c r="H3" s="8" t="s">
        <v>155</v>
      </c>
    </row>
    <row r="4" spans="1:9" ht="15" customHeight="1" x14ac:dyDescent="0.25">
      <c r="A4" s="2" t="s">
        <v>127</v>
      </c>
      <c r="B4" s="8">
        <f>'Emissão Transferências'!K12</f>
        <v>1.2762480963000908</v>
      </c>
      <c r="C4" s="8">
        <f>'Emissão Transferências'!L12</f>
        <v>0.60363085635815117</v>
      </c>
      <c r="D4" s="8">
        <f>'Emissão Transferências'!M12</f>
        <v>9.1406958248520048E-2</v>
      </c>
      <c r="E4" s="30" t="s">
        <v>155</v>
      </c>
      <c r="F4" s="30" t="s">
        <v>155</v>
      </c>
      <c r="G4" s="30" t="s">
        <v>155</v>
      </c>
      <c r="H4" s="30" t="s">
        <v>155</v>
      </c>
    </row>
    <row r="5" spans="1:9" ht="15" customHeight="1" x14ac:dyDescent="0.25">
      <c r="A5" s="2" t="s">
        <v>150</v>
      </c>
      <c r="B5" s="8">
        <f>'Emissão Maq e Equip'!I16</f>
        <v>3.7419820036621858E-2</v>
      </c>
      <c r="C5" s="8">
        <f>'Emissão Maq e Equip'!J16</f>
        <v>3.7419820036621858E-2</v>
      </c>
      <c r="D5" s="8">
        <f>'Emissão Maq e Equip'!K16</f>
        <v>3.7419820036621858E-2</v>
      </c>
      <c r="E5" s="8">
        <f>'Emissão Maq e Equip'!L16</f>
        <v>0.82794239351450238</v>
      </c>
      <c r="F5" s="149">
        <f>'Emissão Maq e Equip'!M16</f>
        <v>1.5638456132032114E-3</v>
      </c>
      <c r="G5" s="8">
        <f>'Emissão Maq e Equip'!N16</f>
        <v>0.33330782175476004</v>
      </c>
      <c r="H5" s="8">
        <f>'Emissão Maq e Equip'!O16</f>
        <v>9.0059705206254018E-2</v>
      </c>
    </row>
    <row r="6" spans="1:9" ht="15" customHeight="1" x14ac:dyDescent="0.25">
      <c r="A6" s="2" t="s">
        <v>151</v>
      </c>
      <c r="B6" s="8">
        <f>'Emissão Brit e Pen'!J6+'Emissão Brit e Pen'!J12</f>
        <v>0.29288886986301371</v>
      </c>
      <c r="C6" s="8">
        <f>'Emissão Brit e Pen'!K6+'Emissão Brit e Pen'!K12</f>
        <v>0.1106122859589041</v>
      </c>
      <c r="D6" s="8">
        <f>'Emissão Brit e Pen'!L6+'Emissão Brit e Pen'!L12</f>
        <v>1.2604489013842609E-2</v>
      </c>
      <c r="E6" s="30" t="s">
        <v>155</v>
      </c>
      <c r="F6" s="30" t="s">
        <v>155</v>
      </c>
      <c r="G6" s="30" t="s">
        <v>155</v>
      </c>
      <c r="H6" s="30" t="s">
        <v>155</v>
      </c>
    </row>
    <row r="7" spans="1:9" ht="15" customHeight="1" x14ac:dyDescent="0.25">
      <c r="A7" s="2" t="s">
        <v>152</v>
      </c>
      <c r="B7" s="8">
        <f>'Emissão Vias '!V8</f>
        <v>1.5169206616190123</v>
      </c>
      <c r="C7" s="8">
        <f>'Emissão Vias '!W8</f>
        <v>0.43178814409037924</v>
      </c>
      <c r="D7" s="8">
        <f>'Emissão Vias '!X8</f>
        <v>4.3720325185321901E-2</v>
      </c>
      <c r="E7" s="8">
        <f>'Emissão Vias '!Y8</f>
        <v>1.8695616116552634E-2</v>
      </c>
      <c r="F7" s="149">
        <f>'Emissão Vias '!Z8</f>
        <v>7.2353981029084813E-4</v>
      </c>
      <c r="G7" s="8">
        <f>'Emissão Vias '!AA8</f>
        <v>3.5721727704448097E-3</v>
      </c>
      <c r="H7" s="149">
        <f>'Emissão Vias '!AB8</f>
        <v>8.5200257549073225E-4</v>
      </c>
    </row>
    <row r="8" spans="1:9" ht="15" customHeight="1" x14ac:dyDescent="0.25">
      <c r="A8" s="2" t="s">
        <v>153</v>
      </c>
      <c r="B8" s="150">
        <v>3.2704567485566058</v>
      </c>
      <c r="C8" s="150">
        <v>1.6352283742783029</v>
      </c>
      <c r="D8" s="150">
        <v>0.24528425614174545</v>
      </c>
      <c r="E8" s="30" t="s">
        <v>155</v>
      </c>
      <c r="F8" s="30" t="s">
        <v>155</v>
      </c>
      <c r="G8" s="30" t="s">
        <v>155</v>
      </c>
      <c r="H8" s="30" t="s">
        <v>155</v>
      </c>
    </row>
    <row r="9" spans="1:9" ht="15" customHeight="1" x14ac:dyDescent="0.25">
      <c r="A9" s="93" t="s">
        <v>229</v>
      </c>
      <c r="B9" s="14">
        <f>SUM(B3:B8)</f>
        <v>6.4290782528112871</v>
      </c>
      <c r="C9" s="14">
        <f>SUM(C3:C8)</f>
        <v>2.8371027444069483</v>
      </c>
      <c r="D9" s="14">
        <f>SUM(D3:D8)</f>
        <v>0.43149017031913017</v>
      </c>
      <c r="E9" s="14">
        <f t="shared" ref="E9:H9" si="0">SUM(E3:E8)</f>
        <v>0.84801624935708242</v>
      </c>
      <c r="F9" s="14">
        <f t="shared" si="0"/>
        <v>2.2873854234940596E-3</v>
      </c>
      <c r="G9" s="14">
        <f t="shared" si="0"/>
        <v>0.45403037123753359</v>
      </c>
      <c r="H9" s="14">
        <f t="shared" si="0"/>
        <v>9.0911707781744747E-2</v>
      </c>
      <c r="I9" s="64"/>
    </row>
    <row r="11" spans="1:9" ht="15" customHeight="1" x14ac:dyDescent="0.25">
      <c r="A11" s="2" t="s">
        <v>247</v>
      </c>
      <c r="B11" s="46"/>
      <c r="C11" s="46"/>
      <c r="D11" s="46"/>
      <c r="E11" s="46"/>
      <c r="F11" s="46"/>
      <c r="G11" s="46"/>
      <c r="H11" s="46"/>
      <c r="I11" s="46"/>
    </row>
  </sheetData>
  <sheetProtection password="B056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C27" sqref="C27"/>
    </sheetView>
  </sheetViews>
  <sheetFormatPr defaultRowHeight="15" x14ac:dyDescent="0.25"/>
  <cols>
    <col min="1" max="2" width="17.140625" customWidth="1"/>
    <col min="3" max="3" width="18.5703125" customWidth="1"/>
    <col min="4" max="4" width="18.28515625" customWidth="1"/>
  </cols>
  <sheetData>
    <row r="1" spans="1:9" ht="23.25" customHeight="1" x14ac:dyDescent="0.25">
      <c r="A1" s="159" t="s">
        <v>119</v>
      </c>
      <c r="B1" s="159"/>
      <c r="C1" s="159"/>
      <c r="D1" s="159"/>
      <c r="E1" s="159"/>
      <c r="F1" s="159"/>
      <c r="G1" s="159"/>
      <c r="H1" s="159"/>
      <c r="I1" s="69"/>
    </row>
    <row r="2" spans="1:9" ht="26.25" customHeight="1" x14ac:dyDescent="0.25">
      <c r="A2" s="157" t="s">
        <v>120</v>
      </c>
      <c r="B2" s="157"/>
      <c r="C2" s="157"/>
      <c r="D2" s="157"/>
    </row>
    <row r="3" spans="1:9" x14ac:dyDescent="0.25">
      <c r="A3" s="160" t="s">
        <v>121</v>
      </c>
      <c r="B3" s="160"/>
      <c r="C3" s="160"/>
      <c r="D3" s="160"/>
    </row>
    <row r="4" spans="1:9" x14ac:dyDescent="0.25">
      <c r="A4" s="162" t="s">
        <v>42</v>
      </c>
      <c r="B4" s="162"/>
      <c r="C4" s="162" t="s">
        <v>104</v>
      </c>
      <c r="D4" s="162"/>
    </row>
    <row r="5" spans="1:9" x14ac:dyDescent="0.25">
      <c r="A5" s="163" t="s">
        <v>105</v>
      </c>
      <c r="B5" s="163"/>
      <c r="C5" s="43" t="s">
        <v>2</v>
      </c>
      <c r="D5" s="43" t="s">
        <v>35</v>
      </c>
    </row>
    <row r="6" spans="1:9" x14ac:dyDescent="0.25">
      <c r="A6" s="163"/>
      <c r="B6" s="163"/>
      <c r="C6" s="43">
        <v>0.59</v>
      </c>
      <c r="D6" s="43">
        <v>0.31</v>
      </c>
    </row>
    <row r="8" spans="1:9" x14ac:dyDescent="0.25">
      <c r="A8" s="160" t="s">
        <v>106</v>
      </c>
      <c r="B8" s="160"/>
      <c r="C8" s="160"/>
      <c r="D8" s="160"/>
    </row>
    <row r="9" spans="1:9" ht="21.75" customHeight="1" x14ac:dyDescent="0.25">
      <c r="A9" s="157" t="s">
        <v>107</v>
      </c>
      <c r="B9" s="157"/>
      <c r="C9" s="157"/>
      <c r="D9" s="157"/>
    </row>
    <row r="10" spans="1:9" x14ac:dyDescent="0.25">
      <c r="A10" s="59" t="s">
        <v>42</v>
      </c>
      <c r="B10" s="161" t="s">
        <v>108</v>
      </c>
      <c r="C10" s="161"/>
      <c r="D10" s="161"/>
    </row>
    <row r="11" spans="1:9" x14ac:dyDescent="0.25">
      <c r="A11" s="155" t="s">
        <v>109</v>
      </c>
      <c r="B11" s="43" t="s">
        <v>2</v>
      </c>
      <c r="C11" s="43" t="s">
        <v>35</v>
      </c>
      <c r="D11" s="58" t="s">
        <v>126</v>
      </c>
    </row>
    <row r="12" spans="1:9" ht="26.25" customHeight="1" x14ac:dyDescent="0.25">
      <c r="A12" s="155"/>
    </row>
    <row r="13" spans="1:9" ht="19.5" customHeight="1" x14ac:dyDescent="0.25">
      <c r="A13" s="71" t="s">
        <v>125</v>
      </c>
      <c r="B13" s="154" t="s">
        <v>124</v>
      </c>
      <c r="C13" s="154"/>
      <c r="D13" s="154"/>
    </row>
    <row r="15" spans="1:9" x14ac:dyDescent="0.25">
      <c r="A15" s="1" t="s">
        <v>128</v>
      </c>
    </row>
    <row r="16" spans="1:9" x14ac:dyDescent="0.25">
      <c r="A16" s="156" t="s">
        <v>110</v>
      </c>
      <c r="B16" s="156"/>
      <c r="C16" s="156"/>
      <c r="D16" s="156"/>
    </row>
    <row r="17" spans="1:4" x14ac:dyDescent="0.25">
      <c r="A17" s="157" t="s">
        <v>111</v>
      </c>
      <c r="B17" s="157"/>
      <c r="C17" s="157"/>
      <c r="D17" s="157"/>
    </row>
    <row r="18" spans="1:4" x14ac:dyDescent="0.25">
      <c r="A18" s="158" t="s">
        <v>112</v>
      </c>
      <c r="B18" s="158"/>
      <c r="C18" s="158" t="s">
        <v>113</v>
      </c>
      <c r="D18" s="158"/>
    </row>
    <row r="19" spans="1:4" x14ac:dyDescent="0.25">
      <c r="A19" s="153" t="s">
        <v>114</v>
      </c>
      <c r="B19" s="153"/>
      <c r="C19" s="43" t="s">
        <v>4</v>
      </c>
      <c r="D19" s="43" t="s">
        <v>115</v>
      </c>
    </row>
    <row r="20" spans="1:4" x14ac:dyDescent="0.25">
      <c r="A20" s="153"/>
      <c r="B20" s="153"/>
      <c r="C20" s="43">
        <v>17</v>
      </c>
      <c r="D20" s="43">
        <v>0.2</v>
      </c>
    </row>
  </sheetData>
  <sheetProtection password="B056" sheet="1" objects="1" scenarios="1"/>
  <mergeCells count="16">
    <mergeCell ref="A1:H1"/>
    <mergeCell ref="A8:D8"/>
    <mergeCell ref="A9:D9"/>
    <mergeCell ref="B10:D10"/>
    <mergeCell ref="A2:D2"/>
    <mergeCell ref="A3:D3"/>
    <mergeCell ref="A4:B4"/>
    <mergeCell ref="C4:D4"/>
    <mergeCell ref="A5:B6"/>
    <mergeCell ref="A19:B20"/>
    <mergeCell ref="B13:D13"/>
    <mergeCell ref="A11:A12"/>
    <mergeCell ref="A16:D16"/>
    <mergeCell ref="A17:D17"/>
    <mergeCell ref="A18:B18"/>
    <mergeCell ref="C18:D18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8"/>
  <sheetViews>
    <sheetView topLeftCell="A38" workbookViewId="0">
      <selection activeCell="E53" sqref="E53"/>
    </sheetView>
  </sheetViews>
  <sheetFormatPr defaultRowHeight="15" x14ac:dyDescent="0.25"/>
  <cols>
    <col min="1" max="1" width="23.85546875" customWidth="1"/>
    <col min="2" max="2" width="20.140625" customWidth="1"/>
    <col min="3" max="4" width="9.5703125" bestFit="1" customWidth="1"/>
    <col min="5" max="5" width="10.5703125" bestFit="1" customWidth="1"/>
    <col min="6" max="6" width="10.42578125" bestFit="1" customWidth="1"/>
    <col min="7" max="7" width="9.5703125" bestFit="1" customWidth="1"/>
    <col min="8" max="8" width="10.85546875" bestFit="1" customWidth="1"/>
    <col min="9" max="9" width="9.5703125" bestFit="1" customWidth="1"/>
    <col min="11" max="11" width="12.7109375" bestFit="1" customWidth="1"/>
  </cols>
  <sheetData>
    <row r="1" spans="1:20" x14ac:dyDescent="0.25">
      <c r="A1" s="2" t="s">
        <v>23</v>
      </c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x14ac:dyDescent="0.2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K2" s="118"/>
      <c r="L2" s="96"/>
      <c r="M2" s="16"/>
      <c r="N2" s="16"/>
      <c r="O2" s="16"/>
      <c r="P2" s="16"/>
      <c r="Q2" s="16"/>
      <c r="R2" s="16"/>
      <c r="S2" s="16"/>
      <c r="T2" s="99"/>
    </row>
    <row r="3" spans="1:20" x14ac:dyDescent="0.25">
      <c r="A3" s="166" t="s">
        <v>175</v>
      </c>
      <c r="B3" s="2" t="s">
        <v>176</v>
      </c>
      <c r="C3" s="13">
        <v>3.2322108139984048E-3</v>
      </c>
      <c r="D3" s="13">
        <v>4.2106947860855962E-2</v>
      </c>
      <c r="E3" s="13">
        <v>5.0982821833507993E-5</v>
      </c>
      <c r="F3" s="13">
        <v>2.44296237259247E-2</v>
      </c>
      <c r="G3" s="13">
        <v>7.406122096332784E-3</v>
      </c>
      <c r="H3" s="13">
        <v>3.2763456592420059</v>
      </c>
      <c r="I3" s="13">
        <v>6.6824238571398277E-4</v>
      </c>
      <c r="K3" s="119"/>
      <c r="L3" s="116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59"/>
      <c r="B4" s="2" t="s">
        <v>177</v>
      </c>
      <c r="C4" s="13">
        <v>5.1306927409409909E-3</v>
      </c>
      <c r="D4" s="13">
        <v>6.6826269580313083E-2</v>
      </c>
      <c r="E4" s="13">
        <v>8.3141222912255138E-5</v>
      </c>
      <c r="F4" s="13">
        <v>4.2365489267518895E-2</v>
      </c>
      <c r="G4" s="13">
        <v>1.7049873280994984E-2</v>
      </c>
      <c r="H4" s="13">
        <v>6.5526915280652185</v>
      </c>
      <c r="I4" s="13">
        <v>1.5383829601883824E-3</v>
      </c>
      <c r="K4" s="119"/>
      <c r="L4" s="116"/>
      <c r="M4" s="99"/>
      <c r="N4" s="99"/>
      <c r="O4" s="99"/>
      <c r="P4" s="99"/>
      <c r="Q4" s="99"/>
      <c r="R4" s="99"/>
      <c r="S4" s="99"/>
      <c r="T4" s="99"/>
    </row>
    <row r="5" spans="1:20" x14ac:dyDescent="0.25">
      <c r="A5" s="159"/>
      <c r="B5" s="2" t="s">
        <v>178</v>
      </c>
      <c r="C5" s="13">
        <v>1.3146433794581545E-2</v>
      </c>
      <c r="D5" s="13">
        <v>0.11194040416687867</v>
      </c>
      <c r="E5" s="13">
        <v>1.3059450897330303E-4</v>
      </c>
      <c r="F5" s="13">
        <v>0.13304800358754459</v>
      </c>
      <c r="G5" s="13">
        <v>5.9241181033438672E-2</v>
      </c>
      <c r="H5" s="13">
        <v>10.102066687028209</v>
      </c>
      <c r="I5" s="13">
        <v>5.3452360090543126E-3</v>
      </c>
      <c r="K5" s="119"/>
      <c r="L5" s="116"/>
      <c r="M5" s="99"/>
      <c r="N5" s="99"/>
      <c r="O5" s="99"/>
      <c r="P5" s="99"/>
      <c r="Q5" s="99"/>
      <c r="R5" s="99"/>
      <c r="S5" s="99"/>
      <c r="T5" s="99"/>
    </row>
    <row r="6" spans="1:20" x14ac:dyDescent="0.25">
      <c r="A6" s="159"/>
      <c r="B6" s="12" t="s">
        <v>179</v>
      </c>
      <c r="C6" s="13">
        <v>2.6813322961792532E-2</v>
      </c>
      <c r="D6" s="13">
        <v>0.30670744242455611</v>
      </c>
      <c r="E6" s="13">
        <v>2.4981591262334475E-4</v>
      </c>
      <c r="F6" s="13">
        <v>0.15491257077323217</v>
      </c>
      <c r="G6" s="13">
        <v>5.2543635077938841E-2</v>
      </c>
      <c r="H6" s="13">
        <v>21.296249335135965</v>
      </c>
      <c r="I6" s="13">
        <v>4.74092860952177E-3</v>
      </c>
      <c r="K6" s="119"/>
      <c r="L6" s="116"/>
      <c r="M6" s="99"/>
      <c r="N6" s="99"/>
      <c r="O6" s="99"/>
      <c r="P6" s="99"/>
      <c r="Q6" s="99"/>
      <c r="R6" s="99"/>
      <c r="S6" s="99"/>
      <c r="T6" s="99"/>
    </row>
    <row r="7" spans="1:20" x14ac:dyDescent="0.25">
      <c r="A7" s="159"/>
      <c r="B7" s="12" t="s">
        <v>180</v>
      </c>
      <c r="C7" s="13">
        <v>2.7876138744831733E-2</v>
      </c>
      <c r="D7" s="13">
        <v>0.52063653312185976</v>
      </c>
      <c r="E7" s="13">
        <v>4.5159021758357266E-4</v>
      </c>
      <c r="F7" s="13">
        <v>0.23361187679212775</v>
      </c>
      <c r="G7" s="13">
        <v>6.5065908817847115E-2</v>
      </c>
      <c r="H7" s="13">
        <v>40.135234200522738</v>
      </c>
      <c r="I7" s="13">
        <v>5.87079126520129E-3</v>
      </c>
      <c r="K7" s="119"/>
      <c r="L7" s="116"/>
      <c r="M7" s="99"/>
      <c r="N7" s="99"/>
      <c r="O7" s="99"/>
      <c r="P7" s="99"/>
      <c r="Q7" s="99"/>
      <c r="R7" s="99"/>
      <c r="S7" s="99"/>
      <c r="T7" s="99"/>
    </row>
    <row r="8" spans="1:20" x14ac:dyDescent="0.25">
      <c r="A8" s="159"/>
      <c r="B8" s="12" t="s">
        <v>181</v>
      </c>
      <c r="C8" s="13">
        <v>2.5244003826035952E-2</v>
      </c>
      <c r="D8" s="13">
        <v>0.72586061221027676</v>
      </c>
      <c r="E8" s="13">
        <v>6.6970521474906633E-4</v>
      </c>
      <c r="F8" s="13">
        <v>0.18464803194275684</v>
      </c>
      <c r="G8" s="13">
        <v>6.6178391788947341E-2</v>
      </c>
      <c r="H8" s="13">
        <v>59.520288417238831</v>
      </c>
      <c r="I8" s="13">
        <v>5.9711693283208056E-3</v>
      </c>
      <c r="K8" s="119"/>
      <c r="L8" s="116"/>
      <c r="M8" s="99"/>
      <c r="N8" s="99"/>
      <c r="O8" s="99"/>
      <c r="P8" s="99"/>
      <c r="Q8" s="99"/>
      <c r="R8" s="99"/>
      <c r="S8" s="99"/>
      <c r="T8" s="99"/>
    </row>
    <row r="9" spans="1:20" x14ac:dyDescent="0.25">
      <c r="A9" s="159"/>
      <c r="B9" s="12" t="s">
        <v>182</v>
      </c>
      <c r="C9" s="13">
        <v>4.0336893638497413E-2</v>
      </c>
      <c r="D9" s="13">
        <v>1.1550622204087213</v>
      </c>
      <c r="E9" s="13">
        <v>1.0317483647754638E-3</v>
      </c>
      <c r="F9" s="13">
        <v>0.402121481260656</v>
      </c>
      <c r="G9" s="13">
        <v>0.10379006070058584</v>
      </c>
      <c r="H9" s="13">
        <v>105.11607445800242</v>
      </c>
      <c r="I9" s="13">
        <v>9.3648131187621733E-3</v>
      </c>
      <c r="K9" s="119"/>
      <c r="L9" s="116"/>
      <c r="M9" s="99"/>
      <c r="N9" s="99"/>
      <c r="O9" s="99"/>
      <c r="P9" s="99"/>
      <c r="Q9" s="99"/>
      <c r="R9" s="99"/>
      <c r="S9" s="99"/>
      <c r="T9" s="99"/>
    </row>
    <row r="10" spans="1:20" x14ac:dyDescent="0.25">
      <c r="A10" s="159"/>
      <c r="B10" s="12" t="s">
        <v>183</v>
      </c>
      <c r="C10" s="13">
        <v>6.3070895391913226E-2</v>
      </c>
      <c r="D10" s="13">
        <v>1.8271352034139363</v>
      </c>
      <c r="E10" s="13">
        <v>1.6334111645882291E-3</v>
      </c>
      <c r="F10" s="13">
        <v>0.62146053800405066</v>
      </c>
      <c r="G10" s="13">
        <v>0.16360061921108895</v>
      </c>
      <c r="H10" s="13">
        <v>162.45211987921547</v>
      </c>
      <c r="I10" s="13">
        <v>1.4761417941113899E-2</v>
      </c>
      <c r="K10" s="119"/>
      <c r="L10" s="116"/>
      <c r="M10" s="99"/>
      <c r="N10" s="99"/>
      <c r="O10" s="99"/>
      <c r="P10" s="99"/>
      <c r="Q10" s="99"/>
      <c r="R10" s="99"/>
      <c r="S10" s="99"/>
      <c r="T10" s="99"/>
    </row>
    <row r="11" spans="1:20" x14ac:dyDescent="0.25">
      <c r="A11" s="167"/>
      <c r="B11" s="12" t="s">
        <v>184</v>
      </c>
      <c r="C11" s="13">
        <v>9.3152616900510174E-2</v>
      </c>
      <c r="D11" s="13">
        <v>2.9667547625680761</v>
      </c>
      <c r="E11" s="13">
        <v>2.2181451500109589E-3</v>
      </c>
      <c r="F11" s="13">
        <v>1.0548781528439892</v>
      </c>
      <c r="G11" s="13">
        <v>0.27339190958132426</v>
      </c>
      <c r="H11" s="13">
        <v>220.6072646305698</v>
      </c>
      <c r="I11" s="13">
        <v>2.4667714018573181E-2</v>
      </c>
      <c r="K11" s="119"/>
      <c r="L11" s="116"/>
      <c r="M11" s="99"/>
      <c r="N11" s="99"/>
      <c r="O11" s="99"/>
      <c r="P11" s="99"/>
      <c r="Q11" s="99"/>
      <c r="R11" s="99"/>
      <c r="S11" s="99"/>
      <c r="T11" s="99"/>
    </row>
    <row r="12" spans="1:20" x14ac:dyDescent="0.25">
      <c r="A12" s="167" t="s">
        <v>185</v>
      </c>
      <c r="B12" s="12" t="s">
        <v>186</v>
      </c>
      <c r="C12" s="117">
        <v>2.5791989909756769E-3</v>
      </c>
      <c r="D12" s="117">
        <v>3.5760807966820282E-2</v>
      </c>
      <c r="E12" s="117">
        <v>7.3022281038595316E-5</v>
      </c>
      <c r="F12" s="117">
        <v>2.8653193644653595E-2</v>
      </c>
      <c r="G12" s="117">
        <v>5.6122643975531992E-3</v>
      </c>
      <c r="H12" s="117">
        <v>4.6926824886590905</v>
      </c>
      <c r="I12" s="117">
        <v>5.0638563103340265E-4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</row>
    <row r="13" spans="1:20" x14ac:dyDescent="0.25">
      <c r="A13" s="167"/>
      <c r="B13" s="12" t="s">
        <v>187</v>
      </c>
      <c r="C13" s="117">
        <v>4.0396844264068065E-3</v>
      </c>
      <c r="D13" s="117">
        <v>6.3347615853201075E-2</v>
      </c>
      <c r="E13" s="117">
        <v>9.2018299042390459E-5</v>
      </c>
      <c r="F13" s="117">
        <v>3.1263576668162263E-2</v>
      </c>
      <c r="G13" s="117">
        <v>1.0055394070971795E-2</v>
      </c>
      <c r="H13" s="117">
        <v>7.2523282000776375</v>
      </c>
      <c r="I13" s="117">
        <v>9.0728206974658387E-4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1:20" x14ac:dyDescent="0.25">
      <c r="A14" s="167"/>
      <c r="B14" s="12" t="s">
        <v>188</v>
      </c>
      <c r="C14" s="117">
        <v>1.3062515849022122E-2</v>
      </c>
      <c r="D14" s="117">
        <v>0.1342232926602864</v>
      </c>
      <c r="E14" s="117">
        <v>1.819940499777833E-4</v>
      </c>
      <c r="F14" s="117">
        <v>0.13090289743950206</v>
      </c>
      <c r="G14" s="117">
        <v>4.4439735881982252E-2</v>
      </c>
      <c r="H14" s="117">
        <v>14.078047728038305</v>
      </c>
      <c r="I14" s="117">
        <v>4.0097245659913129E-3</v>
      </c>
    </row>
    <row r="15" spans="1:20" x14ac:dyDescent="0.25">
      <c r="A15" s="167"/>
      <c r="B15" s="12" t="s">
        <v>189</v>
      </c>
      <c r="C15" s="117">
        <v>3.0851111701145351E-2</v>
      </c>
      <c r="D15" s="117">
        <v>0.38156774928257564</v>
      </c>
      <c r="E15" s="117">
        <v>4.1035456022835983E-4</v>
      </c>
      <c r="F15" s="117">
        <v>0.22728284302573223</v>
      </c>
      <c r="G15" s="117">
        <v>5.4786318976010377E-2</v>
      </c>
      <c r="H15" s="117">
        <v>34.981822359876709</v>
      </c>
      <c r="I15" s="117">
        <v>4.9432823174224922E-3</v>
      </c>
    </row>
    <row r="16" spans="1:20" x14ac:dyDescent="0.25">
      <c r="A16" s="167"/>
      <c r="B16" s="12" t="s">
        <v>190</v>
      </c>
      <c r="C16" s="117">
        <v>2.946772219347344E-2</v>
      </c>
      <c r="D16" s="117">
        <v>0.58585783879604747</v>
      </c>
      <c r="E16" s="117">
        <v>7.2001003206292804E-4</v>
      </c>
      <c r="F16" s="117">
        <v>0.34194505152787563</v>
      </c>
      <c r="G16" s="117">
        <v>6.2728260565419997E-2</v>
      </c>
      <c r="H16" s="117">
        <v>63.991143039707573</v>
      </c>
      <c r="I16" s="117">
        <v>5.6598700101108852E-3</v>
      </c>
    </row>
    <row r="17" spans="1:19" x14ac:dyDescent="0.25">
      <c r="A17" s="167"/>
      <c r="B17" s="12" t="s">
        <v>191</v>
      </c>
      <c r="C17" s="117">
        <v>1.9306499236409109E-2</v>
      </c>
      <c r="D17" s="117">
        <v>0.74004715098457818</v>
      </c>
      <c r="E17" s="117">
        <v>9.6001348990710546E-4</v>
      </c>
      <c r="F17" s="117">
        <v>0.16018936745394929</v>
      </c>
      <c r="G17" s="117">
        <v>5.1040747473159148E-2</v>
      </c>
      <c r="H17" s="117">
        <v>85.321506353804182</v>
      </c>
      <c r="I17" s="117">
        <v>4.605325170613522E-3</v>
      </c>
    </row>
    <row r="18" spans="1:19" x14ac:dyDescent="0.25">
      <c r="A18" s="167"/>
      <c r="B18" s="12" t="s">
        <v>192</v>
      </c>
      <c r="C18" s="117">
        <v>2.9897011769604534E-2</v>
      </c>
      <c r="D18" s="117">
        <v>1.0130508339332434</v>
      </c>
      <c r="E18" s="117">
        <v>1.3859934852064671E-3</v>
      </c>
      <c r="F18" s="117">
        <v>0.25755127568625708</v>
      </c>
      <c r="G18" s="117">
        <v>7.3833362127154634E-2</v>
      </c>
      <c r="H18" s="117">
        <v>141.20705497648558</v>
      </c>
      <c r="I18" s="117">
        <v>6.661865284285343E-3</v>
      </c>
    </row>
    <row r="19" spans="1:19" x14ac:dyDescent="0.25">
      <c r="A19" s="167"/>
      <c r="B19" s="12" t="s">
        <v>193</v>
      </c>
      <c r="C19" s="117">
        <v>6.0886904220685642E-2</v>
      </c>
      <c r="D19" s="117">
        <v>2.1112401581673721</v>
      </c>
      <c r="E19" s="117">
        <v>2.8052818432272274E-3</v>
      </c>
      <c r="F19" s="117">
        <v>0.50888816285399285</v>
      </c>
      <c r="G19" s="117">
        <v>0.15275595789289884</v>
      </c>
      <c r="H19" s="117">
        <v>279.00134344884452</v>
      </c>
      <c r="I19" s="117">
        <v>1.3782928153778826E-2</v>
      </c>
    </row>
    <row r="20" spans="1:19" x14ac:dyDescent="0.25">
      <c r="A20" s="167"/>
      <c r="B20" s="12" t="s">
        <v>194</v>
      </c>
      <c r="C20" s="117">
        <v>0.1120645797775885</v>
      </c>
      <c r="D20" s="117">
        <v>4.4823794280044851</v>
      </c>
      <c r="E20" s="117">
        <v>4.2336581857762489E-3</v>
      </c>
      <c r="F20" s="117">
        <v>0.87715938371183566</v>
      </c>
      <c r="G20" s="117">
        <v>0.31800275548668488</v>
      </c>
      <c r="H20" s="117">
        <v>421.06153713174876</v>
      </c>
      <c r="I20" s="117">
        <v>2.869288165249315E-2</v>
      </c>
    </row>
    <row r="21" spans="1:19" s="49" customFormat="1" x14ac:dyDescent="0.25">
      <c r="A21" s="168" t="s">
        <v>88</v>
      </c>
      <c r="B21" s="50" t="s">
        <v>89</v>
      </c>
      <c r="C21" s="97">
        <v>3.9890165496478201E-3</v>
      </c>
      <c r="D21" s="97">
        <v>6.1369251319822266E-2</v>
      </c>
      <c r="E21" s="97">
        <v>9.4616446621996876E-5</v>
      </c>
      <c r="F21" s="97">
        <v>3.0704922620167548E-2</v>
      </c>
      <c r="G21" s="97">
        <v>9.325230578523698E-3</v>
      </c>
      <c r="H21" s="97">
        <v>7.4570981157761267</v>
      </c>
      <c r="I21" s="97">
        <v>8.4140057334345904E-4</v>
      </c>
    </row>
    <row r="22" spans="1:19" s="49" customFormat="1" x14ac:dyDescent="0.25">
      <c r="A22" s="169"/>
      <c r="B22" s="50" t="s">
        <v>90</v>
      </c>
      <c r="C22" s="97">
        <v>1.5482138027073926E-2</v>
      </c>
      <c r="D22" s="97">
        <v>0.12602279653815557</v>
      </c>
      <c r="E22" s="97">
        <v>1.4669823419588148E-4</v>
      </c>
      <c r="F22" s="97">
        <v>0.15992567973540345</v>
      </c>
      <c r="G22" s="97">
        <v>6.8514240153494874E-2</v>
      </c>
      <c r="H22" s="97">
        <v>11.347760681124397</v>
      </c>
      <c r="I22" s="97">
        <v>6.1819292303150449E-3</v>
      </c>
      <c r="L22" s="96"/>
      <c r="M22" s="16"/>
      <c r="N22" s="16"/>
      <c r="O22" s="16"/>
      <c r="P22" s="16"/>
      <c r="Q22" s="16"/>
      <c r="R22" s="16"/>
      <c r="S22" s="16"/>
    </row>
    <row r="23" spans="1:19" s="49" customFormat="1" x14ac:dyDescent="0.25">
      <c r="A23" s="169"/>
      <c r="B23" s="50" t="s">
        <v>91</v>
      </c>
      <c r="C23" s="97">
        <v>4.3689955953397884E-2</v>
      </c>
      <c r="D23" s="97">
        <v>0.46744735992116221</v>
      </c>
      <c r="E23" s="97">
        <v>3.9173850602458582E-4</v>
      </c>
      <c r="F23" s="97">
        <v>0.24966648844319658</v>
      </c>
      <c r="G23" s="97">
        <v>8.1017998911048009E-2</v>
      </c>
      <c r="H23" s="97">
        <v>33.394826528703661</v>
      </c>
      <c r="I23" s="97">
        <v>7.3101241308548672E-3</v>
      </c>
      <c r="L23" s="96"/>
      <c r="M23" s="16"/>
      <c r="N23" s="16"/>
      <c r="O23" s="16"/>
      <c r="P23" s="16"/>
      <c r="Q23" s="16"/>
      <c r="R23" s="16"/>
      <c r="S23" s="16"/>
    </row>
    <row r="24" spans="1:19" s="49" customFormat="1" x14ac:dyDescent="0.25">
      <c r="A24" s="169"/>
      <c r="B24" s="50" t="s">
        <v>92</v>
      </c>
      <c r="C24" s="97">
        <v>3.6023154684608628E-2</v>
      </c>
      <c r="D24" s="97">
        <v>0.63034815463312366</v>
      </c>
      <c r="E24" s="97">
        <v>5.7274397999067218E-4</v>
      </c>
      <c r="F24" s="97">
        <v>0.30652652990664653</v>
      </c>
      <c r="G24" s="97">
        <v>8.1297557226803041E-2</v>
      </c>
      <c r="H24" s="97">
        <v>50.902804870404331</v>
      </c>
      <c r="I24" s="97">
        <v>7.3353490732738606E-3</v>
      </c>
      <c r="L24" s="99"/>
      <c r="M24" s="99"/>
      <c r="N24" s="99"/>
      <c r="O24" s="99"/>
      <c r="P24" s="99"/>
      <c r="Q24" s="99"/>
      <c r="R24" s="99"/>
      <c r="S24" s="99"/>
    </row>
    <row r="25" spans="1:19" s="49" customFormat="1" x14ac:dyDescent="0.25">
      <c r="A25" s="169"/>
      <c r="B25" s="50" t="s">
        <v>93</v>
      </c>
      <c r="C25" s="97">
        <v>2.9088427954342536E-2</v>
      </c>
      <c r="D25" s="97">
        <v>0.84182054273419638</v>
      </c>
      <c r="E25" s="97">
        <v>8.0986730271663749E-4</v>
      </c>
      <c r="F25" s="97">
        <v>0.21055843242538708</v>
      </c>
      <c r="G25" s="97">
        <v>7.8277754706101627E-2</v>
      </c>
      <c r="H25" s="97">
        <v>71.977225347554125</v>
      </c>
      <c r="I25" s="97">
        <v>7.0628741220007361E-3</v>
      </c>
      <c r="L25" s="99"/>
      <c r="M25" s="99"/>
      <c r="N25" s="99"/>
      <c r="O25" s="99"/>
      <c r="P25" s="99"/>
      <c r="Q25" s="99"/>
      <c r="R25" s="99"/>
      <c r="S25" s="99"/>
    </row>
    <row r="26" spans="1:19" s="49" customFormat="1" x14ac:dyDescent="0.25">
      <c r="A26" s="169"/>
      <c r="B26" s="50" t="s">
        <v>94</v>
      </c>
      <c r="C26" s="13">
        <v>3.8897927506608358E-2</v>
      </c>
      <c r="D26" s="13">
        <v>1.0799749312549003</v>
      </c>
      <c r="E26" s="13">
        <v>1.0406255490298018E-3</v>
      </c>
      <c r="F26" s="13">
        <v>0.34712417522482392</v>
      </c>
      <c r="G26" s="13">
        <v>0.1040828387327908</v>
      </c>
      <c r="H26" s="13">
        <v>106.02050023214386</v>
      </c>
      <c r="I26" s="13">
        <v>9.3912260611923714E-3</v>
      </c>
      <c r="L26" s="99"/>
      <c r="M26" s="99"/>
      <c r="N26" s="99"/>
      <c r="O26" s="99"/>
      <c r="P26" s="99"/>
      <c r="Q26" s="99"/>
      <c r="R26" s="99"/>
      <c r="S26" s="99"/>
    </row>
    <row r="27" spans="1:19" s="49" customFormat="1" x14ac:dyDescent="0.25">
      <c r="A27" s="170"/>
      <c r="B27" s="50" t="s">
        <v>95</v>
      </c>
      <c r="C27" s="13">
        <v>6.5509575064624348E-2</v>
      </c>
      <c r="D27" s="13">
        <v>1.848764979398662</v>
      </c>
      <c r="E27" s="13">
        <v>1.7668986494167919E-3</v>
      </c>
      <c r="F27" s="13">
        <v>0.57357271429451673</v>
      </c>
      <c r="G27" s="13">
        <v>0.17421540945270575</v>
      </c>
      <c r="H27" s="13">
        <v>175.7281803441501</v>
      </c>
      <c r="I27" s="13">
        <v>1.5719177508701557E-2</v>
      </c>
      <c r="L27" s="99"/>
      <c r="M27" s="99"/>
      <c r="N27" s="99"/>
      <c r="O27" s="99"/>
      <c r="P27" s="99"/>
      <c r="Q27" s="99"/>
      <c r="R27" s="99"/>
      <c r="S27" s="99"/>
    </row>
    <row r="28" spans="1:19" x14ac:dyDescent="0.25">
      <c r="A28" s="166" t="s">
        <v>25</v>
      </c>
      <c r="B28" s="15" t="s">
        <v>26</v>
      </c>
      <c r="C28" s="97">
        <v>4.1647481574952775E-3</v>
      </c>
      <c r="D28" s="97">
        <v>6.5318933034944765E-2</v>
      </c>
      <c r="E28" s="97">
        <v>9.7431139391112798E-5</v>
      </c>
      <c r="F28" s="97">
        <v>3.2117661168667613E-2</v>
      </c>
      <c r="G28" s="97">
        <v>1.0013560541894806E-2</v>
      </c>
      <c r="H28" s="97">
        <v>7.6789363702976381</v>
      </c>
      <c r="I28" s="97">
        <v>9.0350737078986789E-4</v>
      </c>
      <c r="J28" s="16"/>
      <c r="K28" s="16"/>
      <c r="L28" s="98"/>
      <c r="M28" s="99"/>
      <c r="N28" s="99"/>
      <c r="O28" s="99"/>
      <c r="P28" s="99"/>
      <c r="Q28" s="99"/>
      <c r="R28" s="99"/>
      <c r="S28" s="99"/>
    </row>
    <row r="29" spans="1:19" x14ac:dyDescent="0.25">
      <c r="A29" s="159"/>
      <c r="B29" s="15" t="s">
        <v>27</v>
      </c>
      <c r="C29" s="97">
        <v>1.9389461005136124E-2</v>
      </c>
      <c r="D29" s="97">
        <v>0.15850781980120351</v>
      </c>
      <c r="E29" s="97">
        <v>1.8265581631205882E-4</v>
      </c>
      <c r="F29" s="97">
        <v>0.19953638186759515</v>
      </c>
      <c r="G29" s="97">
        <v>8.7889870552575564E-2</v>
      </c>
      <c r="H29" s="97">
        <v>14.129238189499569</v>
      </c>
      <c r="I29" s="97">
        <v>7.9301638618412291E-3</v>
      </c>
      <c r="L29" s="99"/>
      <c r="M29" s="99"/>
      <c r="N29" s="99"/>
      <c r="O29" s="99"/>
      <c r="P29" s="99"/>
      <c r="Q29" s="99"/>
      <c r="R29" s="99"/>
      <c r="S29" s="99"/>
    </row>
    <row r="30" spans="1:19" x14ac:dyDescent="0.25">
      <c r="A30" s="159"/>
      <c r="B30" s="15" t="s">
        <v>28</v>
      </c>
      <c r="C30" s="97">
        <v>3.5159649405128737E-2</v>
      </c>
      <c r="D30" s="97">
        <v>0.39013010201093185</v>
      </c>
      <c r="E30" s="97">
        <v>3.1347091665644508E-4</v>
      </c>
      <c r="F30" s="97">
        <v>0.2004419223709539</v>
      </c>
      <c r="G30" s="97">
        <v>6.7138814469940591E-2</v>
      </c>
      <c r="H30" s="97">
        <v>26.722695910514073</v>
      </c>
      <c r="I30" s="97">
        <v>6.0578280967871325E-3</v>
      </c>
      <c r="L30" s="99"/>
      <c r="M30" s="99"/>
      <c r="N30" s="99"/>
      <c r="O30" s="99"/>
      <c r="P30" s="99"/>
      <c r="Q30" s="99"/>
      <c r="R30" s="99"/>
      <c r="S30" s="99"/>
    </row>
    <row r="31" spans="1:19" x14ac:dyDescent="0.25">
      <c r="A31" s="159"/>
      <c r="B31" s="15" t="s">
        <v>29</v>
      </c>
      <c r="C31" s="97">
        <v>3.4873730864910753E-2</v>
      </c>
      <c r="D31" s="97">
        <v>0.62819014565488085</v>
      </c>
      <c r="E31" s="97">
        <v>5.4259968788077681E-4</v>
      </c>
      <c r="F31" s="97">
        <v>0.29143683660988179</v>
      </c>
      <c r="G31" s="97">
        <v>7.9806989940830519E-2</v>
      </c>
      <c r="H31" s="97">
        <v>48.223729179933819</v>
      </c>
      <c r="I31" s="97">
        <v>7.2008552575325378E-3</v>
      </c>
      <c r="L31" s="99"/>
      <c r="M31" s="99"/>
      <c r="N31" s="99"/>
      <c r="O31" s="99"/>
      <c r="P31" s="99"/>
      <c r="Q31" s="99"/>
      <c r="R31" s="99"/>
      <c r="S31" s="99"/>
    </row>
    <row r="32" spans="1:19" x14ac:dyDescent="0.25">
      <c r="A32" s="159"/>
      <c r="B32" s="15" t="s">
        <v>30</v>
      </c>
      <c r="C32" s="13">
        <v>3.101083119228833E-2</v>
      </c>
      <c r="D32" s="13">
        <v>0.83698143551687265</v>
      </c>
      <c r="E32" s="13">
        <v>7.6033040375300068E-4</v>
      </c>
      <c r="F32" s="13">
        <v>0.22495851814724077</v>
      </c>
      <c r="G32" s="13">
        <v>8.0781384871570633E-2</v>
      </c>
      <c r="H32" s="13">
        <v>67.57462749683539</v>
      </c>
      <c r="I32" s="13">
        <v>7.2887737155482657E-3</v>
      </c>
      <c r="S32" s="99"/>
    </row>
    <row r="33" spans="1:9" x14ac:dyDescent="0.25">
      <c r="A33" s="159"/>
      <c r="B33" s="15" t="s">
        <v>31</v>
      </c>
      <c r="C33" s="13">
        <v>4.4312637095619792E-2</v>
      </c>
      <c r="D33" s="13">
        <v>1.1811178567160983</v>
      </c>
      <c r="E33" s="13">
        <v>1.0551972934755545E-3</v>
      </c>
      <c r="F33" s="13">
        <v>0.44023160723795168</v>
      </c>
      <c r="G33" s="13">
        <v>0.11468313954524458</v>
      </c>
      <c r="H33" s="13">
        <v>107.50511325477065</v>
      </c>
      <c r="I33" s="13">
        <v>1.0347677695252593E-2</v>
      </c>
    </row>
    <row r="34" spans="1:9" x14ac:dyDescent="0.25">
      <c r="A34" s="159"/>
      <c r="B34" s="15" t="s">
        <v>32</v>
      </c>
      <c r="C34" s="13">
        <v>9.1699292295937748E-2</v>
      </c>
      <c r="D34" s="13">
        <v>2.4816495823931239</v>
      </c>
      <c r="E34" s="13">
        <v>2.2143711863278365E-3</v>
      </c>
      <c r="F34" s="13">
        <v>0.8977989810489746</v>
      </c>
      <c r="G34" s="13">
        <v>0.2376690359121682</v>
      </c>
      <c r="H34" s="13">
        <v>220.23193257962103</v>
      </c>
      <c r="I34" s="13">
        <v>2.1444490325478866E-2</v>
      </c>
    </row>
    <row r="35" spans="1:9" x14ac:dyDescent="0.25">
      <c r="A35" s="159"/>
      <c r="B35" s="15" t="s">
        <v>33</v>
      </c>
      <c r="C35" s="13">
        <v>0.11281698418835924</v>
      </c>
      <c r="D35" s="13">
        <v>3.6320533542247149</v>
      </c>
      <c r="E35" s="13">
        <v>2.708513011176045E-3</v>
      </c>
      <c r="F35" s="13">
        <v>1.2834306373108464</v>
      </c>
      <c r="G35" s="13">
        <v>0.33188731556128104</v>
      </c>
      <c r="H35" s="13">
        <v>269.37717766866973</v>
      </c>
      <c r="I35" s="13">
        <v>2.9945664738985911E-2</v>
      </c>
    </row>
    <row r="37" spans="1:9" x14ac:dyDescent="0.25">
      <c r="A37" s="171" t="s">
        <v>21</v>
      </c>
      <c r="B37" s="174"/>
      <c r="C37" s="175"/>
      <c r="D37" s="175"/>
      <c r="E37" s="176"/>
    </row>
    <row r="38" spans="1:9" x14ac:dyDescent="0.25">
      <c r="A38" s="172"/>
      <c r="B38" s="177"/>
      <c r="C38" s="178"/>
      <c r="D38" s="178"/>
      <c r="E38" s="179"/>
    </row>
    <row r="39" spans="1:9" x14ac:dyDescent="0.25">
      <c r="A39" s="172"/>
      <c r="B39" s="180"/>
      <c r="C39" s="181"/>
      <c r="D39" s="181"/>
      <c r="E39" s="182"/>
    </row>
    <row r="40" spans="1:9" x14ac:dyDescent="0.25">
      <c r="A40" s="172"/>
      <c r="B40" s="183" t="s">
        <v>22</v>
      </c>
      <c r="C40" s="184"/>
      <c r="D40" s="184"/>
      <c r="E40" s="185"/>
    </row>
    <row r="41" spans="1:9" x14ac:dyDescent="0.25">
      <c r="A41" s="172"/>
      <c r="B41" s="186"/>
      <c r="C41" s="187"/>
      <c r="D41" s="187"/>
      <c r="E41" s="188"/>
    </row>
    <row r="42" spans="1:9" x14ac:dyDescent="0.25">
      <c r="A42" s="172"/>
      <c r="B42" s="186"/>
      <c r="C42" s="187"/>
      <c r="D42" s="187"/>
      <c r="E42" s="188"/>
    </row>
    <row r="43" spans="1:9" x14ac:dyDescent="0.25">
      <c r="A43" s="173"/>
      <c r="B43" s="189"/>
      <c r="C43" s="190"/>
      <c r="D43" s="190"/>
      <c r="E43" s="191"/>
    </row>
    <row r="45" spans="1:9" x14ac:dyDescent="0.25">
      <c r="A45" s="2" t="s">
        <v>156</v>
      </c>
    </row>
    <row r="46" spans="1:9" x14ac:dyDescent="0.25">
      <c r="A46" s="2" t="s">
        <v>157</v>
      </c>
    </row>
    <row r="48" spans="1:9" x14ac:dyDescent="0.25">
      <c r="A48" s="2" t="s">
        <v>211</v>
      </c>
      <c r="B48" s="30">
        <v>0.85299999999999998</v>
      </c>
      <c r="C48" s="164" t="s">
        <v>212</v>
      </c>
      <c r="D48" s="164"/>
      <c r="E48" s="164"/>
      <c r="F48" s="165"/>
    </row>
    <row r="49" spans="1:6" x14ac:dyDescent="0.25">
      <c r="A49" s="2" t="s">
        <v>213</v>
      </c>
      <c r="B49" s="131">
        <v>500</v>
      </c>
      <c r="C49" s="132" t="s">
        <v>214</v>
      </c>
      <c r="D49" s="133" t="s">
        <v>4</v>
      </c>
      <c r="E49" s="133" t="s">
        <v>115</v>
      </c>
      <c r="F49" s="133" t="s">
        <v>2</v>
      </c>
    </row>
    <row r="50" spans="1:6" x14ac:dyDescent="0.25">
      <c r="A50" s="2" t="s">
        <v>215</v>
      </c>
      <c r="B50" s="30">
        <v>234</v>
      </c>
      <c r="C50" s="134">
        <v>0.14000000000000001</v>
      </c>
      <c r="D50" s="134">
        <v>0.59</v>
      </c>
      <c r="E50" s="134">
        <v>4.6399999999999997</v>
      </c>
      <c r="F50" s="134">
        <v>0.06</v>
      </c>
    </row>
    <row r="57" spans="1:6" x14ac:dyDescent="0.25">
      <c r="A57" s="1"/>
    </row>
    <row r="58" spans="1:6" x14ac:dyDescent="0.25">
      <c r="A58" s="1"/>
      <c r="B58" s="116"/>
    </row>
  </sheetData>
  <sheetProtection password="B056" sheet="1" objects="1" scenarios="1"/>
  <mergeCells count="8">
    <mergeCell ref="C48:F48"/>
    <mergeCell ref="A3:A11"/>
    <mergeCell ref="A12:A20"/>
    <mergeCell ref="A21:A27"/>
    <mergeCell ref="A37:A43"/>
    <mergeCell ref="B37:E39"/>
    <mergeCell ref="B40:E43"/>
    <mergeCell ref="A28:A35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5" sqref="D15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192" t="s">
        <v>39</v>
      </c>
      <c r="B1" s="193"/>
      <c r="C1" s="193"/>
      <c r="D1" s="193"/>
    </row>
    <row r="2" spans="1:5" x14ac:dyDescent="0.25">
      <c r="A2" s="11"/>
      <c r="B2" s="11" t="s">
        <v>2</v>
      </c>
      <c r="C2" s="11" t="s">
        <v>35</v>
      </c>
      <c r="D2" s="11" t="s">
        <v>36</v>
      </c>
    </row>
    <row r="3" spans="1:5" x14ac:dyDescent="0.25">
      <c r="A3" s="10" t="s">
        <v>37</v>
      </c>
      <c r="B3" s="20">
        <v>0.74</v>
      </c>
      <c r="C3" s="20">
        <v>0.35</v>
      </c>
      <c r="D3" s="20">
        <v>5.2999999999999999E-2</v>
      </c>
    </row>
    <row r="5" spans="1:5" x14ac:dyDescent="0.25">
      <c r="A5" s="171" t="s">
        <v>21</v>
      </c>
      <c r="B5" s="21"/>
      <c r="C5" s="22"/>
      <c r="D5" s="22"/>
      <c r="E5" s="27"/>
    </row>
    <row r="6" spans="1:5" x14ac:dyDescent="0.25">
      <c r="A6" s="172"/>
      <c r="B6" s="23"/>
      <c r="C6" s="24"/>
      <c r="D6" s="24"/>
      <c r="E6" s="27"/>
    </row>
    <row r="7" spans="1:5" x14ac:dyDescent="0.25">
      <c r="A7" s="172"/>
      <c r="B7" s="25"/>
      <c r="C7" s="26"/>
      <c r="D7" s="26"/>
      <c r="E7" s="27"/>
    </row>
    <row r="8" spans="1:5" ht="15" customHeight="1" x14ac:dyDescent="0.25">
      <c r="A8" s="172"/>
      <c r="B8" s="183" t="s">
        <v>38</v>
      </c>
      <c r="C8" s="184"/>
      <c r="D8" s="184"/>
      <c r="E8" s="28"/>
    </row>
    <row r="9" spans="1:5" x14ac:dyDescent="0.25">
      <c r="A9" s="172"/>
      <c r="B9" s="186"/>
      <c r="C9" s="187"/>
      <c r="D9" s="187"/>
      <c r="E9" s="28"/>
    </row>
    <row r="10" spans="1:5" ht="17.25" customHeight="1" x14ac:dyDescent="0.25">
      <c r="A10" s="172"/>
      <c r="B10" s="186"/>
      <c r="C10" s="187"/>
      <c r="D10" s="187"/>
      <c r="E10" s="28"/>
    </row>
    <row r="11" spans="1:5" ht="19.5" customHeight="1" x14ac:dyDescent="0.25">
      <c r="A11" s="173"/>
      <c r="B11" s="189"/>
      <c r="C11" s="190"/>
      <c r="D11" s="190"/>
      <c r="E11" s="28"/>
    </row>
  </sheetData>
  <sheetProtection password="B056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"/>
    </sheetView>
  </sheetViews>
  <sheetFormatPr defaultRowHeight="15" x14ac:dyDescent="0.25"/>
  <cols>
    <col min="1" max="1" width="24.42578125" customWidth="1"/>
    <col min="2" max="5" width="20.42578125" customWidth="1"/>
    <col min="6" max="6" width="20.85546875" customWidth="1"/>
    <col min="7" max="7" width="18.42578125" customWidth="1"/>
  </cols>
  <sheetData>
    <row r="1" spans="1:7" x14ac:dyDescent="0.25">
      <c r="A1" s="2" t="s">
        <v>132</v>
      </c>
    </row>
    <row r="2" spans="1:7" x14ac:dyDescent="0.25">
      <c r="A2" s="194" t="s">
        <v>133</v>
      </c>
      <c r="B2" s="195"/>
      <c r="C2" s="195"/>
      <c r="D2" s="195"/>
      <c r="E2" s="195"/>
      <c r="F2" s="195"/>
      <c r="G2" s="195"/>
    </row>
    <row r="3" spans="1:7" ht="15" customHeight="1" x14ac:dyDescent="0.25">
      <c r="A3" s="157" t="s">
        <v>134</v>
      </c>
      <c r="B3" s="157"/>
      <c r="C3" s="157"/>
      <c r="D3" s="157"/>
      <c r="E3" s="157"/>
      <c r="F3" s="157"/>
      <c r="G3" s="157"/>
    </row>
    <row r="4" spans="1:7" x14ac:dyDescent="0.25">
      <c r="A4" s="74" t="s">
        <v>116</v>
      </c>
      <c r="B4" s="75" t="s">
        <v>2</v>
      </c>
      <c r="C4" s="75" t="s">
        <v>139</v>
      </c>
      <c r="D4" s="75" t="s">
        <v>35</v>
      </c>
      <c r="E4" s="75" t="s">
        <v>139</v>
      </c>
      <c r="F4" s="75" t="s">
        <v>126</v>
      </c>
      <c r="G4" s="75" t="s">
        <v>139</v>
      </c>
    </row>
    <row r="5" spans="1:7" x14ac:dyDescent="0.25">
      <c r="A5" s="88" t="s">
        <v>135</v>
      </c>
      <c r="B5" s="89">
        <v>2.7000000000000001E-3</v>
      </c>
      <c r="C5" s="89" t="s">
        <v>140</v>
      </c>
      <c r="D5" s="89">
        <v>1.1999999999999999E-3</v>
      </c>
      <c r="E5" s="89" t="s">
        <v>141</v>
      </c>
      <c r="F5" s="89" t="s">
        <v>118</v>
      </c>
      <c r="G5" s="55"/>
    </row>
    <row r="6" spans="1:7" x14ac:dyDescent="0.25">
      <c r="A6" s="18" t="s">
        <v>136</v>
      </c>
      <c r="B6" s="80">
        <v>5.9999999999999995E-4</v>
      </c>
      <c r="C6" s="80" t="s">
        <v>140</v>
      </c>
      <c r="D6" s="80">
        <v>2.7E-4</v>
      </c>
      <c r="E6" s="80" t="s">
        <v>141</v>
      </c>
      <c r="F6" s="80">
        <v>5.0000000000000002E-5</v>
      </c>
      <c r="G6" s="30" t="s">
        <v>140</v>
      </c>
    </row>
    <row r="7" spans="1:7" x14ac:dyDescent="0.25">
      <c r="A7" s="67" t="s">
        <v>117</v>
      </c>
      <c r="B7" s="76">
        <v>1.2500000000000001E-2</v>
      </c>
      <c r="C7" s="76" t="s">
        <v>140</v>
      </c>
      <c r="D7" s="76">
        <v>4.3E-3</v>
      </c>
      <c r="E7" s="76" t="s">
        <v>141</v>
      </c>
      <c r="F7" s="76" t="s">
        <v>118</v>
      </c>
      <c r="G7" s="55"/>
    </row>
    <row r="8" spans="1:7" x14ac:dyDescent="0.25">
      <c r="A8" s="2" t="s">
        <v>137</v>
      </c>
      <c r="B8" s="30">
        <v>1.1000000000000001E-3</v>
      </c>
      <c r="C8" s="30" t="s">
        <v>140</v>
      </c>
      <c r="D8" s="30">
        <v>3.6999999999999999E-4</v>
      </c>
      <c r="E8" s="30" t="s">
        <v>141</v>
      </c>
      <c r="F8" s="77">
        <v>2.5000000000000001E-5</v>
      </c>
      <c r="G8" s="30" t="s">
        <v>140</v>
      </c>
    </row>
    <row r="9" spans="1:7" x14ac:dyDescent="0.25">
      <c r="A9" s="2"/>
      <c r="B9" s="1"/>
      <c r="C9" s="1"/>
      <c r="D9" s="1"/>
      <c r="E9" s="1"/>
    </row>
    <row r="10" spans="1:7" x14ac:dyDescent="0.25">
      <c r="D10" s="100"/>
    </row>
    <row r="11" spans="1:7" x14ac:dyDescent="0.25">
      <c r="D11" s="100"/>
    </row>
    <row r="13" spans="1:7" x14ac:dyDescent="0.25">
      <c r="F13" s="100"/>
    </row>
    <row r="15" spans="1:7" x14ac:dyDescent="0.25">
      <c r="D15" s="101"/>
      <c r="F15" s="100"/>
    </row>
    <row r="16" spans="1:7" x14ac:dyDescent="0.25">
      <c r="D16" s="101"/>
      <c r="F16" s="100"/>
    </row>
  </sheetData>
  <sheetProtection password="B056" sheet="1" objects="1" scenarios="1"/>
  <mergeCells count="2">
    <mergeCell ref="A3:G3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opLeftCell="A4" workbookViewId="0">
      <selection activeCell="F22" sqref="F22"/>
    </sheetView>
  </sheetViews>
  <sheetFormatPr defaultRowHeight="15" x14ac:dyDescent="0.25"/>
  <cols>
    <col min="1" max="4" width="13.42578125" customWidth="1"/>
    <col min="6" max="6" width="12.140625" customWidth="1"/>
    <col min="7" max="7" width="12.85546875" customWidth="1"/>
    <col min="8" max="8" width="17.7109375" customWidth="1"/>
    <col min="9" max="10" width="12.140625" customWidth="1"/>
  </cols>
  <sheetData>
    <row r="1" spans="1:10" x14ac:dyDescent="0.25">
      <c r="A1" s="2" t="s">
        <v>45</v>
      </c>
      <c r="B1" s="2"/>
      <c r="C1" s="2"/>
      <c r="D1" s="2"/>
    </row>
    <row r="2" spans="1:10" x14ac:dyDescent="0.25">
      <c r="A2" s="161" t="s">
        <v>46</v>
      </c>
      <c r="B2" s="161"/>
      <c r="C2" s="161"/>
      <c r="D2" s="161"/>
      <c r="F2" s="160" t="s">
        <v>61</v>
      </c>
      <c r="G2" s="160"/>
      <c r="H2" s="160"/>
      <c r="I2" s="160"/>
      <c r="J2" s="160"/>
    </row>
    <row r="3" spans="1:10" ht="27.75" customHeight="1" x14ac:dyDescent="0.25">
      <c r="A3" s="156" t="s">
        <v>47</v>
      </c>
      <c r="B3" s="156"/>
      <c r="C3" s="156"/>
      <c r="D3" s="156"/>
      <c r="F3" s="127" t="s">
        <v>62</v>
      </c>
      <c r="G3" s="128" t="s">
        <v>63</v>
      </c>
      <c r="H3" s="128" t="s">
        <v>64</v>
      </c>
      <c r="I3" s="127" t="s">
        <v>65</v>
      </c>
      <c r="J3" s="127" t="s">
        <v>66</v>
      </c>
    </row>
    <row r="4" spans="1:10" x14ac:dyDescent="0.25">
      <c r="A4" s="196" t="s">
        <v>48</v>
      </c>
      <c r="B4" s="196" t="s">
        <v>49</v>
      </c>
      <c r="C4" s="196"/>
      <c r="D4" s="196"/>
      <c r="F4" s="129" t="s">
        <v>67</v>
      </c>
      <c r="G4" s="129">
        <v>0</v>
      </c>
      <c r="H4" s="129">
        <v>0</v>
      </c>
      <c r="I4" s="129">
        <v>31</v>
      </c>
      <c r="J4" s="44">
        <f>(I4-H4)/I4</f>
        <v>1</v>
      </c>
    </row>
    <row r="5" spans="1:10" x14ac:dyDescent="0.25">
      <c r="A5" s="196"/>
      <c r="B5" s="37" t="s">
        <v>50</v>
      </c>
      <c r="C5" s="37" t="s">
        <v>51</v>
      </c>
      <c r="D5" s="37" t="s">
        <v>52</v>
      </c>
      <c r="F5" s="129" t="s">
        <v>68</v>
      </c>
      <c r="G5" s="129">
        <v>52</v>
      </c>
      <c r="H5" s="129">
        <v>7</v>
      </c>
      <c r="I5" s="129">
        <v>28</v>
      </c>
      <c r="J5" s="44">
        <f t="shared" ref="J5:J15" si="0">(I5-H5)/I5</f>
        <v>0.75</v>
      </c>
    </row>
    <row r="6" spans="1:10" x14ac:dyDescent="0.25">
      <c r="A6" s="38" t="s">
        <v>53</v>
      </c>
      <c r="B6" s="38">
        <v>0.15</v>
      </c>
      <c r="C6" s="38">
        <v>1.5</v>
      </c>
      <c r="D6" s="38">
        <v>4.9000000000000004</v>
      </c>
      <c r="F6" s="129" t="s">
        <v>69</v>
      </c>
      <c r="G6" s="129">
        <v>69</v>
      </c>
      <c r="H6" s="129">
        <v>7</v>
      </c>
      <c r="I6" s="129">
        <v>31</v>
      </c>
      <c r="J6" s="44">
        <f t="shared" si="0"/>
        <v>0.77419354838709675</v>
      </c>
    </row>
    <row r="7" spans="1:10" x14ac:dyDescent="0.25">
      <c r="A7" s="38" t="s">
        <v>54</v>
      </c>
      <c r="B7" s="38">
        <v>0.9</v>
      </c>
      <c r="C7" s="38">
        <v>0.9</v>
      </c>
      <c r="D7" s="38">
        <v>0.7</v>
      </c>
      <c r="F7" s="129" t="s">
        <v>70</v>
      </c>
      <c r="G7" s="129">
        <v>44</v>
      </c>
      <c r="H7" s="129">
        <v>8</v>
      </c>
      <c r="I7" s="129">
        <v>30</v>
      </c>
      <c r="J7" s="44">
        <f t="shared" si="0"/>
        <v>0.73333333333333328</v>
      </c>
    </row>
    <row r="8" spans="1:10" x14ac:dyDescent="0.25">
      <c r="A8" s="38" t="s">
        <v>55</v>
      </c>
      <c r="B8" s="38">
        <v>0.45</v>
      </c>
      <c r="C8" s="38">
        <v>0.45</v>
      </c>
      <c r="D8" s="38">
        <v>0.45</v>
      </c>
      <c r="F8" s="129" t="s">
        <v>71</v>
      </c>
      <c r="G8" s="129">
        <v>185.8</v>
      </c>
      <c r="H8" s="129">
        <v>16</v>
      </c>
      <c r="I8" s="129">
        <v>31</v>
      </c>
      <c r="J8" s="44">
        <f t="shared" si="0"/>
        <v>0.4838709677419355</v>
      </c>
    </row>
    <row r="9" spans="1:10" x14ac:dyDescent="0.25">
      <c r="A9" s="38" t="s">
        <v>57</v>
      </c>
      <c r="B9" s="12">
        <v>281.89999999999998</v>
      </c>
      <c r="C9" s="38" t="s">
        <v>58</v>
      </c>
      <c r="D9" s="38"/>
      <c r="F9" s="129" t="s">
        <v>72</v>
      </c>
      <c r="G9" s="129">
        <v>119.2</v>
      </c>
      <c r="H9" s="129">
        <v>9</v>
      </c>
      <c r="I9" s="129">
        <v>30</v>
      </c>
      <c r="J9" s="44">
        <f t="shared" si="0"/>
        <v>0.7</v>
      </c>
    </row>
    <row r="10" spans="1:10" x14ac:dyDescent="0.25">
      <c r="A10" s="196" t="s">
        <v>56</v>
      </c>
      <c r="B10" s="196"/>
      <c r="C10" s="196"/>
      <c r="D10" s="196"/>
      <c r="F10" s="129" t="s">
        <v>73</v>
      </c>
      <c r="G10" s="129">
        <v>17.8</v>
      </c>
      <c r="H10" s="129">
        <v>6</v>
      </c>
      <c r="I10" s="129">
        <v>31</v>
      </c>
      <c r="J10" s="44">
        <f t="shared" si="0"/>
        <v>0.80645161290322576</v>
      </c>
    </row>
    <row r="11" spans="1:10" x14ac:dyDescent="0.25">
      <c r="A11" s="196"/>
      <c r="B11" s="196"/>
      <c r="C11" s="196"/>
      <c r="D11" s="196"/>
      <c r="F11" s="129" t="s">
        <v>74</v>
      </c>
      <c r="G11" s="129">
        <v>70.2</v>
      </c>
      <c r="H11" s="129">
        <v>11</v>
      </c>
      <c r="I11" s="129">
        <v>31</v>
      </c>
      <c r="J11" s="44">
        <f t="shared" si="0"/>
        <v>0.64516129032258063</v>
      </c>
    </row>
    <row r="12" spans="1:10" ht="15" customHeight="1" x14ac:dyDescent="0.25">
      <c r="A12" s="196"/>
      <c r="B12" s="167" t="s">
        <v>207</v>
      </c>
      <c r="C12" s="167"/>
      <c r="D12" s="167"/>
      <c r="F12" s="129" t="s">
        <v>75</v>
      </c>
      <c r="G12" s="129">
        <v>25.2</v>
      </c>
      <c r="H12" s="129">
        <v>7</v>
      </c>
      <c r="I12" s="129">
        <v>30</v>
      </c>
      <c r="J12" s="44">
        <f t="shared" si="0"/>
        <v>0.76666666666666672</v>
      </c>
    </row>
    <row r="13" spans="1:10" x14ac:dyDescent="0.25">
      <c r="A13" s="196"/>
      <c r="B13" s="167"/>
      <c r="C13" s="167"/>
      <c r="D13" s="167"/>
      <c r="F13" s="129" t="s">
        <v>76</v>
      </c>
      <c r="G13" s="129">
        <v>54.4</v>
      </c>
      <c r="H13" s="129">
        <v>6</v>
      </c>
      <c r="I13" s="129">
        <v>31</v>
      </c>
      <c r="J13" s="44">
        <f t="shared" si="0"/>
        <v>0.80645161290322576</v>
      </c>
    </row>
    <row r="14" spans="1:10" x14ac:dyDescent="0.25">
      <c r="A14" s="196"/>
      <c r="B14" s="167"/>
      <c r="C14" s="167"/>
      <c r="D14" s="167"/>
      <c r="F14" s="129" t="s">
        <v>77</v>
      </c>
      <c r="G14" s="45">
        <v>48.6</v>
      </c>
      <c r="H14" s="129">
        <v>9</v>
      </c>
      <c r="I14" s="129">
        <v>30</v>
      </c>
      <c r="J14" s="44">
        <f t="shared" si="0"/>
        <v>0.7</v>
      </c>
    </row>
    <row r="15" spans="1:10" x14ac:dyDescent="0.25">
      <c r="A15" s="196"/>
      <c r="B15" s="167"/>
      <c r="C15" s="167"/>
      <c r="D15" s="167"/>
      <c r="F15" s="129" t="s">
        <v>78</v>
      </c>
      <c r="G15" s="129">
        <v>91.4</v>
      </c>
      <c r="H15" s="129">
        <v>6</v>
      </c>
      <c r="I15" s="129">
        <v>31</v>
      </c>
      <c r="J15" s="44">
        <f t="shared" si="0"/>
        <v>0.80645161290322576</v>
      </c>
    </row>
    <row r="16" spans="1:10" x14ac:dyDescent="0.25">
      <c r="A16" s="196"/>
      <c r="B16" s="167"/>
      <c r="C16" s="167"/>
      <c r="D16" s="167"/>
      <c r="F16" s="130" t="s">
        <v>79</v>
      </c>
      <c r="G16" s="8">
        <f>(365-SUM(H4:H15))/365</f>
        <v>0.74794520547945209</v>
      </c>
      <c r="H16" s="2"/>
      <c r="I16" s="30"/>
      <c r="J16" s="2"/>
    </row>
    <row r="17" spans="1:10" x14ac:dyDescent="0.25">
      <c r="A17" s="196"/>
      <c r="B17" s="167"/>
      <c r="C17" s="167"/>
      <c r="D17" s="167"/>
      <c r="H17" s="1"/>
      <c r="I17" s="1"/>
      <c r="J17" s="1"/>
    </row>
    <row r="18" spans="1:10" x14ac:dyDescent="0.25">
      <c r="A18" s="104"/>
      <c r="B18" s="104"/>
      <c r="C18" s="104"/>
      <c r="D18" s="104"/>
      <c r="E18" s="104"/>
      <c r="F18" s="104"/>
      <c r="G18" s="104"/>
      <c r="H18" s="104"/>
    </row>
    <row r="19" spans="1:10" x14ac:dyDescent="0.25">
      <c r="A19" s="160" t="s">
        <v>80</v>
      </c>
      <c r="B19" s="160" t="s">
        <v>81</v>
      </c>
      <c r="C19" s="160"/>
      <c r="D19" s="160"/>
      <c r="E19" s="160"/>
      <c r="F19" s="160"/>
      <c r="G19" s="160"/>
      <c r="H19" s="160"/>
    </row>
    <row r="20" spans="1:10" x14ac:dyDescent="0.25">
      <c r="A20" s="160"/>
      <c r="B20" s="160" t="s">
        <v>82</v>
      </c>
      <c r="C20" s="160"/>
      <c r="D20" s="160"/>
      <c r="E20" s="160"/>
      <c r="F20" s="160"/>
      <c r="G20" s="160"/>
      <c r="H20" s="160"/>
    </row>
    <row r="21" spans="1:10" x14ac:dyDescent="0.25">
      <c r="A21" s="160"/>
      <c r="B21" s="42" t="s">
        <v>2</v>
      </c>
      <c r="C21" s="42" t="s">
        <v>35</v>
      </c>
      <c r="D21" s="42" t="s">
        <v>85</v>
      </c>
      <c r="E21" s="42" t="s">
        <v>86</v>
      </c>
      <c r="F21" s="42" t="s">
        <v>87</v>
      </c>
      <c r="G21" s="42" t="s">
        <v>4</v>
      </c>
      <c r="H21" s="42" t="s">
        <v>83</v>
      </c>
    </row>
    <row r="22" spans="1:10" x14ac:dyDescent="0.25">
      <c r="A22" s="102" t="s">
        <v>84</v>
      </c>
      <c r="B22" s="103">
        <v>0.17489827604766656</v>
      </c>
      <c r="C22" s="103">
        <v>0.17489827604766656</v>
      </c>
      <c r="D22" s="103">
        <v>0.17489827604766656</v>
      </c>
      <c r="E22" s="103">
        <v>5.4345140567386743</v>
      </c>
      <c r="F22" s="103">
        <v>0.21032135261668511</v>
      </c>
      <c r="G22" s="103">
        <v>1.0383730075038093</v>
      </c>
      <c r="H22" s="103">
        <v>0.24766340643796464</v>
      </c>
    </row>
    <row r="23" spans="1:10" x14ac:dyDescent="0.25">
      <c r="A23" s="104"/>
      <c r="B23" s="104"/>
      <c r="C23" s="104"/>
      <c r="D23" s="104"/>
      <c r="E23" s="104"/>
      <c r="F23" s="104"/>
      <c r="G23" s="104"/>
      <c r="H23" s="104"/>
    </row>
  </sheetData>
  <sheetProtection password="B056" sheet="1" objects="1" scenarios="1"/>
  <mergeCells count="11">
    <mergeCell ref="A19:A21"/>
    <mergeCell ref="B19:H19"/>
    <mergeCell ref="B20:H20"/>
    <mergeCell ref="A2:D2"/>
    <mergeCell ref="A3:D3"/>
    <mergeCell ref="A4:A5"/>
    <mergeCell ref="B4:D4"/>
    <mergeCell ref="B10:D11"/>
    <mergeCell ref="A10:A17"/>
    <mergeCell ref="B12:D17"/>
    <mergeCell ref="F2:J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workbookViewId="0">
      <selection activeCell="E24" sqref="E24"/>
    </sheetView>
  </sheetViews>
  <sheetFormatPr defaultRowHeight="15" x14ac:dyDescent="0.25"/>
  <cols>
    <col min="1" max="1" width="27.28515625" bestFit="1" customWidth="1"/>
    <col min="2" max="2" width="15.7109375" customWidth="1"/>
    <col min="3" max="3" width="13.42578125" customWidth="1"/>
    <col min="4" max="4" width="16.28515625" customWidth="1"/>
    <col min="5" max="5" width="13.85546875" customWidth="1"/>
    <col min="6" max="6" width="13.28515625" customWidth="1"/>
    <col min="7" max="7" width="11.140625" customWidth="1"/>
    <col min="8" max="8" width="12" customWidth="1"/>
    <col min="9" max="9" width="10.85546875" customWidth="1"/>
  </cols>
  <sheetData>
    <row r="1" spans="1:16" ht="22.5" customHeight="1" x14ac:dyDescent="0.25">
      <c r="A1" s="202" t="s">
        <v>0</v>
      </c>
      <c r="B1" s="197" t="s">
        <v>245</v>
      </c>
      <c r="C1" s="197" t="s">
        <v>246</v>
      </c>
      <c r="D1" s="203" t="s">
        <v>102</v>
      </c>
      <c r="E1" s="206" t="s">
        <v>220</v>
      </c>
      <c r="F1" s="207"/>
      <c r="G1" s="208"/>
      <c r="H1" s="202" t="s">
        <v>206</v>
      </c>
      <c r="I1" s="204" t="s">
        <v>1</v>
      </c>
      <c r="J1" s="205"/>
      <c r="K1" s="205"/>
    </row>
    <row r="2" spans="1:16" x14ac:dyDescent="0.25">
      <c r="A2" s="202"/>
      <c r="B2" s="197"/>
      <c r="C2" s="197"/>
      <c r="D2" s="203"/>
      <c r="E2" s="135" t="s">
        <v>34</v>
      </c>
      <c r="F2" s="135" t="s">
        <v>3</v>
      </c>
      <c r="G2" s="135" t="s">
        <v>129</v>
      </c>
      <c r="H2" s="202"/>
      <c r="I2" s="135" t="s">
        <v>34</v>
      </c>
      <c r="J2" s="135" t="s">
        <v>3</v>
      </c>
      <c r="K2" s="135" t="s">
        <v>129</v>
      </c>
    </row>
    <row r="3" spans="1:16" x14ac:dyDescent="0.25">
      <c r="A3" s="4" t="s">
        <v>103</v>
      </c>
      <c r="B3" s="30">
        <v>-20.359763000000001</v>
      </c>
      <c r="C3" s="30">
        <v>-40.328671999999997</v>
      </c>
      <c r="D3" s="65">
        <f>Dados!B22</f>
        <v>1562</v>
      </c>
      <c r="E3" s="70">
        <f>'FE-Perfuração e Detonação'!C6</f>
        <v>0.59</v>
      </c>
      <c r="F3" s="70">
        <f>'FE-Perfuração e Detonação'!D6</f>
        <v>0.31</v>
      </c>
      <c r="G3" s="70">
        <f>0.03*E3</f>
        <v>1.7699999999999997E-2</v>
      </c>
      <c r="H3" s="30">
        <v>74</v>
      </c>
      <c r="I3" s="44">
        <f>D3*E3*(1-H3/100)/8760</f>
        <v>2.7352831050228309E-2</v>
      </c>
      <c r="J3" s="44">
        <f>F3*D3*(1-H3/100)/8760</f>
        <v>1.4371826484018265E-2</v>
      </c>
      <c r="K3" s="139">
        <f>G3*D3*(1-H3/100)/8760</f>
        <v>8.2058493150684916E-4</v>
      </c>
    </row>
    <row r="4" spans="1:16" x14ac:dyDescent="0.25">
      <c r="A4" s="210" t="s">
        <v>218</v>
      </c>
      <c r="B4" s="156"/>
      <c r="C4" s="156"/>
      <c r="D4" s="156"/>
      <c r="E4" s="156"/>
      <c r="F4" s="156"/>
      <c r="G4" s="156"/>
      <c r="H4" s="211"/>
      <c r="I4" s="29">
        <f>SUM(I3)</f>
        <v>2.7352831050228309E-2</v>
      </c>
      <c r="J4" s="29">
        <f>SUM(J3)</f>
        <v>1.4371826484018265E-2</v>
      </c>
      <c r="K4" s="14">
        <f>SUM(K3)</f>
        <v>8.2058493150684916E-4</v>
      </c>
    </row>
    <row r="5" spans="1:16" x14ac:dyDescent="0.25">
      <c r="A5" s="72"/>
    </row>
    <row r="7" spans="1:16" x14ac:dyDescent="0.25">
      <c r="A7" s="202" t="s">
        <v>0</v>
      </c>
      <c r="B7" s="197" t="s">
        <v>245</v>
      </c>
      <c r="C7" s="197" t="s">
        <v>246</v>
      </c>
      <c r="D7" s="203" t="s">
        <v>221</v>
      </c>
      <c r="E7" s="198" t="s">
        <v>99</v>
      </c>
      <c r="F7" s="198" t="s">
        <v>222</v>
      </c>
      <c r="G7" s="200" t="s">
        <v>100</v>
      </c>
      <c r="H7" s="201"/>
      <c r="I7" s="201"/>
      <c r="J7" s="201"/>
      <c r="K7" s="209"/>
      <c r="L7" s="200" t="s">
        <v>1</v>
      </c>
      <c r="M7" s="201"/>
      <c r="N7" s="201"/>
      <c r="O7" s="201"/>
      <c r="P7" s="201"/>
    </row>
    <row r="8" spans="1:16" ht="24.75" customHeight="1" x14ac:dyDescent="0.25">
      <c r="A8" s="202"/>
      <c r="B8" s="197"/>
      <c r="C8" s="197"/>
      <c r="D8" s="203"/>
      <c r="E8" s="199"/>
      <c r="F8" s="199"/>
      <c r="G8" s="136" t="s">
        <v>223</v>
      </c>
      <c r="H8" s="136" t="s">
        <v>224</v>
      </c>
      <c r="I8" s="136" t="s">
        <v>225</v>
      </c>
      <c r="J8" s="135" t="s">
        <v>226</v>
      </c>
      <c r="K8" s="135" t="s">
        <v>227</v>
      </c>
      <c r="L8" s="135" t="s">
        <v>34</v>
      </c>
      <c r="M8" s="135" t="s">
        <v>59</v>
      </c>
      <c r="N8" s="135" t="s">
        <v>60</v>
      </c>
      <c r="O8" s="135" t="s">
        <v>5</v>
      </c>
      <c r="P8" s="135" t="s">
        <v>4</v>
      </c>
    </row>
    <row r="9" spans="1:16" x14ac:dyDescent="0.25">
      <c r="A9" s="60" t="s">
        <v>101</v>
      </c>
      <c r="B9" s="30">
        <v>-20.359763000000001</v>
      </c>
      <c r="C9" s="30">
        <v>-40.328671999999997</v>
      </c>
      <c r="D9" s="61">
        <f>Dados!B24</f>
        <v>536</v>
      </c>
      <c r="E9" s="61">
        <f>Dados!B26</f>
        <v>25</v>
      </c>
      <c r="F9" s="62">
        <f>Dados!B25/1000</f>
        <v>60.366900000000001</v>
      </c>
      <c r="G9" s="63">
        <f>0.00022*(D9^1.5)</f>
        <v>2.7300453751540452</v>
      </c>
      <c r="H9" s="8">
        <f>G9*0.52</f>
        <v>1.4196235950801035</v>
      </c>
      <c r="I9" s="8">
        <f>G9*0.03</f>
        <v>8.1901361254621358E-2</v>
      </c>
      <c r="J9" s="6">
        <f>'FE-Perfuração e Detonação'!D20</f>
        <v>0.2</v>
      </c>
      <c r="K9" s="6">
        <f>'FE-Perfuração e Detonação'!C20</f>
        <v>17</v>
      </c>
      <c r="L9" s="8">
        <f>$E$9*G9/8760</f>
        <v>7.7912253857135997E-3</v>
      </c>
      <c r="M9" s="13">
        <f>$E$9*H9/8760</f>
        <v>4.0514372005710717E-3</v>
      </c>
      <c r="N9" s="13">
        <f>$E$9*I9/8760</f>
        <v>2.3373676157140797E-4</v>
      </c>
      <c r="O9" s="97">
        <f>$F$9*J9/8760</f>
        <v>1.3782397260273973E-3</v>
      </c>
      <c r="P9" s="105">
        <f>$F$9*K9/8760</f>
        <v>0.11715037671232877</v>
      </c>
    </row>
    <row r="10" spans="1:16" x14ac:dyDescent="0.25">
      <c r="A10" s="156" t="s">
        <v>219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4">
        <f>SUM(L9)</f>
        <v>7.7912253857135997E-3</v>
      </c>
      <c r="M10" s="14">
        <f>SUM(M9)</f>
        <v>4.0514372005710717E-3</v>
      </c>
      <c r="N10" s="14">
        <f>SUM(N9)</f>
        <v>2.3373676157140797E-4</v>
      </c>
      <c r="O10" s="14">
        <f>SUM(O9)</f>
        <v>1.3782397260273973E-3</v>
      </c>
      <c r="P10" s="34">
        <f>SUM(P9)</f>
        <v>0.11715037671232877</v>
      </c>
    </row>
    <row r="11" spans="1:16" x14ac:dyDescent="0.25">
      <c r="A11" s="2"/>
    </row>
  </sheetData>
  <sheetProtection password="B056" sheet="1" objects="1" scenarios="1"/>
  <mergeCells count="17">
    <mergeCell ref="L7:P7"/>
    <mergeCell ref="A1:A2"/>
    <mergeCell ref="D1:D2"/>
    <mergeCell ref="I1:K1"/>
    <mergeCell ref="E1:G1"/>
    <mergeCell ref="A7:A8"/>
    <mergeCell ref="D7:D8"/>
    <mergeCell ref="G7:K7"/>
    <mergeCell ref="B1:B2"/>
    <mergeCell ref="C1:C2"/>
    <mergeCell ref="H1:H2"/>
    <mergeCell ref="A4:H4"/>
    <mergeCell ref="A10:K10"/>
    <mergeCell ref="B7:B8"/>
    <mergeCell ref="C7:C8"/>
    <mergeCell ref="E7:E8"/>
    <mergeCell ref="F7:F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"/>
  <sheetViews>
    <sheetView workbookViewId="0">
      <selection activeCell="F25" sqref="F25"/>
    </sheetView>
  </sheetViews>
  <sheetFormatPr defaultRowHeight="15" customHeight="1" x14ac:dyDescent="0.2"/>
  <cols>
    <col min="1" max="1" width="33.85546875" style="1" customWidth="1"/>
    <col min="2" max="2" width="19.28515625" style="1" customWidth="1"/>
    <col min="3" max="3" width="23.7109375" style="1" bestFit="1" customWidth="1"/>
    <col min="4" max="7" width="13.7109375" style="1" customWidth="1"/>
    <col min="8" max="8" width="12.85546875" style="1" customWidth="1"/>
    <col min="9" max="14" width="8.7109375" style="1" customWidth="1"/>
    <col min="15" max="15" width="10.42578125" style="1" bestFit="1" customWidth="1"/>
    <col min="16" max="16384" width="9.140625" style="1"/>
  </cols>
  <sheetData>
    <row r="1" spans="1:16" ht="15" customHeight="1" x14ac:dyDescent="0.2">
      <c r="A1" s="3"/>
    </row>
    <row r="2" spans="1:16" ht="15" customHeight="1" x14ac:dyDescent="0.2">
      <c r="A2" s="213" t="s">
        <v>0</v>
      </c>
      <c r="B2" s="213" t="s">
        <v>16</v>
      </c>
      <c r="C2" s="213" t="s">
        <v>17</v>
      </c>
      <c r="D2" s="197" t="s">
        <v>245</v>
      </c>
      <c r="E2" s="197" t="s">
        <v>246</v>
      </c>
      <c r="F2" s="213" t="s">
        <v>18</v>
      </c>
      <c r="G2" s="213" t="s">
        <v>19</v>
      </c>
      <c r="H2" s="217" t="s">
        <v>210</v>
      </c>
      <c r="I2" s="215" t="s">
        <v>1</v>
      </c>
      <c r="J2" s="216"/>
      <c r="K2" s="216"/>
      <c r="L2" s="216"/>
      <c r="M2" s="216"/>
      <c r="N2" s="216"/>
      <c r="O2" s="216"/>
    </row>
    <row r="3" spans="1:16" ht="15" customHeight="1" x14ac:dyDescent="0.2">
      <c r="A3" s="214"/>
      <c r="B3" s="214"/>
      <c r="C3" s="214"/>
      <c r="D3" s="197"/>
      <c r="E3" s="197"/>
      <c r="F3" s="214"/>
      <c r="G3" s="214"/>
      <c r="H3" s="218"/>
      <c r="I3" s="5" t="s">
        <v>2</v>
      </c>
      <c r="J3" s="5" t="s">
        <v>3</v>
      </c>
      <c r="K3" s="5" t="s">
        <v>20</v>
      </c>
      <c r="L3" s="5" t="s">
        <v>5</v>
      </c>
      <c r="M3" s="5" t="s">
        <v>6</v>
      </c>
      <c r="N3" s="5" t="s">
        <v>4</v>
      </c>
      <c r="O3" s="5" t="s">
        <v>228</v>
      </c>
    </row>
    <row r="4" spans="1:16" ht="15" customHeight="1" x14ac:dyDescent="0.2">
      <c r="A4" s="3" t="s">
        <v>41</v>
      </c>
      <c r="B4" s="9">
        <v>148</v>
      </c>
      <c r="C4" s="3" t="s">
        <v>92</v>
      </c>
      <c r="D4" s="30">
        <v>-20.359763000000001</v>
      </c>
      <c r="E4" s="30">
        <v>-40.328671999999997</v>
      </c>
      <c r="F4" s="6">
        <v>1</v>
      </c>
      <c r="G4" s="9">
        <f>758/365</f>
        <v>2.0767123287671234</v>
      </c>
      <c r="H4" s="9" t="s">
        <v>155</v>
      </c>
      <c r="I4" s="140">
        <f t="shared" ref="I4:I13" si="0">(INDEX(FE_Equip,MATCH($C4,Pot_Equip,0),2))*F4*G4/(24)</f>
        <v>3.117072060608829E-3</v>
      </c>
      <c r="J4" s="140">
        <f t="shared" ref="J4:J14" si="1">I4</f>
        <v>3.117072060608829E-3</v>
      </c>
      <c r="K4" s="140">
        <f t="shared" ref="K4:K14" si="2">I4</f>
        <v>3.117072060608829E-3</v>
      </c>
      <c r="L4" s="140">
        <f t="shared" ref="L4:L13" si="3">(INDEX(FE_Equip,MATCH($C4,Pot_Equip,0),3))*F4*G4/(24)</f>
        <v>5.4543824339258883E-2</v>
      </c>
      <c r="M4" s="140">
        <f t="shared" ref="M4:M13" si="4">(INDEX(FE_Equip,MATCH($C4,Pot_Equip,0),4))*F4*G4/(24)</f>
        <v>4.9559353519740816E-5</v>
      </c>
      <c r="N4" s="140">
        <f t="shared" ref="N4:N13" si="5">(INDEX(FE_Equip,MATCH($C4,Pot_Equip,0),5))*F4*G4/(24)</f>
        <v>2.6523642656305718E-2</v>
      </c>
      <c r="O4" s="140">
        <f t="shared" ref="O4:O13" si="6">(INDEX(FE_Equip,MATCH($C4,Pot_Equip,0),6))*F4*G4/(24)</f>
        <v>7.0346516413146926E-3</v>
      </c>
    </row>
    <row r="5" spans="1:16" ht="15" customHeight="1" x14ac:dyDescent="0.2">
      <c r="A5" s="3" t="s">
        <v>41</v>
      </c>
      <c r="B5" s="9">
        <v>148</v>
      </c>
      <c r="C5" s="3" t="s">
        <v>92</v>
      </c>
      <c r="D5" s="30">
        <v>-20.359763000000001</v>
      </c>
      <c r="E5" s="30">
        <v>-40.328671999999997</v>
      </c>
      <c r="F5" s="6">
        <v>1</v>
      </c>
      <c r="G5" s="9">
        <f>1908/365</f>
        <v>5.2273972602739729</v>
      </c>
      <c r="H5" s="9" t="s">
        <v>155</v>
      </c>
      <c r="I5" s="140">
        <f t="shared" si="0"/>
        <v>7.8461391710311947E-3</v>
      </c>
      <c r="J5" s="140">
        <f t="shared" si="1"/>
        <v>7.8461391710311947E-3</v>
      </c>
      <c r="K5" s="140">
        <f t="shared" si="2"/>
        <v>7.8461391710311947E-3</v>
      </c>
      <c r="L5" s="140">
        <f t="shared" si="3"/>
        <v>0.13729500902283107</v>
      </c>
      <c r="M5" s="140">
        <f t="shared" si="4"/>
        <v>1.2474834632673546E-4</v>
      </c>
      <c r="N5" s="140">
        <f t="shared" si="5"/>
        <v>6.6763997609803838E-2</v>
      </c>
      <c r="O5" s="140">
        <f t="shared" si="6"/>
        <v>1.7707276163098199E-2</v>
      </c>
    </row>
    <row r="6" spans="1:16" ht="15" customHeight="1" x14ac:dyDescent="0.2">
      <c r="A6" s="3" t="s">
        <v>41</v>
      </c>
      <c r="B6" s="9">
        <v>148</v>
      </c>
      <c r="C6" s="3" t="s">
        <v>92</v>
      </c>
      <c r="D6" s="30">
        <v>-20.359763000000001</v>
      </c>
      <c r="E6" s="30">
        <v>-40.328671999999997</v>
      </c>
      <c r="F6" s="6">
        <v>1</v>
      </c>
      <c r="G6" s="9">
        <f>625/365</f>
        <v>1.7123287671232876</v>
      </c>
      <c r="H6" s="9" t="s">
        <v>155</v>
      </c>
      <c r="I6" s="140">
        <f t="shared" si="0"/>
        <v>2.5701451687078071E-3</v>
      </c>
      <c r="J6" s="140">
        <f t="shared" si="1"/>
        <v>2.5701451687078071E-3</v>
      </c>
      <c r="K6" s="140">
        <f t="shared" si="2"/>
        <v>2.5701451687078071E-3</v>
      </c>
      <c r="L6" s="140">
        <f t="shared" si="3"/>
        <v>4.4973469936723999E-2</v>
      </c>
      <c r="M6" s="140">
        <f t="shared" si="4"/>
        <v>4.0863583047279698E-5</v>
      </c>
      <c r="N6" s="140">
        <f t="shared" si="5"/>
        <v>2.1869758126901149E-2</v>
      </c>
      <c r="O6" s="140">
        <f t="shared" si="6"/>
        <v>5.8003394140127736E-3</v>
      </c>
    </row>
    <row r="7" spans="1:16" ht="15" customHeight="1" x14ac:dyDescent="0.2">
      <c r="A7" s="3" t="s">
        <v>41</v>
      </c>
      <c r="B7" s="9">
        <v>148</v>
      </c>
      <c r="C7" s="3" t="s">
        <v>92</v>
      </c>
      <c r="D7" s="30">
        <v>-20.359763000000001</v>
      </c>
      <c r="E7" s="30">
        <v>-40.328671999999997</v>
      </c>
      <c r="F7" s="6">
        <v>1</v>
      </c>
      <c r="G7" s="9">
        <f>1197/365</f>
        <v>3.2794520547945205</v>
      </c>
      <c r="H7" s="9" t="s">
        <v>155</v>
      </c>
      <c r="I7" s="140">
        <f t="shared" si="0"/>
        <v>4.9223420271091922E-3</v>
      </c>
      <c r="J7" s="140">
        <f t="shared" si="1"/>
        <v>4.9223420271091922E-3</v>
      </c>
      <c r="K7" s="140">
        <f t="shared" si="2"/>
        <v>4.9223420271091922E-3</v>
      </c>
      <c r="L7" s="140">
        <f t="shared" si="3"/>
        <v>8.6133189622813813E-2</v>
      </c>
      <c r="M7" s="140">
        <f t="shared" si="4"/>
        <v>7.8261934252150063E-5</v>
      </c>
      <c r="N7" s="140">
        <f t="shared" si="5"/>
        <v>4.1884960764641078E-2</v>
      </c>
      <c r="O7" s="140">
        <f t="shared" si="6"/>
        <v>1.1108810045717265E-2</v>
      </c>
    </row>
    <row r="8" spans="1:16" ht="15" customHeight="1" x14ac:dyDescent="0.2">
      <c r="A8" s="3" t="s">
        <v>172</v>
      </c>
      <c r="B8" s="9">
        <v>265</v>
      </c>
      <c r="C8" s="3" t="s">
        <v>31</v>
      </c>
      <c r="D8" s="30">
        <v>-20.359763000000001</v>
      </c>
      <c r="E8" s="30">
        <v>-40.328671999999997</v>
      </c>
      <c r="F8" s="6">
        <v>1</v>
      </c>
      <c r="G8" s="9">
        <f>1787/365</f>
        <v>4.8958904109589039</v>
      </c>
      <c r="H8" s="9" t="s">
        <v>155</v>
      </c>
      <c r="I8" s="140">
        <f t="shared" si="0"/>
        <v>9.0395756266977816E-3</v>
      </c>
      <c r="J8" s="140">
        <f t="shared" si="1"/>
        <v>9.0395756266977816E-3</v>
      </c>
      <c r="K8" s="140">
        <f t="shared" si="2"/>
        <v>9.0395756266977816E-3</v>
      </c>
      <c r="L8" s="140">
        <f t="shared" si="3"/>
        <v>0.2409426495378616</v>
      </c>
      <c r="M8" s="140">
        <f t="shared" si="4"/>
        <v>2.152554296165315E-4</v>
      </c>
      <c r="N8" s="140">
        <f t="shared" si="5"/>
        <v>8.9805237686554754E-2</v>
      </c>
      <c r="O8" s="140">
        <f t="shared" si="6"/>
        <v>2.339483679992603E-2</v>
      </c>
    </row>
    <row r="9" spans="1:16" ht="15" customHeight="1" x14ac:dyDescent="0.2">
      <c r="A9" s="3" t="s">
        <v>172</v>
      </c>
      <c r="B9" s="9">
        <v>265</v>
      </c>
      <c r="C9" s="3" t="s">
        <v>31</v>
      </c>
      <c r="D9" s="30">
        <v>-20.359763000000001</v>
      </c>
      <c r="E9" s="30">
        <v>-40.328671999999997</v>
      </c>
      <c r="F9" s="6">
        <v>1</v>
      </c>
      <c r="G9" s="9">
        <f>1137/365</f>
        <v>3.1150684931506851</v>
      </c>
      <c r="H9" s="9" t="s">
        <v>155</v>
      </c>
      <c r="I9" s="140">
        <f t="shared" si="0"/>
        <v>5.7515374860410626E-3</v>
      </c>
      <c r="J9" s="140">
        <f t="shared" si="1"/>
        <v>5.7515374860410626E-3</v>
      </c>
      <c r="K9" s="140">
        <f t="shared" si="2"/>
        <v>5.7515374860410626E-3</v>
      </c>
      <c r="L9" s="140">
        <f t="shared" si="3"/>
        <v>0.15330262592308261</v>
      </c>
      <c r="M9" s="140">
        <f t="shared" si="4"/>
        <v>1.3695882679014903E-4</v>
      </c>
      <c r="N9" s="140">
        <f t="shared" si="5"/>
        <v>5.7139650391501262E-2</v>
      </c>
      <c r="O9" s="140">
        <f t="shared" si="6"/>
        <v>1.4885243112208115E-2</v>
      </c>
    </row>
    <row r="10" spans="1:16" ht="15" customHeight="1" x14ac:dyDescent="0.2">
      <c r="A10" s="3" t="s">
        <v>173</v>
      </c>
      <c r="B10" s="9">
        <v>215</v>
      </c>
      <c r="C10" s="3" t="s">
        <v>181</v>
      </c>
      <c r="D10" s="30">
        <v>-20.359763000000001</v>
      </c>
      <c r="E10" s="30">
        <v>-40.328671999999997</v>
      </c>
      <c r="F10" s="6">
        <v>1</v>
      </c>
      <c r="G10" s="9">
        <f>205/365</f>
        <v>0.56164383561643838</v>
      </c>
      <c r="H10" s="9" t="s">
        <v>155</v>
      </c>
      <c r="I10" s="140">
        <f t="shared" si="0"/>
        <v>5.9075579729878655E-4</v>
      </c>
      <c r="J10" s="140">
        <f t="shared" si="1"/>
        <v>5.9075579729878655E-4</v>
      </c>
      <c r="K10" s="140">
        <f t="shared" si="2"/>
        <v>5.9075579729878655E-4</v>
      </c>
      <c r="L10" s="140">
        <f t="shared" si="3"/>
        <v>1.6986464098528168E-2</v>
      </c>
      <c r="M10" s="140">
        <f t="shared" si="4"/>
        <v>1.5672325230999841E-5</v>
      </c>
      <c r="N10" s="140">
        <f t="shared" si="5"/>
        <v>4.3211012041398577E-3</v>
      </c>
      <c r="O10" s="140">
        <f t="shared" si="6"/>
        <v>1.5486952416363248E-3</v>
      </c>
    </row>
    <row r="11" spans="1:16" ht="15" customHeight="1" x14ac:dyDescent="0.2">
      <c r="A11" s="3" t="s">
        <v>174</v>
      </c>
      <c r="B11" s="9">
        <v>240</v>
      </c>
      <c r="C11" s="3" t="s">
        <v>181</v>
      </c>
      <c r="D11" s="30">
        <v>-20.359763000000001</v>
      </c>
      <c r="E11" s="30">
        <v>-40.328671999999997</v>
      </c>
      <c r="F11" s="6">
        <v>1</v>
      </c>
      <c r="G11" s="9">
        <f>276/365</f>
        <v>0.75616438356164384</v>
      </c>
      <c r="H11" s="9" t="s">
        <v>155</v>
      </c>
      <c r="I11" s="140">
        <f t="shared" si="0"/>
        <v>7.953590246559273E-4</v>
      </c>
      <c r="J11" s="140">
        <f t="shared" si="1"/>
        <v>7.953590246559273E-4</v>
      </c>
      <c r="K11" s="140">
        <f t="shared" si="2"/>
        <v>7.953590246559273E-4</v>
      </c>
      <c r="L11" s="140">
        <f t="shared" si="3"/>
        <v>2.2869580932652556E-2</v>
      </c>
      <c r="M11" s="140">
        <f t="shared" si="4"/>
        <v>2.1100301286614419E-5</v>
      </c>
      <c r="N11" s="140">
        <f t="shared" si="5"/>
        <v>5.8176777187443933E-3</v>
      </c>
      <c r="O11" s="140">
        <f t="shared" si="6"/>
        <v>2.0850726180079299E-3</v>
      </c>
    </row>
    <row r="12" spans="1:16" ht="15" customHeight="1" x14ac:dyDescent="0.2">
      <c r="A12" s="3" t="s">
        <v>174</v>
      </c>
      <c r="B12" s="9">
        <v>80</v>
      </c>
      <c r="C12" s="3" t="s">
        <v>179</v>
      </c>
      <c r="D12" s="30">
        <v>-20.359763000000001</v>
      </c>
      <c r="E12" s="30">
        <v>-40.328671999999997</v>
      </c>
      <c r="F12" s="6">
        <v>1</v>
      </c>
      <c r="G12" s="9">
        <f>370/365</f>
        <v>1.0136986301369864</v>
      </c>
      <c r="H12" s="9" t="s">
        <v>155</v>
      </c>
      <c r="I12" s="140">
        <f t="shared" si="0"/>
        <v>1.1325261981579037E-3</v>
      </c>
      <c r="J12" s="140">
        <f t="shared" si="1"/>
        <v>1.1325261981579037E-3</v>
      </c>
      <c r="K12" s="140">
        <f t="shared" si="2"/>
        <v>1.1325261981579037E-3</v>
      </c>
      <c r="L12" s="140">
        <f t="shared" si="3"/>
        <v>1.2954538093274631E-2</v>
      </c>
      <c r="M12" s="140">
        <f t="shared" si="4"/>
        <v>1.0551585350529403E-5</v>
      </c>
      <c r="N12" s="140">
        <f t="shared" si="5"/>
        <v>6.5431108659926842E-3</v>
      </c>
      <c r="O12" s="140">
        <f t="shared" si="6"/>
        <v>2.2193087875385128E-3</v>
      </c>
    </row>
    <row r="13" spans="1:16" ht="15" customHeight="1" x14ac:dyDescent="0.2">
      <c r="A13" s="3" t="s">
        <v>174</v>
      </c>
      <c r="B13" s="9">
        <v>240</v>
      </c>
      <c r="C13" s="3" t="s">
        <v>181</v>
      </c>
      <c r="D13" s="30">
        <v>-20.359763000000001</v>
      </c>
      <c r="E13" s="30">
        <v>-40.328671999999997</v>
      </c>
      <c r="F13" s="6">
        <v>1</v>
      </c>
      <c r="G13" s="9">
        <f>500/365</f>
        <v>1.3698630136986301</v>
      </c>
      <c r="H13" s="9" t="s">
        <v>155</v>
      </c>
      <c r="I13" s="140">
        <f t="shared" si="0"/>
        <v>1.4408677982897234E-3</v>
      </c>
      <c r="J13" s="140">
        <f t="shared" si="1"/>
        <v>1.4408677982897234E-3</v>
      </c>
      <c r="K13" s="140">
        <f t="shared" si="2"/>
        <v>1.4408677982897234E-3</v>
      </c>
      <c r="L13" s="140">
        <f t="shared" si="3"/>
        <v>4.1430400240312602E-2</v>
      </c>
      <c r="M13" s="140">
        <f t="shared" si="4"/>
        <v>3.8225183490243508E-5</v>
      </c>
      <c r="N13" s="140">
        <f t="shared" si="5"/>
        <v>1.0539271229609409E-2</v>
      </c>
      <c r="O13" s="140">
        <f t="shared" si="6"/>
        <v>3.7773054674056701E-3</v>
      </c>
    </row>
    <row r="14" spans="1:16" ht="15" customHeight="1" x14ac:dyDescent="0.2">
      <c r="A14" s="2" t="s">
        <v>208</v>
      </c>
      <c r="B14" s="30" t="s">
        <v>155</v>
      </c>
      <c r="C14" s="30" t="s">
        <v>155</v>
      </c>
      <c r="D14" s="30">
        <v>-20.359763000000001</v>
      </c>
      <c r="E14" s="30">
        <v>-40.328671999999997</v>
      </c>
      <c r="F14" s="30">
        <v>2</v>
      </c>
      <c r="G14" s="30" t="s">
        <v>155</v>
      </c>
      <c r="H14" s="30">
        <v>7199</v>
      </c>
      <c r="I14" s="141">
        <f>('FE-Maq Equip'!$F$50/'FE-Maq Equip'!$B$50)*'FE-Maq Equip'!$B$48*H14/8760</f>
        <v>1.7974320922608595E-4</v>
      </c>
      <c r="J14" s="141">
        <f t="shared" si="1"/>
        <v>1.7974320922608595E-4</v>
      </c>
      <c r="K14" s="141">
        <f t="shared" si="2"/>
        <v>1.7974320922608595E-4</v>
      </c>
      <c r="L14" s="141">
        <f>('FE-Maq Equip'!$E$50/'FE-Maq Equip'!$B$50)*'FE-Maq Equip'!$B$48*H14/8760</f>
        <v>1.3900141513483977E-2</v>
      </c>
      <c r="M14" s="141">
        <f>('FE-Maq Equip'!$B$48*H14/8760)*('FE-Maq Equip'!$B$49/10^6)*(64/32)</f>
        <v>7.009985159817353E-4</v>
      </c>
      <c r="N14" s="141">
        <f>('FE-Maq Equip'!$D$50/'FE-Maq Equip'!$B$50)*'FE-Maq Equip'!$B$48*H14/8760</f>
        <v>1.7674748907231779E-3</v>
      </c>
      <c r="O14" s="141">
        <f>('FE-Maq Equip'!$C$50/'FE-Maq Equip'!$B$50)*'FE-Maq Equip'!$B$48*H14/8760</f>
        <v>4.1940082152753394E-4</v>
      </c>
      <c r="P14" s="17"/>
    </row>
    <row r="15" spans="1:16" ht="15" customHeight="1" x14ac:dyDescent="0.2">
      <c r="A15" s="41" t="s">
        <v>209</v>
      </c>
      <c r="B15" s="30" t="s">
        <v>155</v>
      </c>
      <c r="C15" s="30" t="s">
        <v>155</v>
      </c>
      <c r="D15" s="30">
        <v>-20.359763000000001</v>
      </c>
      <c r="E15" s="30">
        <v>-40.328671999999997</v>
      </c>
      <c r="F15" s="30">
        <v>1</v>
      </c>
      <c r="G15" s="30" t="s">
        <v>155</v>
      </c>
      <c r="H15" s="30">
        <v>1352</v>
      </c>
      <c r="I15" s="141">
        <f>('FE-Maq Equip'!$F$50/'FE-Maq Equip'!$B$50)*'FE-Maq Equip'!$B$48*H15/8760</f>
        <v>3.3756468797564692E-5</v>
      </c>
      <c r="J15" s="141">
        <f t="shared" ref="J15" si="7">I15</f>
        <v>3.3756468797564692E-5</v>
      </c>
      <c r="K15" s="141">
        <f t="shared" ref="K15" si="8">I15</f>
        <v>3.3756468797564692E-5</v>
      </c>
      <c r="L15" s="141">
        <f>('FE-Maq Equip'!$E$50/'FE-Maq Equip'!$B$50)*'FE-Maq Equip'!$B$48*H15/8760</f>
        <v>2.6105002536783353E-3</v>
      </c>
      <c r="M15" s="141">
        <f>('FE-Maq Equip'!$B$48*H15/8760)*('FE-Maq Equip'!$B$49/10^6)*(64/32)</f>
        <v>1.3165022831050231E-4</v>
      </c>
      <c r="N15" s="141">
        <f>('FE-Maq Equip'!$D$50/'FE-Maq Equip'!$B$50)*'FE-Maq Equip'!$B$48*H15/8760</f>
        <v>3.3193860984271934E-4</v>
      </c>
      <c r="O15" s="141">
        <f>('FE-Maq Equip'!$C$50/'FE-Maq Equip'!$B$50)*'FE-Maq Equip'!$B$48*H15/8760</f>
        <v>7.8765093860984288E-5</v>
      </c>
    </row>
    <row r="16" spans="1:16" ht="15" customHeight="1" x14ac:dyDescent="0.2">
      <c r="A16" s="212" t="s">
        <v>229</v>
      </c>
      <c r="B16" s="212"/>
      <c r="C16" s="212"/>
      <c r="D16" s="212"/>
      <c r="E16" s="212"/>
      <c r="F16" s="212"/>
      <c r="G16" s="212"/>
      <c r="H16" s="212"/>
      <c r="I16" s="14">
        <f>SUM(I4:I15)</f>
        <v>3.7419820036621858E-2</v>
      </c>
      <c r="J16" s="14">
        <f t="shared" ref="J16:O16" si="9">SUM(J4:J15)</f>
        <v>3.7419820036621858E-2</v>
      </c>
      <c r="K16" s="14">
        <f t="shared" si="9"/>
        <v>3.7419820036621858E-2</v>
      </c>
      <c r="L16" s="14">
        <f t="shared" si="9"/>
        <v>0.82794239351450238</v>
      </c>
      <c r="M16" s="14">
        <f t="shared" si="9"/>
        <v>1.5638456132032114E-3</v>
      </c>
      <c r="N16" s="14">
        <f t="shared" si="9"/>
        <v>0.33330782175476004</v>
      </c>
      <c r="O16" s="14">
        <f t="shared" si="9"/>
        <v>9.0059705206254018E-2</v>
      </c>
    </row>
  </sheetData>
  <sheetProtection password="B056" sheet="1" objects="1" scenarios="1"/>
  <mergeCells count="10">
    <mergeCell ref="A16:H16"/>
    <mergeCell ref="G2:G3"/>
    <mergeCell ref="I2:O2"/>
    <mergeCell ref="A2:A3"/>
    <mergeCell ref="B2:B3"/>
    <mergeCell ref="C2:C3"/>
    <mergeCell ref="F2:F3"/>
    <mergeCell ref="D2:D3"/>
    <mergeCell ref="E2:E3"/>
    <mergeCell ref="H2:H3"/>
  </mergeCells>
  <dataValidations disablePrompts="1" count="1">
    <dataValidation type="list" allowBlank="1" showInputMessage="1" showErrorMessage="1" sqref="C4:C13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G24" sqref="G24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9.7109375" customWidth="1"/>
    <col min="4" max="5" width="18.28515625" customWidth="1"/>
    <col min="6" max="6" width="15.140625" customWidth="1"/>
    <col min="7" max="7" width="16.140625" customWidth="1"/>
    <col min="8" max="13" width="11" customWidth="1"/>
  </cols>
  <sheetData>
    <row r="1" spans="1:14" ht="15" customHeight="1" x14ac:dyDescent="0.25">
      <c r="A1" s="202" t="s">
        <v>0</v>
      </c>
      <c r="B1" s="197" t="s">
        <v>245</v>
      </c>
      <c r="C1" s="197" t="s">
        <v>246</v>
      </c>
      <c r="D1" s="203" t="s">
        <v>230</v>
      </c>
      <c r="E1" s="220" t="s">
        <v>231</v>
      </c>
      <c r="F1" s="203" t="s">
        <v>167</v>
      </c>
      <c r="G1" s="203"/>
      <c r="H1" s="205" t="s">
        <v>232</v>
      </c>
      <c r="I1" s="205"/>
      <c r="J1" s="222"/>
      <c r="K1" s="204" t="s">
        <v>1</v>
      </c>
      <c r="L1" s="205"/>
      <c r="M1" s="222"/>
    </row>
    <row r="2" spans="1:14" x14ac:dyDescent="0.25">
      <c r="A2" s="202"/>
      <c r="B2" s="197"/>
      <c r="C2" s="197"/>
      <c r="D2" s="203"/>
      <c r="E2" s="221"/>
      <c r="F2" s="106" t="s">
        <v>24</v>
      </c>
      <c r="G2" s="106" t="s">
        <v>233</v>
      </c>
      <c r="H2" s="107" t="s">
        <v>34</v>
      </c>
      <c r="I2" s="35" t="s">
        <v>59</v>
      </c>
      <c r="J2" s="35" t="s">
        <v>60</v>
      </c>
      <c r="K2" s="35" t="s">
        <v>34</v>
      </c>
      <c r="L2" s="35" t="s">
        <v>59</v>
      </c>
      <c r="M2" s="35" t="s">
        <v>60</v>
      </c>
    </row>
    <row r="3" spans="1:14" x14ac:dyDescent="0.25">
      <c r="A3" s="18" t="s">
        <v>131</v>
      </c>
      <c r="B3" s="30">
        <v>-20.359763000000001</v>
      </c>
      <c r="C3" s="30">
        <v>-40.328671999999997</v>
      </c>
      <c r="D3" s="70">
        <f>Dados!B20/8760</f>
        <v>41.544520547945204</v>
      </c>
      <c r="E3" s="65">
        <v>1</v>
      </c>
      <c r="F3" s="62" t="s">
        <v>155</v>
      </c>
      <c r="G3" s="62" t="s">
        <v>155</v>
      </c>
      <c r="H3" s="143">
        <f>'FE-Transferências'!$B$3*0.0016*(($B$14/2.2)^1.3)/(($E3/2)^1.4)</f>
        <v>7.2282377015546288E-3</v>
      </c>
      <c r="I3" s="143">
        <f>'FE-Transferências'!$C$3*0.0016*(($B$14/2.2)^1.3)/(($E3/2)^1.4)</f>
        <v>3.418761075059621E-3</v>
      </c>
      <c r="J3" s="143">
        <f>'FE-Transferências'!$D$3*0.0016*(($B$14/2.2)^1.3)/(($E3/2)^1.4)</f>
        <v>5.176981056518856E-4</v>
      </c>
      <c r="K3" s="44">
        <f>H3*$D3</f>
        <v>0.30029366971766847</v>
      </c>
      <c r="L3" s="44">
        <f>I3*$D3</f>
        <v>0.14203078973132965</v>
      </c>
      <c r="M3" s="44">
        <f>J3*$D3</f>
        <v>2.1507519587887068E-2</v>
      </c>
    </row>
    <row r="4" spans="1:14" x14ac:dyDescent="0.25">
      <c r="A4" s="79" t="s">
        <v>142</v>
      </c>
      <c r="B4" s="30">
        <v>-20.361212999999999</v>
      </c>
      <c r="C4" s="87">
        <v>-40.325780999999999</v>
      </c>
      <c r="D4" s="86">
        <f>Dados!B20/8760</f>
        <v>41.544520547945204</v>
      </c>
      <c r="E4" s="65">
        <v>1</v>
      </c>
      <c r="F4" s="62" t="s">
        <v>144</v>
      </c>
      <c r="G4" s="92">
        <v>50</v>
      </c>
      <c r="H4" s="144">
        <f>'FE-Transferências'!$B$3*0.0016*(($B$14/2.2)^1.3)/(($E4/2)^1.4)</f>
        <v>7.2282377015546288E-3</v>
      </c>
      <c r="I4" s="143">
        <f>'FE-Transferências'!$C$3*0.0016*(($B$14/2.2)^1.3)/(($E4/2)^1.4)</f>
        <v>3.418761075059621E-3</v>
      </c>
      <c r="J4" s="143">
        <f>'FE-Transferências'!$D$3*0.0016*(($B$14/2.2)^1.3)/(($E4/2)^1.4)</f>
        <v>5.176981056518856E-4</v>
      </c>
      <c r="K4" s="44">
        <f>H4*$D4*(1-G4/100)</f>
        <v>0.15014683485883423</v>
      </c>
      <c r="L4" s="44">
        <f>I4*$D4*(1-G4/100)</f>
        <v>7.1015394865664827E-2</v>
      </c>
      <c r="M4" s="44">
        <f>J4*$D4*(1-G4/100)</f>
        <v>1.0753759793943534E-2</v>
      </c>
    </row>
    <row r="5" spans="1:14" x14ac:dyDescent="0.25">
      <c r="A5" s="79" t="s">
        <v>168</v>
      </c>
      <c r="B5" s="30">
        <v>-20.361412000000001</v>
      </c>
      <c r="C5" s="30">
        <v>-40.325668</v>
      </c>
      <c r="D5" s="86">
        <f>Dados!B20/8760</f>
        <v>41.544520547945204</v>
      </c>
      <c r="E5" s="92">
        <v>1</v>
      </c>
      <c r="F5" s="62" t="s">
        <v>144</v>
      </c>
      <c r="G5" s="92">
        <v>50</v>
      </c>
      <c r="H5" s="144">
        <f>'FE-Transferências'!$B$3*0.0016*(($B$14/2.2)^1.3)/(($E5/2)^1.4)</f>
        <v>7.2282377015546288E-3</v>
      </c>
      <c r="I5" s="143">
        <f>'FE-Transferências'!$C$3*0.0016*(($B$14/2.2)^1.3)/(($E5/2)^1.4)</f>
        <v>3.418761075059621E-3</v>
      </c>
      <c r="J5" s="143">
        <f>'FE-Transferências'!$D$3*0.0016*(($B$14/2.2)^1.3)/(($E5/2)^1.4)</f>
        <v>5.176981056518856E-4</v>
      </c>
      <c r="K5" s="44">
        <f t="shared" ref="K5:K10" si="0">H5*$D5*(1-G5/100)</f>
        <v>0.15014683485883423</v>
      </c>
      <c r="L5" s="44">
        <f t="shared" ref="L5:L10" si="1">I5*$D5*(1-G5/100)</f>
        <v>7.1015394865664827E-2</v>
      </c>
      <c r="M5" s="44">
        <f t="shared" ref="M5:M10" si="2">J5*$D5*(1-G5/100)</f>
        <v>1.0753759793943534E-2</v>
      </c>
    </row>
    <row r="6" spans="1:14" x14ac:dyDescent="0.25">
      <c r="A6" s="79" t="s">
        <v>195</v>
      </c>
      <c r="B6" s="30">
        <v>-20.361526999999999</v>
      </c>
      <c r="C6" s="30">
        <v>-20.361526999999999</v>
      </c>
      <c r="D6" s="86">
        <f>'Emissão Brit e Pen'!D4</f>
        <v>20.772260273972602</v>
      </c>
      <c r="E6" s="92">
        <v>1</v>
      </c>
      <c r="F6" s="62" t="s">
        <v>144</v>
      </c>
      <c r="G6" s="92">
        <v>50</v>
      </c>
      <c r="H6" s="144">
        <f>'FE-Transferências'!$B$3*0.0016*(($B$14/2.2)^1.3)/(($E6/2)^1.4)</f>
        <v>7.2282377015546288E-3</v>
      </c>
      <c r="I6" s="143">
        <f>'FE-Transferências'!$C$3*0.0016*(($B$14/2.2)^1.3)/(($E6/2)^1.4)</f>
        <v>3.418761075059621E-3</v>
      </c>
      <c r="J6" s="143">
        <f>'FE-Transferências'!$D$3*0.0016*(($B$14/2.2)^1.3)/(($E6/2)^1.4)</f>
        <v>5.176981056518856E-4</v>
      </c>
      <c r="K6" s="44">
        <f t="shared" si="0"/>
        <v>7.5073417429417116E-2</v>
      </c>
      <c r="L6" s="44">
        <f t="shared" si="1"/>
        <v>3.5507697432832414E-2</v>
      </c>
      <c r="M6" s="44">
        <f t="shared" si="2"/>
        <v>5.376879896971767E-3</v>
      </c>
    </row>
    <row r="7" spans="1:14" x14ac:dyDescent="0.25">
      <c r="A7" s="79" t="s">
        <v>197</v>
      </c>
      <c r="B7" s="30">
        <v>-20.361726000000001</v>
      </c>
      <c r="C7" s="30">
        <v>-40.325468999999998</v>
      </c>
      <c r="D7" s="86">
        <f>'Emissão Brit e Pen'!D10</f>
        <v>20.772260273972602</v>
      </c>
      <c r="E7" s="92">
        <v>1</v>
      </c>
      <c r="F7" s="62" t="s">
        <v>144</v>
      </c>
      <c r="G7" s="92">
        <v>50</v>
      </c>
      <c r="H7" s="144">
        <f>'FE-Transferências'!$B$3*0.0016*(($B$14/2.2)^1.3)/(($E7/2)^1.4)</f>
        <v>7.2282377015546288E-3</v>
      </c>
      <c r="I7" s="143">
        <f>'FE-Transferências'!$C$3*0.0016*(($B$14/2.2)^1.3)/(($E7/2)^1.4)</f>
        <v>3.418761075059621E-3</v>
      </c>
      <c r="J7" s="143">
        <f>'FE-Transferências'!$D$3*0.0016*(($B$14/2.2)^1.3)/(($E7/2)^1.4)</f>
        <v>5.176981056518856E-4</v>
      </c>
      <c r="K7" s="44">
        <f t="shared" si="0"/>
        <v>7.5073417429417116E-2</v>
      </c>
      <c r="L7" s="44">
        <f t="shared" si="1"/>
        <v>3.5507697432832414E-2</v>
      </c>
      <c r="M7" s="44">
        <f t="shared" si="2"/>
        <v>5.376879896971767E-3</v>
      </c>
    </row>
    <row r="8" spans="1:14" x14ac:dyDescent="0.25">
      <c r="A8" s="79" t="s">
        <v>196</v>
      </c>
      <c r="B8" s="30">
        <v>-20.361526999999999</v>
      </c>
      <c r="C8" s="30">
        <v>-20.361526999999999</v>
      </c>
      <c r="D8" s="86">
        <f>'Emissão Brit e Pen'!D5</f>
        <v>10.386130136986301</v>
      </c>
      <c r="E8" s="92">
        <v>1</v>
      </c>
      <c r="F8" s="62" t="s">
        <v>144</v>
      </c>
      <c r="G8" s="92">
        <v>50</v>
      </c>
      <c r="H8" s="144">
        <f>'FE-Transferências'!$B$3*0.0016*(($B$14/2.2)^1.3)/(($E8/2)^1.4)</f>
        <v>7.2282377015546288E-3</v>
      </c>
      <c r="I8" s="143">
        <f>'FE-Transferências'!$C$3*0.0016*(($B$14/2.2)^1.3)/(($E8/2)^1.4)</f>
        <v>3.418761075059621E-3</v>
      </c>
      <c r="J8" s="143">
        <f>'FE-Transferências'!$D$3*0.0016*(($B$14/2.2)^1.3)/(($E8/2)^1.4)</f>
        <v>5.176981056518856E-4</v>
      </c>
      <c r="K8" s="44">
        <f t="shared" si="0"/>
        <v>3.7536708714708558E-2</v>
      </c>
      <c r="L8" s="44">
        <f t="shared" si="1"/>
        <v>1.7753848716416207E-2</v>
      </c>
      <c r="M8" s="44">
        <f t="shared" si="2"/>
        <v>2.6884399484858835E-3</v>
      </c>
    </row>
    <row r="9" spans="1:14" x14ac:dyDescent="0.25">
      <c r="A9" s="79" t="s">
        <v>198</v>
      </c>
      <c r="B9" s="30">
        <v>-20.361917999999999</v>
      </c>
      <c r="C9" s="30">
        <v>-40.325367999999997</v>
      </c>
      <c r="D9" s="86">
        <f>'Emissão Brit e Pen'!D11</f>
        <v>10.386130136986301</v>
      </c>
      <c r="E9" s="92">
        <v>1</v>
      </c>
      <c r="F9" s="62" t="s">
        <v>144</v>
      </c>
      <c r="G9" s="92">
        <v>50</v>
      </c>
      <c r="H9" s="144">
        <f>'FE-Transferências'!$B$3*0.0016*(($B$14/2.2)^1.3)/(($E9/2)^1.4)</f>
        <v>7.2282377015546288E-3</v>
      </c>
      <c r="I9" s="143">
        <f>'FE-Transferências'!$C$3*0.0016*(($B$14/2.2)^1.3)/(($E9/2)^1.4)</f>
        <v>3.418761075059621E-3</v>
      </c>
      <c r="J9" s="143">
        <f>'FE-Transferências'!$D$3*0.0016*(($B$14/2.2)^1.3)/(($E9/2)^1.4)</f>
        <v>5.176981056518856E-4</v>
      </c>
      <c r="K9" s="44">
        <f t="shared" si="0"/>
        <v>3.7536708714708558E-2</v>
      </c>
      <c r="L9" s="44">
        <f t="shared" si="1"/>
        <v>1.7753848716416207E-2</v>
      </c>
      <c r="M9" s="44">
        <f t="shared" si="2"/>
        <v>2.6884399484858835E-3</v>
      </c>
    </row>
    <row r="10" spans="1:14" x14ac:dyDescent="0.25">
      <c r="A10" s="79" t="s">
        <v>143</v>
      </c>
      <c r="B10" s="87">
        <v>-20.361941000000002</v>
      </c>
      <c r="C10" s="30">
        <v>-40.325305999999998</v>
      </c>
      <c r="D10" s="86">
        <f>Dados!B20/8760</f>
        <v>41.544520547945204</v>
      </c>
      <c r="E10" s="92">
        <v>1</v>
      </c>
      <c r="F10" s="62" t="s">
        <v>144</v>
      </c>
      <c r="G10" s="92">
        <v>50</v>
      </c>
      <c r="H10" s="144">
        <f>'FE-Transferências'!$B$3*0.0016*(($B$14/2.2)^1.3)/(($E10/2)^1.4)</f>
        <v>7.2282377015546288E-3</v>
      </c>
      <c r="I10" s="143">
        <f>'FE-Transferências'!$C$3*0.0016*(($B$14/2.2)^1.3)/(($E10/2)^1.4)</f>
        <v>3.418761075059621E-3</v>
      </c>
      <c r="J10" s="143">
        <f>'FE-Transferências'!$D$3*0.0016*(($B$14/2.2)^1.3)/(($E10/2)^1.4)</f>
        <v>5.176981056518856E-4</v>
      </c>
      <c r="K10" s="44">
        <f t="shared" si="0"/>
        <v>0.15014683485883423</v>
      </c>
      <c r="L10" s="44">
        <f t="shared" si="1"/>
        <v>7.1015394865664827E-2</v>
      </c>
      <c r="M10" s="44">
        <f t="shared" si="2"/>
        <v>1.0753759793943534E-2</v>
      </c>
      <c r="N10" s="33"/>
    </row>
    <row r="11" spans="1:14" x14ac:dyDescent="0.25">
      <c r="A11" s="79" t="s">
        <v>205</v>
      </c>
      <c r="B11" s="87">
        <v>-20.361941000000002</v>
      </c>
      <c r="C11" s="30">
        <v>-40.325305999999998</v>
      </c>
      <c r="D11" s="86">
        <f>Dados!B20/8760</f>
        <v>41.544520547945204</v>
      </c>
      <c r="E11" s="92">
        <v>1</v>
      </c>
      <c r="F11" s="62" t="s">
        <v>155</v>
      </c>
      <c r="G11" s="92" t="s">
        <v>155</v>
      </c>
      <c r="H11" s="144">
        <f>'FE-Transferências'!$B$3*0.0016*(($B$14/2.2)^1.3)/(($E11/2)^1.4)</f>
        <v>7.2282377015546288E-3</v>
      </c>
      <c r="I11" s="143">
        <f>'FE-Transferências'!$C$3*0.0016*(($B$14/2.2)^1.3)/(($E11/2)^1.4)</f>
        <v>3.418761075059621E-3</v>
      </c>
      <c r="J11" s="143">
        <f>'FE-Transferências'!$D$3*0.0016*(($B$14/2.2)^1.3)/(($E11/2)^1.4)</f>
        <v>5.176981056518856E-4</v>
      </c>
      <c r="K11" s="44">
        <f>H11*$D11</f>
        <v>0.30029366971766847</v>
      </c>
      <c r="L11" s="44">
        <f>I11*$D11</f>
        <v>0.14203078973132965</v>
      </c>
      <c r="M11" s="44">
        <f>J11*$D11</f>
        <v>2.1507519587887068E-2</v>
      </c>
      <c r="N11" s="33"/>
    </row>
    <row r="12" spans="1:14" x14ac:dyDescent="0.25">
      <c r="A12" s="219" t="s">
        <v>229</v>
      </c>
      <c r="B12" s="219"/>
      <c r="C12" s="219"/>
      <c r="D12" s="219"/>
      <c r="E12" s="219"/>
      <c r="F12" s="219"/>
      <c r="G12" s="219"/>
      <c r="H12" s="219"/>
      <c r="I12" s="219"/>
      <c r="J12" s="219"/>
      <c r="K12" s="29">
        <f>SUM(K3:K11)</f>
        <v>1.2762480963000908</v>
      </c>
      <c r="L12" s="29">
        <f t="shared" ref="L12:M12" si="3">SUM(L3:L11)</f>
        <v>0.60363085635815117</v>
      </c>
      <c r="M12" s="29">
        <f t="shared" si="3"/>
        <v>9.1406958248520048E-2</v>
      </c>
      <c r="N12" s="19"/>
    </row>
    <row r="13" spans="1:14" x14ac:dyDescent="0.25">
      <c r="C13" s="33"/>
      <c r="D13" s="33"/>
      <c r="E13" s="33"/>
      <c r="F13" s="33"/>
      <c r="G13" s="33"/>
    </row>
    <row r="14" spans="1:14" x14ac:dyDescent="0.25">
      <c r="A14" s="32" t="s">
        <v>40</v>
      </c>
      <c r="B14" s="142">
        <v>4.1937865160171146</v>
      </c>
    </row>
    <row r="16" spans="1:14" x14ac:dyDescent="0.25">
      <c r="A16" s="1"/>
    </row>
    <row r="18" spans="1:1" x14ac:dyDescent="0.25">
      <c r="A18" s="33"/>
    </row>
  </sheetData>
  <sheetProtection password="B056" sheet="1" objects="1" scenarios="1"/>
  <mergeCells count="9">
    <mergeCell ref="A12:J12"/>
    <mergeCell ref="A1:A2"/>
    <mergeCell ref="D1:D2"/>
    <mergeCell ref="E1:E2"/>
    <mergeCell ref="K1:M1"/>
    <mergeCell ref="H1:J1"/>
    <mergeCell ref="B1:B2"/>
    <mergeCell ref="C1:C2"/>
    <mergeCell ref="F1:G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Dados</vt:lpstr>
      <vt:lpstr>FE-Perfuração e Detonação</vt:lpstr>
      <vt:lpstr>FE-Maq Equip</vt:lpstr>
      <vt:lpstr>FE-Transferências</vt:lpstr>
      <vt:lpstr>FE-Britagem e Peneiramento</vt:lpstr>
      <vt:lpstr>FE-Vias</vt:lpstr>
      <vt:lpstr>Emissão Perfuração e Detonação</vt:lpstr>
      <vt:lpstr>Emissão Maq e Equip</vt:lpstr>
      <vt:lpstr>Emissão Transferências</vt:lpstr>
      <vt:lpstr>Emissão Brit e Pen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2019-06-06T20:26:35Z</dcterms:modified>
</cp:coreProperties>
</file>