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antafe\"/>
    </mc:Choice>
  </mc:AlternateContent>
  <bookViews>
    <workbookView xWindow="0" yWindow="0" windowWidth="24000" windowHeight="9135" tabRatio="932" activeTab="9"/>
  </bookViews>
  <sheets>
    <sheet name="Dados" sheetId="16" r:id="rId1"/>
    <sheet name="FE-Compactação" sheetId="32" r:id="rId2"/>
    <sheet name="FE-Maq e Equip" sheetId="6" r:id="rId3"/>
    <sheet name="FE-Transferências" sheetId="10" r:id="rId4"/>
    <sheet name="FE-Vias" sheetId="13" r:id="rId5"/>
    <sheet name="Emissão Maq e Equip" sheetId="5" r:id="rId6"/>
    <sheet name="Emissão Transferências" sheetId="8" r:id="rId7"/>
    <sheet name="Emissão Compactação" sheetId="29" r:id="rId8"/>
    <sheet name="Emissão Vias " sheetId="9" r:id="rId9"/>
    <sheet name="Resumo" sheetId="26" r:id="rId10"/>
  </sheets>
  <definedNames>
    <definedName name="FE_Equip">'FE-Maq e Equip'!$B$3:$I$37</definedName>
    <definedName name="Pot_Equip">'FE-Maq e Equip'!$B$3:$B$37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6" l="1"/>
  <c r="B4" i="26" l="1"/>
  <c r="H3" i="9" l="1"/>
  <c r="O3" i="29" l="1"/>
  <c r="N3" i="29"/>
  <c r="M3" i="29"/>
  <c r="C3" i="29"/>
  <c r="J3" i="29" l="1"/>
  <c r="K3" i="29"/>
  <c r="B8" i="16" l="1"/>
  <c r="F3" i="9" l="1"/>
  <c r="D3" i="8"/>
  <c r="G6" i="5"/>
  <c r="G5" i="5"/>
  <c r="G4" i="5"/>
  <c r="G3" i="5"/>
  <c r="L3" i="29" l="1"/>
  <c r="O4" i="29" l="1"/>
  <c r="D5" i="26" s="1"/>
  <c r="N4" i="29"/>
  <c r="C5" i="26" s="1"/>
  <c r="M4" i="29"/>
  <c r="B5" i="26" s="1"/>
  <c r="H5" i="5" l="1"/>
  <c r="I5" i="5" s="1"/>
  <c r="K5" i="5"/>
  <c r="L5" i="5"/>
  <c r="M5" i="5"/>
  <c r="N5" i="5"/>
  <c r="H6" i="5"/>
  <c r="I6" i="5" s="1"/>
  <c r="K6" i="5"/>
  <c r="L6" i="5"/>
  <c r="M6" i="5"/>
  <c r="N6" i="5"/>
  <c r="J5" i="5" l="1"/>
  <c r="J6" i="5"/>
  <c r="G15" i="13"/>
  <c r="P3" i="9" s="1"/>
  <c r="J14" i="13"/>
  <c r="J13" i="13"/>
  <c r="J12" i="13"/>
  <c r="J11" i="13"/>
  <c r="J10" i="13"/>
  <c r="J9" i="13"/>
  <c r="J8" i="13"/>
  <c r="J7" i="13"/>
  <c r="J6" i="13"/>
  <c r="J5" i="13"/>
  <c r="J4" i="13"/>
  <c r="J3" i="13"/>
  <c r="N3" i="9" l="1"/>
  <c r="O3" i="9"/>
  <c r="V3" i="9" l="1"/>
  <c r="U3" i="9"/>
  <c r="F4" i="8" l="1"/>
  <c r="H4" i="8" l="1"/>
  <c r="G4" i="8"/>
  <c r="H3" i="5" l="1"/>
  <c r="K3" i="5"/>
  <c r="L3" i="5"/>
  <c r="M3" i="5"/>
  <c r="N3" i="5"/>
  <c r="H4" i="5"/>
  <c r="I4" i="5" s="1"/>
  <c r="K4" i="5"/>
  <c r="L4" i="5"/>
  <c r="M4" i="5"/>
  <c r="N4" i="5"/>
  <c r="M7" i="5" l="1"/>
  <c r="L7" i="5"/>
  <c r="K7" i="5"/>
  <c r="N7" i="5"/>
  <c r="I3" i="5"/>
  <c r="I7" i="5" s="1"/>
  <c r="H7" i="5"/>
  <c r="D4" i="8"/>
  <c r="J3" i="5"/>
  <c r="J4" i="5"/>
  <c r="R3" i="9"/>
  <c r="S3" i="9"/>
  <c r="T3" i="9"/>
  <c r="W3" i="9"/>
  <c r="Q3" i="9"/>
  <c r="J7" i="5" l="1"/>
  <c r="I4" i="8"/>
  <c r="K4" i="8"/>
  <c r="J4" i="8"/>
  <c r="I3" i="9" l="1"/>
  <c r="Z3" i="9" l="1"/>
  <c r="Y3" i="9"/>
  <c r="X3" i="9"/>
  <c r="AB3" i="9"/>
  <c r="AA3" i="9"/>
  <c r="AC3" i="9"/>
  <c r="AD3" i="9"/>
  <c r="H3" i="8"/>
  <c r="G3" i="8"/>
  <c r="F3" i="8"/>
  <c r="X4" i="9" l="1"/>
  <c r="AC4" i="9"/>
  <c r="G6" i="26" s="1"/>
  <c r="AA4" i="9"/>
  <c r="E6" i="26" s="1"/>
  <c r="Y4" i="9"/>
  <c r="C6" i="26" s="1"/>
  <c r="AB4" i="9"/>
  <c r="F6" i="26" s="1"/>
  <c r="AD4" i="9"/>
  <c r="H6" i="26" s="1"/>
  <c r="Z4" i="9"/>
  <c r="D6" i="26" s="1"/>
  <c r="I3" i="8"/>
  <c r="I5" i="8" s="1"/>
  <c r="B3" i="26" s="1"/>
  <c r="J3" i="8"/>
  <c r="J5" i="8" s="1"/>
  <c r="C3" i="26" s="1"/>
  <c r="K3" i="8"/>
  <c r="K5" i="8" s="1"/>
  <c r="D3" i="26" s="1"/>
  <c r="B6" i="26" l="1"/>
  <c r="E4" i="26" l="1"/>
  <c r="E8" i="26" s="1"/>
  <c r="H4" i="26"/>
  <c r="H8" i="26" s="1"/>
  <c r="C4" i="26"/>
  <c r="G4" i="26"/>
  <c r="G8" i="26" s="1"/>
  <c r="F4" i="26"/>
  <c r="F8" i="26" s="1"/>
  <c r="D4" i="26" l="1"/>
  <c r="D8" i="26" l="1"/>
  <c r="C8" i="26"/>
</calcChain>
</file>

<file path=xl/comments1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Não foi informado no Ofício os dias da semana que possui operação.
O PCA, de dezembro de 2011, informa que é de segunda a sexta-feira.</t>
        </r>
      </text>
    </comment>
    <comment ref="A6" authorId="0" shapeId="0">
      <text>
        <r>
          <rPr>
            <sz val="9"/>
            <color indexed="81"/>
            <rFont val="Segoe UI"/>
            <family val="2"/>
          </rPr>
          <t>Valor médio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 xml:space="preserve">Valor encontrado dentro da faixa para materiais similares, contidos na AP-42. </t>
        </r>
      </text>
    </comment>
    <comment ref="B10" authorId="0" shapeId="0">
      <text>
        <r>
          <rPr>
            <sz val="9"/>
            <color indexed="81"/>
            <rFont val="Segoe UI"/>
            <family val="2"/>
          </rPr>
          <t>Foi considerado 50% dessa área total suscetível à erosão eólica.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Table 13.2.3-1 da Seção 13.2.3 estabelece este fator para a atividade de compactação 
https://www3.epa.gov/ttn/chief/ap42/ch13/final/c13s02-3.pdf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2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2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2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Andrielly Moutinho Knupp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Informado que os equipamentos trabalharam 800 horas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2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B3" authorId="0" shapeId="0">
      <text>
        <r>
          <rPr>
            <sz val="9"/>
            <color indexed="81"/>
            <rFont val="Segoe UI"/>
            <family val="2"/>
          </rPr>
          <t xml:space="preserve">Não foi informado o modelo no ofício. Então foi considerado o modelo que consta no PCA: Escavadeira CAT 320. 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E1" authorId="0" shapeId="0">
      <text>
        <r>
          <rPr>
            <sz val="9"/>
            <color indexed="81"/>
            <rFont val="Segoe UI"/>
            <family val="2"/>
          </rPr>
          <t>Valor médio da umidade do material de cobertura, proveniente da AP-42 (2006): Aggregate Handling and Storage
Piles 
https://www3.epa.gov/ttn/chief/ap42/ch13/index.html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</authors>
  <commentList>
    <comment ref="D1" authorId="0" shapeId="0">
      <text>
        <r>
          <rPr>
            <sz val="9"/>
            <color indexed="81"/>
            <rFont val="Segoe UI"/>
            <family val="2"/>
          </rPr>
          <t>Valor médio do material de cobertura, proveniente da Tabela 13.2.4-1 da Seção 13.2.4 Aggregate Handling and Storage Piles 
https://www3.epa.gov/ttn/chief/ap42/ch13/index.html</t>
        </r>
      </text>
    </comment>
    <comment ref="H1" authorId="0" shapeId="0">
      <text>
        <r>
          <rPr>
            <sz val="9"/>
            <color indexed="81"/>
            <rFont val="Segoe UI"/>
            <family val="2"/>
          </rPr>
          <t>Informado pelo empreendimento que ocorre umectação durante a atividade, sem informar uma frequência.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caçamba/basculante utilizado em atividade similar.
http://www1.dnit.gov.br/Pesagem/sis_sgpv/QFV/QFV%202008%20Divulga%C3%A7%C3%A3o.pdf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caçamba/basculante utilizado em atividade similar.
http://www1.dnit.gov.br/Pesagem/sis_sgpv/QFV/QFV%202008%20Divulga%C3%A7%C3%A3o.pdf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 xml:space="preserve">Informado pela empresa que ocorre umectação das vias, sem especificação da frequência. 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>Por informações contidas no PCA, considerou-se que 30% do material seria transportado  para outras áreas, que não utilizadas no mesmo local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USEPA (2006) - Unpaved Roads. Table 13.2.2-1 - Construction sites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<sst xmlns="http://schemas.openxmlformats.org/spreadsheetml/2006/main" count="250" uniqueCount="178">
  <si>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</si>
  <si>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</si>
  <si>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</si>
  <si>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</si>
  <si>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</si>
  <si>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</si>
  <si>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</si>
  <si>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</si>
  <si>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</si>
  <si>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</si>
  <si>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</si>
  <si>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</si>
  <si>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</si>
  <si>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</si>
  <si>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</si>
  <si>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</si>
  <si>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</si>
  <si>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</si>
  <si>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</si>
  <si>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</si>
  <si>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</si>
  <si>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</si>
  <si>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</si>
  <si>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</si>
  <si>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</si>
  <si>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</si>
  <si>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</si>
  <si>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</si>
  <si>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</si>
  <si>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</si>
  <si>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</si>
  <si>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</si>
  <si>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</si>
  <si>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</si>
  <si>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</si>
  <si>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</si>
  <si>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</si>
  <si>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</si>
  <si>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</si>
  <si>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</si>
  <si>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</si>
  <si>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</si>
  <si>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</si>
  <si>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</si>
  <si>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</si>
  <si>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</si>
  <si>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</si>
  <si>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</si>
  <si>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</si>
  <si>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</si>
  <si>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</si>
  <si>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</si>
  <si>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</si>
  <si>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</si>
  <si>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</si>
  <si>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</si>
  <si>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</si>
  <si>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</si>
  <si>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</si>
  <si>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</si>
  <si>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</si>
  <si>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</si>
  <si>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</si>
  <si>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</si>
  <si>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</si>
  <si>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</si>
  <si>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</si>
  <si>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</si>
  <si>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</si>
  <si>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</si>
  <si>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</si>
  <si>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</si>
  <si>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</si>
  <si>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</si>
  <si>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</si>
  <si>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</si>
  <si>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</si>
  <si>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</si>
  <si>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</si>
  <si>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</si>
  <si>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</si>
  <si>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</si>
  <si>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</si>
  <si>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</si>
  <si>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</si>
  <si>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</si>
  <si>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</si>
  <si>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</si>
  <si>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</si>
  <si>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</si>
  <si>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</si>
  <si>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</si>
  <si>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</si>
  <si>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</si>
  <si>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Quantidade Movimentada (t/h)</t>
  </si>
  <si>
    <t>Controle</t>
  </si>
  <si>
    <t>Transferências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</si>
  <si>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</si>
  <si>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Horário de Funcionamento</t>
  </si>
  <si>
    <t>Umectação</t>
  </si>
  <si>
    <t>Via Trecho 1</t>
  </si>
  <si>
    <t>Máquinas e Equipamentos</t>
  </si>
  <si>
    <t>Vias de Tráfego</t>
  </si>
  <si>
    <t>Erosão Eólica</t>
  </si>
  <si>
    <t>Fontes Emissoras</t>
  </si>
  <si>
    <t>-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</si>
  <si>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</si>
  <si>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Quantidade Movimentada (m³/ano)</t>
  </si>
  <si>
    <t>Área total de terraplanagem (m²)</t>
  </si>
  <si>
    <t xml:space="preserve">Período de Obras </t>
  </si>
  <si>
    <t>TR - Car. Caminhão</t>
  </si>
  <si>
    <t>TR - Desc. Caminhão</t>
  </si>
  <si>
    <t>Características do Equipamento</t>
  </si>
  <si>
    <t>Características do Material</t>
  </si>
  <si>
    <t>Máquina/Equipamento utilizado</t>
  </si>
  <si>
    <t>Fonte: USEPA (1998) - https://www3.epa.gov/ttn/chief/ap42/ch11/final/c11s09.pdf</t>
  </si>
  <si>
    <r>
      <t>PM</t>
    </r>
    <r>
      <rPr>
        <b/>
        <vertAlign val="subscript"/>
        <sz val="8"/>
        <color theme="1"/>
        <rFont val="Arial"/>
        <family val="2"/>
      </rPr>
      <t>10</t>
    </r>
  </si>
  <si>
    <r>
      <t>PM</t>
    </r>
    <r>
      <rPr>
        <b/>
        <vertAlign val="subscript"/>
        <sz val="8"/>
        <color theme="1"/>
        <rFont val="Arial"/>
        <family val="2"/>
      </rPr>
      <t>2.5</t>
    </r>
  </si>
  <si>
    <t>Onde:
E - emissão (kg/h)
s - teor de silt (%)
M - teor de umidade do material (%)</t>
  </si>
  <si>
    <t>AP42 - Section 11.9 - Table 11.9-2 - Bulldozing (Overburden)</t>
  </si>
  <si>
    <t xml:space="preserve">09:00 às 11:00 </t>
  </si>
  <si>
    <t>13:00 às 18:00</t>
  </si>
  <si>
    <t xml:space="preserve">Escavadeira </t>
  </si>
  <si>
    <t>2014 a Maio/2015</t>
  </si>
  <si>
    <t xml:space="preserve">Fonte: Informações fornecidas pelo empreendimento pelo Ofício </t>
  </si>
  <si>
    <t>Massa específica solo (kg/m³)</t>
  </si>
  <si>
    <t>Trator Valtra BM100</t>
  </si>
  <si>
    <t>Rolo Compactador Caterpillar CS533</t>
  </si>
  <si>
    <t>Tractors/Loaders/Backhoes
(Trator/Carregadeira/
Retroescavadeira)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</si>
  <si>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</si>
  <si>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</si>
  <si>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</si>
  <si>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</si>
  <si>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</si>
  <si>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</si>
  <si>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</si>
  <si>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Graders 
(Máquina Niveladora)</t>
  </si>
  <si>
    <t>Graders - 50</t>
  </si>
  <si>
    <t>Graders - 120</t>
  </si>
  <si>
    <t>Graders - 175</t>
  </si>
  <si>
    <t>Graders - 250</t>
  </si>
  <si>
    <t>Graders - 500</t>
  </si>
  <si>
    <t>Graders - 750</t>
  </si>
  <si>
    <t>Rollers - 15</t>
  </si>
  <si>
    <t>Rollers - 25</t>
  </si>
  <si>
    <t>Rollers - 50</t>
  </si>
  <si>
    <t>Rollers - 120</t>
  </si>
  <si>
    <t>Rollers - 175</t>
  </si>
  <si>
    <t>Rollers - 250</t>
  </si>
  <si>
    <t>Rollers - 500</t>
  </si>
  <si>
    <t>Rollers
(Compactadores)</t>
  </si>
  <si>
    <t>Rolo Compactador</t>
  </si>
  <si>
    <t xml:space="preserve">Quantidade </t>
  </si>
  <si>
    <t>Compactação</t>
  </si>
  <si>
    <t>Motoniveladora Caterpillar 120K</t>
  </si>
  <si>
    <t>Tráfego diário de veículos pesados</t>
  </si>
  <si>
    <t>Nota: Como não foi informado o ano dos equipamentos, foi considerado, de forma conservadora, os fatores de 2007.</t>
  </si>
  <si>
    <t>TOTAL</t>
  </si>
  <si>
    <t>VOC</t>
  </si>
  <si>
    <t>Eficiência de Controle [%]</t>
  </si>
  <si>
    <t>Fator de Emissão - Compactação do Solo [kg/hr]</t>
  </si>
  <si>
    <t xml:space="preserve"> Emissão - Compactação do solo [kg/h]</t>
  </si>
  <si>
    <t>Teor de Silte [%]</t>
  </si>
  <si>
    <t>Umidade [%]</t>
  </si>
  <si>
    <t>Comprimento [m]</t>
  </si>
  <si>
    <t>Quantidade Movimentada [t/h]</t>
  </si>
  <si>
    <t>Capacidade do Caminhão [t]</t>
  </si>
  <si>
    <t>Nº de Caminhões por Hora [h-1]</t>
  </si>
  <si>
    <t>DMT  [km/h]</t>
  </si>
  <si>
    <t>Peso Médio dos Caminhões [t]</t>
  </si>
  <si>
    <t>Fator de Emissão - Ressuspensão [kg/VKT]</t>
  </si>
  <si>
    <t>Fator de Emissão - Gases Escapamento [kg/km]</t>
  </si>
  <si>
    <t>Movimentação material [t/h]</t>
  </si>
  <si>
    <t>Umidade do Solo [%]</t>
  </si>
  <si>
    <t>Fator de Emissão [kg/t]</t>
  </si>
  <si>
    <t>Latitude [º]</t>
  </si>
  <si>
    <t>Longitude [º]</t>
  </si>
  <si>
    <t>Nota: "Erosão Eólica" foi calculada na Planilha: Erosão Eólica_Santafe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</si>
</sst>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0.0000000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  <font>
      <b/>
      <sz val="8"/>
      <color rgb="FFFF0000"/>
      <name val="Arial"/>
      <family val="2"/>
    </font>
    <font>
      <sz val="10"/>
      <color rgb="FFFF0000"/>
      <name val="Times New Roman"/>
      <family val="1"/>
    </font>
    <font>
      <b/>
      <vertAlign val="sub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" fillId="0" borderId="11" xfId="0" applyFont="1" applyFill="1" applyBorder="1" applyAlignment="1">
      <alignment horizontal="left" vertical="center"/>
    </xf>
    <xf numFmtId="165" fontId="1" fillId="0" borderId="1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2" fillId="0" borderId="1" xfId="0" applyFont="1" applyFill="1" applyBorder="1" applyAlignment="1">
      <alignment horizontal="center" vertical="center"/>
    </xf>
    <xf numFmtId="171" fontId="0" fillId="0" borderId="0" xfId="0" applyNumberFormat="1"/>
    <xf numFmtId="3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2" fontId="1" fillId="0" borderId="6" xfId="0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5" fillId="0" borderId="0" xfId="0" applyFont="1" applyFill="1" applyAlignment="1">
      <alignment vertical="center"/>
    </xf>
    <xf numFmtId="167" fontId="1" fillId="0" borderId="0" xfId="0" applyNumberFormat="1" applyFont="1" applyFill="1"/>
    <xf numFmtId="0" fontId="1" fillId="0" borderId="10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17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170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D9D9D9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1828801</xdr:colOff>
      <xdr:row>2</xdr:row>
      <xdr:rowOff>100012</xdr:rowOff>
    </xdr:from>
    <xdr:ext cx="24003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1828801" y="86201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𝑃𝑀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=2,6×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28801" y="86201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𝐸_𝑃𝑀=2,6×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123825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1838325" y="1266825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38325" y="1266825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𝐸=0,75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100" b="0" i="0">
                  <a:latin typeface="Cambria Math" panose="02040503050406030204" pitchFamily="18" charset="0"/>
                </a:rPr>
                <a:t>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1809750</xdr:colOff>
      <xdr:row>6</xdr:row>
      <xdr:rowOff>142875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1809750" y="17145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=0,105×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𝑃𝑀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09750" y="17145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𝐸=0,105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×𝐸_𝑃𝑀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39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9</xdr:row>
      <xdr:rowOff>76200</xdr:rowOff>
    </xdr:from>
    <xdr:to>
      <xdr:col>3</xdr:col>
      <xdr:colOff>809625</xdr:colOff>
      <xdr:row>11</xdr:row>
      <xdr:rowOff>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466975" y="2028825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581025</xdr:colOff>
      <xdr:row>9</xdr:row>
      <xdr:rowOff>66675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581025" y="20193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581025" y="20193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E12" sqref="E12"/>
    </sheetView>
  </sheetViews>
  <sheetFormatPr defaultColWidth="16" defaultRowHeight="15" customHeight="1" x14ac:dyDescent="0.2"/>
  <cols>
    <col min="1" max="1" width="32.85546875" style="1" customWidth="1"/>
    <col min="2" max="2" width="22.5703125" style="1" customWidth="1"/>
    <col min="3" max="3" width="21.7109375" style="1" customWidth="1"/>
    <col min="4" max="16384" width="16" style="1"/>
  </cols>
  <sheetData>
    <row r="1" spans="1:4" ht="15" customHeight="1" x14ac:dyDescent="0.2">
      <c r="A1" s="3" t="s">
        <v>124</v>
      </c>
    </row>
    <row r="2" spans="1:4" ht="15" customHeight="1" x14ac:dyDescent="0.25">
      <c r="A2" s="102" t="s">
        <v>98</v>
      </c>
      <c r="B2"/>
    </row>
    <row r="3" spans="1:4" ht="15" customHeight="1" x14ac:dyDescent="0.2">
      <c r="A3" s="31" t="s">
        <v>120</v>
      </c>
    </row>
    <row r="4" spans="1:4" ht="15" customHeight="1" x14ac:dyDescent="0.2">
      <c r="A4" s="31" t="s">
        <v>121</v>
      </c>
    </row>
    <row r="6" spans="1:4" ht="15" customHeight="1" x14ac:dyDescent="0.2">
      <c r="A6" s="106" t="s">
        <v>107</v>
      </c>
      <c r="B6" s="66">
        <v>200000</v>
      </c>
      <c r="C6" s="45"/>
      <c r="D6" s="76"/>
    </row>
    <row r="7" spans="1:4" ht="15" customHeight="1" x14ac:dyDescent="0.2">
      <c r="A7" s="106" t="s">
        <v>125</v>
      </c>
      <c r="B7" s="104">
        <v>1500</v>
      </c>
      <c r="C7" s="78"/>
      <c r="D7" s="74"/>
    </row>
    <row r="8" spans="1:4" ht="15" customHeight="1" x14ac:dyDescent="0.2">
      <c r="A8" s="106" t="s">
        <v>94</v>
      </c>
      <c r="B8" s="55">
        <f>(B6*B7/1000)/8760</f>
        <v>34.246575342465754</v>
      </c>
      <c r="C8" s="75"/>
      <c r="D8" s="75"/>
    </row>
    <row r="9" spans="1:4" ht="15" customHeight="1" x14ac:dyDescent="0.2">
      <c r="A9" s="107"/>
      <c r="B9" s="105"/>
    </row>
    <row r="10" spans="1:4" ht="15" customHeight="1" x14ac:dyDescent="0.2">
      <c r="A10" s="32" t="s">
        <v>108</v>
      </c>
      <c r="B10" s="66">
        <v>81780.5</v>
      </c>
      <c r="C10" s="2"/>
    </row>
    <row r="11" spans="1:4" ht="15" customHeight="1" x14ac:dyDescent="0.2">
      <c r="A11" s="2"/>
      <c r="B11" s="105"/>
    </row>
    <row r="12" spans="1:4" ht="15" customHeight="1" x14ac:dyDescent="0.2">
      <c r="A12" s="48" t="s">
        <v>109</v>
      </c>
      <c r="B12" s="91" t="s">
        <v>123</v>
      </c>
      <c r="C12" s="85"/>
    </row>
    <row r="13" spans="1:4" ht="15" customHeight="1" x14ac:dyDescent="0.2">
      <c r="A13" s="19"/>
      <c r="B13" s="5"/>
      <c r="C13" s="85"/>
    </row>
    <row r="14" spans="1:4" ht="15" customHeight="1" x14ac:dyDescent="0.2">
      <c r="A14" s="106" t="s">
        <v>155</v>
      </c>
      <c r="B14" s="5">
        <v>8</v>
      </c>
      <c r="C14" s="85"/>
    </row>
    <row r="15" spans="1:4" ht="15" customHeight="1" x14ac:dyDescent="0.2">
      <c r="A15" s="3"/>
      <c r="B15" s="3"/>
      <c r="C15" s="85"/>
    </row>
    <row r="18" spans="1:7" ht="15" customHeight="1" x14ac:dyDescent="0.2">
      <c r="F18" s="77"/>
    </row>
    <row r="20" spans="1:7" ht="15" customHeight="1" x14ac:dyDescent="0.2">
      <c r="A20" s="84"/>
      <c r="B20" s="84"/>
      <c r="D20" s="85"/>
      <c r="E20" s="85"/>
      <c r="F20" s="85"/>
      <c r="G20" s="85"/>
    </row>
    <row r="21" spans="1:7" ht="15" customHeight="1" x14ac:dyDescent="0.2">
      <c r="A21" s="86"/>
      <c r="B21" s="86"/>
      <c r="C21" s="85"/>
      <c r="D21" s="85"/>
      <c r="E21" s="85"/>
      <c r="F21" s="85"/>
      <c r="G21" s="85"/>
    </row>
    <row r="22" spans="1:7" ht="15" customHeight="1" x14ac:dyDescent="0.2">
      <c r="A22" s="85"/>
      <c r="B22" s="85"/>
      <c r="C22" s="85"/>
      <c r="D22" s="85"/>
      <c r="E22" s="85"/>
      <c r="F22" s="85"/>
      <c r="G22" s="85"/>
    </row>
    <row r="23" spans="1:7" ht="15" customHeight="1" x14ac:dyDescent="0.2">
      <c r="A23" s="85"/>
      <c r="B23" s="85"/>
      <c r="C23" s="85"/>
      <c r="D23" s="85"/>
      <c r="E23" s="85"/>
      <c r="F23" s="85"/>
      <c r="G23" s="85"/>
    </row>
    <row r="24" spans="1:7" ht="15" customHeight="1" x14ac:dyDescent="0.2">
      <c r="A24" s="85"/>
      <c r="B24" s="85"/>
      <c r="C24" s="85"/>
      <c r="D24" s="85"/>
      <c r="E24" s="85"/>
      <c r="F24" s="85"/>
      <c r="G24" s="85"/>
    </row>
    <row r="25" spans="1:7" ht="15" customHeight="1" x14ac:dyDescent="0.2">
      <c r="A25" s="85"/>
      <c r="B25" s="85"/>
      <c r="C25" s="85"/>
      <c r="D25" s="85"/>
      <c r="E25" s="85"/>
      <c r="F25" s="85"/>
      <c r="G25" s="85"/>
    </row>
    <row r="26" spans="1:7" ht="15" customHeight="1" x14ac:dyDescent="0.2">
      <c r="A26" s="87"/>
      <c r="B26" s="85"/>
      <c r="C26" s="85"/>
      <c r="D26" s="85"/>
      <c r="E26" s="85"/>
      <c r="F26" s="85"/>
      <c r="G26" s="85"/>
    </row>
    <row r="27" spans="1:7" ht="15" customHeight="1" x14ac:dyDescent="0.2">
      <c r="A27" s="87"/>
      <c r="B27" s="85"/>
      <c r="C27" s="85"/>
      <c r="D27" s="85"/>
      <c r="E27" s="85"/>
      <c r="F27" s="85"/>
      <c r="G27" s="85"/>
    </row>
    <row r="28" spans="1:7" ht="15" customHeight="1" x14ac:dyDescent="0.2">
      <c r="A28" s="87"/>
      <c r="B28" s="85"/>
      <c r="C28" s="85"/>
      <c r="D28" s="85"/>
      <c r="E28" s="85"/>
      <c r="F28" s="85"/>
      <c r="G28" s="85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9" sqref="B9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183" t="s">
        <v>104</v>
      </c>
      <c r="B1" s="166" t="s">
        <v>1</v>
      </c>
      <c r="C1" s="167"/>
      <c r="D1" s="167"/>
      <c r="E1" s="167"/>
      <c r="F1" s="167"/>
      <c r="G1" s="167"/>
      <c r="H1" s="167"/>
    </row>
    <row r="2" spans="1:9" ht="15" customHeight="1" x14ac:dyDescent="0.25">
      <c r="A2" s="183"/>
      <c r="B2" s="4" t="s">
        <v>2</v>
      </c>
      <c r="C2" s="4" t="s">
        <v>3</v>
      </c>
      <c r="D2" s="4" t="s">
        <v>20</v>
      </c>
      <c r="E2" s="4" t="s">
        <v>5</v>
      </c>
      <c r="F2" s="4" t="s">
        <v>6</v>
      </c>
      <c r="G2" s="4" t="s">
        <v>4</v>
      </c>
      <c r="H2" s="4" t="s">
        <v>158</v>
      </c>
    </row>
    <row r="3" spans="1:9" ht="15" customHeight="1" x14ac:dyDescent="0.25">
      <c r="A3" s="2" t="s">
        <v>96</v>
      </c>
      <c r="B3" s="7">
        <f>'Emissão Transferências'!I5</f>
        <v>1.5269535489654248E-2</v>
      </c>
      <c r="C3" s="7">
        <f>'Emissão Transferências'!J5</f>
        <v>7.2220775964580899E-3</v>
      </c>
      <c r="D3" s="7">
        <f>'Emissão Transferências'!K5</f>
        <v>1.0936288931779395E-3</v>
      </c>
      <c r="E3" s="31" t="s">
        <v>105</v>
      </c>
      <c r="F3" s="31" t="s">
        <v>105</v>
      </c>
      <c r="G3" s="31" t="s">
        <v>105</v>
      </c>
      <c r="H3" s="31" t="s">
        <v>105</v>
      </c>
    </row>
    <row r="4" spans="1:9" ht="15" customHeight="1" x14ac:dyDescent="0.25">
      <c r="A4" s="2" t="s">
        <v>101</v>
      </c>
      <c r="B4" s="7">
        <f>'Emissão Maq e Equip'!H7</f>
        <v>1.347308406326978E-2</v>
      </c>
      <c r="C4" s="7">
        <f>'Emissão Maq e Equip'!I7</f>
        <v>1.347308406326978E-2</v>
      </c>
      <c r="D4" s="7">
        <f>'Emissão Maq e Equip'!J7</f>
        <v>1.347308406326978E-2</v>
      </c>
      <c r="E4" s="7">
        <f>'Emissão Maq e Equip'!K7</f>
        <v>0.19774566610817818</v>
      </c>
      <c r="F4" s="18">
        <f>'Emissão Maq e Equip'!L7</f>
        <v>1.6907550279853938E-4</v>
      </c>
      <c r="G4" s="7">
        <f>'Emissão Maq e Equip'!M7</f>
        <v>9.6066033994720176E-2</v>
      </c>
      <c r="H4" s="7">
        <f>'Emissão Maq e Equip'!N7</f>
        <v>2.8112187230415545E-2</v>
      </c>
    </row>
    <row r="5" spans="1:9" ht="15" customHeight="1" x14ac:dyDescent="0.25">
      <c r="A5" s="2" t="s">
        <v>153</v>
      </c>
      <c r="B5" s="7">
        <f>'Emissão Compactação'!M4</f>
        <v>9.1793654476477166E-2</v>
      </c>
      <c r="C5" s="7">
        <f>'Emissão Compactação'!N4</f>
        <v>1.7966675239744517E-2</v>
      </c>
      <c r="D5" s="7">
        <f>'Emissão Compactação'!O4</f>
        <v>9.6383337200301004E-3</v>
      </c>
      <c r="E5" s="31" t="s">
        <v>105</v>
      </c>
      <c r="F5" s="31" t="s">
        <v>105</v>
      </c>
      <c r="G5" s="31" t="s">
        <v>105</v>
      </c>
      <c r="H5" s="31" t="s">
        <v>105</v>
      </c>
    </row>
    <row r="6" spans="1:9" ht="15" customHeight="1" x14ac:dyDescent="0.25">
      <c r="A6" s="2" t="s">
        <v>102</v>
      </c>
      <c r="B6" s="7">
        <f>'Emissão Vias '!X4</f>
        <v>0.21521386870175113</v>
      </c>
      <c r="C6" s="7">
        <f>'Emissão Vias '!Y4</f>
        <v>6.151347863830315E-2</v>
      </c>
      <c r="D6" s="7">
        <f>'Emissão Vias '!Z4</f>
        <v>6.1794190371359664E-3</v>
      </c>
      <c r="E6" s="18">
        <f>'Emissão Vias '!AA4</f>
        <v>9.6915500678506348E-4</v>
      </c>
      <c r="F6" s="18">
        <f>'Emissão Vias '!AB4</f>
        <v>3.7507307883308839E-5</v>
      </c>
      <c r="G6" s="18">
        <f>'Emissão Vias '!AC4</f>
        <v>1.8517651967151267E-4</v>
      </c>
      <c r="H6" s="18">
        <f>'Emissão Vias '!AD4</f>
        <v>4.4166640814770351E-5</v>
      </c>
    </row>
    <row r="7" spans="1:9" ht="15" customHeight="1" x14ac:dyDescent="0.25">
      <c r="A7" s="2" t="s">
        <v>103</v>
      </c>
      <c r="B7" s="114">
        <v>1.5644697428461782</v>
      </c>
      <c r="C7" s="114">
        <v>0.78223487142308912</v>
      </c>
      <c r="D7" s="114">
        <v>0.11733523071346336</v>
      </c>
      <c r="E7" s="31" t="s">
        <v>105</v>
      </c>
      <c r="F7" s="31" t="s">
        <v>105</v>
      </c>
      <c r="G7" s="31" t="s">
        <v>105</v>
      </c>
      <c r="H7" s="31" t="s">
        <v>105</v>
      </c>
    </row>
    <row r="8" spans="1:9" ht="15" customHeight="1" x14ac:dyDescent="0.25">
      <c r="A8" s="54" t="s">
        <v>157</v>
      </c>
      <c r="B8" s="15">
        <f>SUM(B3:B7)</f>
        <v>1.9002198855773305</v>
      </c>
      <c r="C8" s="15">
        <f t="shared" ref="C8:H8" si="0">SUM(C3:C7)</f>
        <v>0.88241018696086471</v>
      </c>
      <c r="D8" s="15">
        <f>SUM(D3:D7)</f>
        <v>0.14771969642707714</v>
      </c>
      <c r="E8" s="15">
        <f t="shared" si="0"/>
        <v>0.19871482111496325</v>
      </c>
      <c r="F8" s="15">
        <f t="shared" si="0"/>
        <v>2.0658281068184822E-4</v>
      </c>
      <c r="G8" s="15">
        <f t="shared" si="0"/>
        <v>9.6251210514391686E-2</v>
      </c>
      <c r="H8" s="15">
        <f t="shared" si="0"/>
        <v>2.8156353871230316E-2</v>
      </c>
      <c r="I8" s="49"/>
    </row>
    <row r="10" spans="1:9" ht="15" customHeight="1" x14ac:dyDescent="0.25">
      <c r="A10" s="2" t="s">
        <v>177</v>
      </c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F10" sqref="F10"/>
    </sheetView>
  </sheetViews>
  <sheetFormatPr defaultRowHeight="15" x14ac:dyDescent="0.25"/>
  <cols>
    <col min="1" max="1" width="27.5703125" customWidth="1"/>
    <col min="2" max="2" width="14.140625" customWidth="1"/>
    <col min="3" max="3" width="13.5703125" customWidth="1"/>
  </cols>
  <sheetData>
    <row r="1" spans="1:4" x14ac:dyDescent="0.25">
      <c r="A1" s="130" t="s">
        <v>115</v>
      </c>
      <c r="B1" s="131"/>
      <c r="C1" s="131"/>
      <c r="D1" s="131"/>
    </row>
    <row r="2" spans="1:4" x14ac:dyDescent="0.25">
      <c r="A2" s="118" t="s">
        <v>119</v>
      </c>
      <c r="B2" s="119"/>
      <c r="C2" s="119"/>
      <c r="D2" s="120"/>
    </row>
    <row r="3" spans="1:4" x14ac:dyDescent="0.25">
      <c r="A3" s="115" t="s">
        <v>2</v>
      </c>
      <c r="B3" s="133"/>
      <c r="C3" s="133"/>
      <c r="D3" s="133"/>
    </row>
    <row r="4" spans="1:4" x14ac:dyDescent="0.25">
      <c r="A4" s="132"/>
      <c r="B4" s="133"/>
      <c r="C4" s="133"/>
      <c r="D4" s="133"/>
    </row>
    <row r="5" spans="1:4" x14ac:dyDescent="0.25">
      <c r="A5" s="115" t="s">
        <v>116</v>
      </c>
      <c r="B5" s="133"/>
      <c r="C5" s="133"/>
      <c r="D5" s="133"/>
    </row>
    <row r="6" spans="1:4" ht="18.75" customHeight="1" x14ac:dyDescent="0.25">
      <c r="A6" s="116"/>
      <c r="B6" s="133"/>
      <c r="C6" s="133"/>
      <c r="D6" s="133"/>
    </row>
    <row r="7" spans="1:4" ht="18.75" customHeight="1" x14ac:dyDescent="0.25">
      <c r="A7" s="115" t="s">
        <v>117</v>
      </c>
      <c r="B7" s="117"/>
      <c r="C7" s="117"/>
      <c r="D7" s="117"/>
    </row>
    <row r="8" spans="1:4" ht="18.75" customHeight="1" x14ac:dyDescent="0.25">
      <c r="A8" s="116"/>
      <c r="B8" s="117"/>
      <c r="C8" s="117"/>
      <c r="D8" s="117"/>
    </row>
    <row r="9" spans="1:4" ht="15" customHeight="1" x14ac:dyDescent="0.25">
      <c r="A9" s="121" t="s">
        <v>118</v>
      </c>
      <c r="B9" s="122"/>
      <c r="C9" s="122"/>
      <c r="D9" s="123"/>
    </row>
    <row r="10" spans="1:4" x14ac:dyDescent="0.25">
      <c r="A10" s="124"/>
      <c r="B10" s="125"/>
      <c r="C10" s="125"/>
      <c r="D10" s="126"/>
    </row>
    <row r="11" spans="1:4" x14ac:dyDescent="0.25">
      <c r="A11" s="127"/>
      <c r="B11" s="128"/>
      <c r="C11" s="128"/>
      <c r="D11" s="129"/>
    </row>
    <row r="12" spans="1:4" x14ac:dyDescent="0.25">
      <c r="A12" s="28"/>
      <c r="B12" s="28"/>
      <c r="C12" s="28"/>
      <c r="D12" s="28"/>
    </row>
  </sheetData>
  <sheetProtection password="B056" sheet="1" objects="1" scenarios="1"/>
  <mergeCells count="9">
    <mergeCell ref="A7:A8"/>
    <mergeCell ref="B7:D8"/>
    <mergeCell ref="A2:D2"/>
    <mergeCell ref="A9:D11"/>
    <mergeCell ref="A1:D1"/>
    <mergeCell ref="A3:A4"/>
    <mergeCell ref="A5:A6"/>
    <mergeCell ref="B3:D4"/>
    <mergeCell ref="B5:D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workbookViewId="0">
      <selection activeCell="A48" sqref="A48"/>
    </sheetView>
  </sheetViews>
  <sheetFormatPr defaultRowHeight="15" x14ac:dyDescent="0.25"/>
  <cols>
    <col min="1" max="1" width="20.5703125" customWidth="1"/>
    <col min="2" max="2" width="24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2" t="s">
        <v>23</v>
      </c>
    </row>
    <row r="2" spans="1:19" x14ac:dyDescent="0.2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</row>
    <row r="3" spans="1:19" s="46" customFormat="1" x14ac:dyDescent="0.25">
      <c r="A3" s="134" t="s">
        <v>86</v>
      </c>
      <c r="B3" s="47" t="s">
        <v>87</v>
      </c>
      <c r="C3" s="57">
        <v>3.9890165496478201E-3</v>
      </c>
      <c r="D3" s="57">
        <v>6.1369251319822266E-2</v>
      </c>
      <c r="E3" s="57">
        <v>9.4616446621996876E-5</v>
      </c>
      <c r="F3" s="57">
        <v>3.0704922620167548E-2</v>
      </c>
      <c r="G3" s="57">
        <v>9.325230578523698E-3</v>
      </c>
      <c r="H3" s="57">
        <v>7.4570981157761267</v>
      </c>
      <c r="I3" s="57">
        <v>8.4140057334345904E-4</v>
      </c>
    </row>
    <row r="4" spans="1:19" s="46" customFormat="1" x14ac:dyDescent="0.25">
      <c r="A4" s="135"/>
      <c r="B4" s="47" t="s">
        <v>88</v>
      </c>
      <c r="C4" s="57">
        <v>1.5482138027073926E-2</v>
      </c>
      <c r="D4" s="57">
        <v>0.12602279653815557</v>
      </c>
      <c r="E4" s="57">
        <v>1.4669823419588148E-4</v>
      </c>
      <c r="F4" s="57">
        <v>0.15992567973540345</v>
      </c>
      <c r="G4" s="57">
        <v>6.8514240153494874E-2</v>
      </c>
      <c r="H4" s="57">
        <v>11.347760681124397</v>
      </c>
      <c r="I4" s="57">
        <v>6.1819292303150449E-3</v>
      </c>
      <c r="L4" s="56"/>
      <c r="M4" s="17"/>
      <c r="N4" s="17"/>
      <c r="O4" s="17"/>
      <c r="P4" s="17"/>
      <c r="Q4" s="17"/>
      <c r="R4" s="17"/>
      <c r="S4" s="17"/>
    </row>
    <row r="5" spans="1:19" s="46" customFormat="1" x14ac:dyDescent="0.25">
      <c r="A5" s="135"/>
      <c r="B5" s="47" t="s">
        <v>89</v>
      </c>
      <c r="C5" s="57">
        <v>4.3689955953397884E-2</v>
      </c>
      <c r="D5" s="57">
        <v>0.46744735992116221</v>
      </c>
      <c r="E5" s="57">
        <v>3.9173850602458582E-4</v>
      </c>
      <c r="F5" s="57">
        <v>0.24966648844319658</v>
      </c>
      <c r="G5" s="57">
        <v>8.1017998911048009E-2</v>
      </c>
      <c r="H5" s="57">
        <v>33.394826528703661</v>
      </c>
      <c r="I5" s="57">
        <v>7.3101241308548672E-3</v>
      </c>
      <c r="L5" s="56"/>
      <c r="M5" s="17"/>
      <c r="N5" s="17"/>
      <c r="O5" s="17"/>
      <c r="P5" s="17"/>
      <c r="Q5" s="17"/>
      <c r="R5" s="17"/>
      <c r="S5" s="17"/>
    </row>
    <row r="6" spans="1:19" s="46" customFormat="1" x14ac:dyDescent="0.25">
      <c r="A6" s="135"/>
      <c r="B6" s="47" t="s">
        <v>90</v>
      </c>
      <c r="C6" s="57">
        <v>3.6023154684608628E-2</v>
      </c>
      <c r="D6" s="57">
        <v>0.63034815463312366</v>
      </c>
      <c r="E6" s="57">
        <v>5.7274397999067218E-4</v>
      </c>
      <c r="F6" s="57">
        <v>0.30652652990664653</v>
      </c>
      <c r="G6" s="57">
        <v>8.1297557226803041E-2</v>
      </c>
      <c r="H6" s="57">
        <v>50.902804870404331</v>
      </c>
      <c r="I6" s="57">
        <v>7.3353490732738606E-3</v>
      </c>
      <c r="L6" s="59"/>
      <c r="M6" s="59"/>
      <c r="N6" s="59"/>
      <c r="O6" s="59"/>
      <c r="P6" s="59"/>
      <c r="Q6" s="59"/>
      <c r="R6" s="59"/>
      <c r="S6" s="59"/>
    </row>
    <row r="7" spans="1:19" s="46" customFormat="1" x14ac:dyDescent="0.25">
      <c r="A7" s="135"/>
      <c r="B7" s="47" t="s">
        <v>91</v>
      </c>
      <c r="C7" s="57">
        <v>2.9088427954342536E-2</v>
      </c>
      <c r="D7" s="57">
        <v>0.84182054273419638</v>
      </c>
      <c r="E7" s="57">
        <v>8.0986730271663749E-4</v>
      </c>
      <c r="F7" s="57">
        <v>0.21055843242538708</v>
      </c>
      <c r="G7" s="57">
        <v>7.8277754706101627E-2</v>
      </c>
      <c r="H7" s="57">
        <v>71.977225347554125</v>
      </c>
      <c r="I7" s="57">
        <v>7.0628741220007361E-3</v>
      </c>
      <c r="L7" s="59"/>
      <c r="M7" s="59"/>
      <c r="N7" s="59"/>
      <c r="O7" s="59"/>
      <c r="P7" s="59"/>
      <c r="Q7" s="59"/>
      <c r="R7" s="59"/>
      <c r="S7" s="59"/>
    </row>
    <row r="8" spans="1:19" s="46" customFormat="1" x14ac:dyDescent="0.25">
      <c r="A8" s="135"/>
      <c r="B8" s="47" t="s">
        <v>92</v>
      </c>
      <c r="C8" s="14">
        <v>3.8897927506608358E-2</v>
      </c>
      <c r="D8" s="14">
        <v>1.0799749312549003</v>
      </c>
      <c r="E8" s="14">
        <v>1.0406255490298018E-3</v>
      </c>
      <c r="F8" s="14">
        <v>0.34712417522482392</v>
      </c>
      <c r="G8" s="14">
        <v>0.1040828387327908</v>
      </c>
      <c r="H8" s="14">
        <v>106.02050023214386</v>
      </c>
      <c r="I8" s="14">
        <v>9.3912260611923714E-3</v>
      </c>
      <c r="J8" s="59"/>
      <c r="K8" s="96"/>
      <c r="L8" s="56"/>
      <c r="M8" s="56"/>
      <c r="N8" s="56"/>
      <c r="O8" s="56"/>
      <c r="P8" s="56"/>
      <c r="Q8" s="56"/>
      <c r="R8" s="56"/>
      <c r="S8" s="59"/>
    </row>
    <row r="9" spans="1:19" s="46" customFormat="1" x14ac:dyDescent="0.25">
      <c r="A9" s="136"/>
      <c r="B9" s="47" t="s">
        <v>93</v>
      </c>
      <c r="C9" s="14">
        <v>6.5509575064624348E-2</v>
      </c>
      <c r="D9" s="14">
        <v>1.848764979398662</v>
      </c>
      <c r="E9" s="14">
        <v>1.7668986494167919E-3</v>
      </c>
      <c r="F9" s="14">
        <v>0.57357271429451673</v>
      </c>
      <c r="G9" s="14">
        <v>0.17421540945270575</v>
      </c>
      <c r="H9" s="14">
        <v>175.7281803441501</v>
      </c>
      <c r="I9" s="14">
        <v>1.5719177508701557E-2</v>
      </c>
      <c r="J9" s="59"/>
      <c r="K9" s="56"/>
      <c r="L9" s="17"/>
      <c r="M9" s="17"/>
      <c r="N9" s="17"/>
      <c r="O9" s="17"/>
      <c r="P9" s="17"/>
      <c r="Q9" s="17"/>
      <c r="R9" s="17"/>
      <c r="S9" s="59"/>
    </row>
    <row r="10" spans="1:19" s="46" customFormat="1" x14ac:dyDescent="0.25">
      <c r="A10" s="152" t="s">
        <v>136</v>
      </c>
      <c r="B10" s="92" t="s">
        <v>137</v>
      </c>
      <c r="C10" s="95">
        <v>1.7293805866209693E-2</v>
      </c>
      <c r="D10" s="95">
        <v>0.14064469057785822</v>
      </c>
      <c r="E10" s="95">
        <v>1.6147831631212864E-4</v>
      </c>
      <c r="F10" s="95">
        <v>0.17819459307817639</v>
      </c>
      <c r="G10" s="95">
        <v>7.8597656557779436E-2</v>
      </c>
      <c r="H10" s="94">
        <v>12.491067288379856</v>
      </c>
      <c r="I10" s="94">
        <v>7.0917403683841557E-3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</row>
    <row r="11" spans="1:19" s="46" customFormat="1" x14ac:dyDescent="0.25">
      <c r="A11" s="153"/>
      <c r="B11" s="92" t="s">
        <v>138</v>
      </c>
      <c r="C11" s="95">
        <v>4.517300131682412E-2</v>
      </c>
      <c r="D11" s="95">
        <v>0.50006444196109068</v>
      </c>
      <c r="E11" s="95">
        <v>3.9887801750396949E-4</v>
      </c>
      <c r="F11" s="95">
        <v>0.25660255764958401</v>
      </c>
      <c r="G11" s="95">
        <v>8.6290660711401568E-2</v>
      </c>
      <c r="H11" s="94">
        <v>34.003465233847685</v>
      </c>
      <c r="I11" s="94">
        <v>7.7858684299028039E-3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</row>
    <row r="12" spans="1:19" s="46" customFormat="1" x14ac:dyDescent="0.25">
      <c r="A12" s="153"/>
      <c r="B12" s="92" t="s">
        <v>139</v>
      </c>
      <c r="C12" s="95">
        <v>4.1133851253363274E-2</v>
      </c>
      <c r="D12" s="95">
        <v>0.73743613111810991</v>
      </c>
      <c r="E12" s="95">
        <v>6.3245652808831298E-4</v>
      </c>
      <c r="F12" s="95">
        <v>0.34201904518939646</v>
      </c>
      <c r="G12" s="95">
        <v>9.4025823002404793E-2</v>
      </c>
      <c r="H12" s="94">
        <v>56.209793771564719</v>
      </c>
      <c r="I12" s="94">
        <v>8.4838005739341135E-3</v>
      </c>
      <c r="J12" s="59"/>
      <c r="K12" s="59"/>
      <c r="L12" s="59"/>
      <c r="M12" s="56"/>
      <c r="N12" s="56"/>
      <c r="O12" s="56"/>
      <c r="P12" s="56"/>
      <c r="Q12" s="56"/>
      <c r="R12" s="56"/>
      <c r="S12" s="56"/>
    </row>
    <row r="13" spans="1:19" s="46" customFormat="1" x14ac:dyDescent="0.25">
      <c r="A13" s="153"/>
      <c r="B13" s="92" t="s">
        <v>140</v>
      </c>
      <c r="C13" s="95">
        <v>3.6405856222956591E-2</v>
      </c>
      <c r="D13" s="95">
        <v>0.97442063105723431</v>
      </c>
      <c r="E13" s="95">
        <v>8.7841235908159884E-4</v>
      </c>
      <c r="F13" s="95">
        <v>0.26343529859170484</v>
      </c>
      <c r="G13" s="95">
        <v>9.4727400227117536E-2</v>
      </c>
      <c r="H13" s="94">
        <v>78.069179465417093</v>
      </c>
      <c r="I13" s="94">
        <v>8.5471010964626986E-3</v>
      </c>
      <c r="J13" s="59"/>
      <c r="K13" s="59"/>
      <c r="L13" s="59"/>
      <c r="M13" s="17"/>
      <c r="N13" s="17"/>
      <c r="O13" s="17"/>
      <c r="P13" s="17"/>
      <c r="Q13" s="17"/>
      <c r="R13" s="17"/>
      <c r="S13" s="17"/>
    </row>
    <row r="14" spans="1:19" s="46" customFormat="1" x14ac:dyDescent="0.25">
      <c r="A14" s="153"/>
      <c r="B14" s="92" t="s">
        <v>141</v>
      </c>
      <c r="C14" s="95">
        <v>4.3563042920389761E-2</v>
      </c>
      <c r="D14" s="95">
        <v>1.1527690945813167</v>
      </c>
      <c r="E14" s="95">
        <v>1.0216994191013589E-3</v>
      </c>
      <c r="F14" s="95">
        <v>0.43873428460684394</v>
      </c>
      <c r="G14" s="95">
        <v>0.11281438267627451</v>
      </c>
      <c r="H14" s="94">
        <v>104.0922153955068</v>
      </c>
      <c r="I14" s="94">
        <v>1.0179059295530011E-2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</row>
    <row r="15" spans="1:19" s="46" customFormat="1" x14ac:dyDescent="0.25">
      <c r="A15" s="153"/>
      <c r="B15" s="92" t="s">
        <v>142</v>
      </c>
      <c r="C15" s="95">
        <v>9.3107744298034881E-2</v>
      </c>
      <c r="D15" s="95">
        <v>2.5014593305616182</v>
      </c>
      <c r="E15" s="95">
        <v>2.2153423218588346E-3</v>
      </c>
      <c r="F15" s="95">
        <v>0.92416323989491289</v>
      </c>
      <c r="G15" s="95">
        <v>0.24129632760036349</v>
      </c>
      <c r="H15" s="94">
        <v>220.32845417968701</v>
      </c>
      <c r="I15" s="94">
        <v>2.177177353318499E-2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</row>
    <row r="16" spans="1:19" s="46" customFormat="1" x14ac:dyDescent="0.25">
      <c r="A16" s="154" t="s">
        <v>150</v>
      </c>
      <c r="B16" s="92" t="s">
        <v>143</v>
      </c>
      <c r="C16" s="95">
        <v>1.575656241016136E-3</v>
      </c>
      <c r="D16" s="95">
        <v>2.1846605540300799E-2</v>
      </c>
      <c r="E16" s="95">
        <v>4.4609974958892901E-5</v>
      </c>
      <c r="F16" s="95">
        <v>1.7504496292878136E-2</v>
      </c>
      <c r="G16" s="95">
        <v>3.4285838670847224E-3</v>
      </c>
      <c r="H16" s="95">
        <v>2.8668023122440145</v>
      </c>
      <c r="I16" s="95">
        <v>3.0935558237281098E-4</v>
      </c>
      <c r="K16" s="59"/>
      <c r="L16" s="59"/>
      <c r="M16" s="59"/>
      <c r="N16" s="59"/>
      <c r="O16" s="59"/>
      <c r="P16" s="59"/>
      <c r="Q16" s="59"/>
      <c r="R16" s="59"/>
      <c r="S16" s="59"/>
    </row>
    <row r="17" spans="1:19" s="46" customFormat="1" x14ac:dyDescent="0.25">
      <c r="A17" s="153"/>
      <c r="B17" s="92" t="s">
        <v>144</v>
      </c>
      <c r="C17" s="95">
        <v>3.3711557269744314E-3</v>
      </c>
      <c r="D17" s="95">
        <v>5.2864204950609055E-2</v>
      </c>
      <c r="E17" s="95">
        <v>7.679016531526819E-5</v>
      </c>
      <c r="F17" s="95">
        <v>2.6089756757555312E-2</v>
      </c>
      <c r="G17" s="95">
        <v>8.3913229499695697E-3</v>
      </c>
      <c r="H17" s="95">
        <v>6.0521378037306066</v>
      </c>
      <c r="I17" s="95">
        <v>7.5713559332462167E-4</v>
      </c>
      <c r="K17" s="59"/>
      <c r="L17" s="59"/>
      <c r="M17" s="59"/>
      <c r="N17" s="59"/>
      <c r="O17" s="59"/>
      <c r="P17" s="59"/>
      <c r="Q17" s="59"/>
      <c r="R17" s="59"/>
      <c r="S17" s="59"/>
    </row>
    <row r="18" spans="1:19" s="46" customFormat="1" x14ac:dyDescent="0.25">
      <c r="A18" s="153"/>
      <c r="B18" s="92" t="s">
        <v>145</v>
      </c>
      <c r="C18" s="95">
        <v>1.5314149787679587E-2</v>
      </c>
      <c r="D18" s="95">
        <v>0.13083637818230451</v>
      </c>
      <c r="E18" s="95">
        <v>1.5236020639047766E-4</v>
      </c>
      <c r="F18" s="95">
        <v>0.15585956634855813</v>
      </c>
      <c r="G18" s="95">
        <v>6.8957054462389311E-2</v>
      </c>
      <c r="H18" s="95">
        <v>11.785741113743034</v>
      </c>
      <c r="I18" s="95">
        <v>6.2218838410590628E-3</v>
      </c>
      <c r="K18" s="59"/>
      <c r="L18" s="59"/>
      <c r="M18" s="59"/>
      <c r="N18" s="59"/>
      <c r="O18" s="59"/>
      <c r="P18" s="59"/>
      <c r="Q18" s="59"/>
      <c r="R18" s="59"/>
      <c r="S18" s="59"/>
    </row>
    <row r="19" spans="1:19" s="46" customFormat="1" x14ac:dyDescent="0.25">
      <c r="A19" s="153"/>
      <c r="B19" s="92" t="s">
        <v>146</v>
      </c>
      <c r="C19" s="95">
        <v>3.3309935982535011E-2</v>
      </c>
      <c r="D19" s="95">
        <v>0.39234610723281199</v>
      </c>
      <c r="E19" s="95">
        <v>3.1387121104473639E-4</v>
      </c>
      <c r="F19" s="95">
        <v>0.19623905859425336</v>
      </c>
      <c r="G19" s="95">
        <v>6.5780792944078362E-2</v>
      </c>
      <c r="H19" s="95">
        <v>26.756830209850694</v>
      </c>
      <c r="I19" s="95">
        <v>5.9352964777756468E-3</v>
      </c>
      <c r="K19" s="59"/>
      <c r="L19" s="59"/>
      <c r="M19" s="59"/>
      <c r="N19" s="59"/>
      <c r="O19" s="59"/>
      <c r="P19" s="59"/>
      <c r="Q19" s="59"/>
      <c r="R19" s="59"/>
      <c r="S19" s="59"/>
    </row>
    <row r="20" spans="1:19" s="46" customFormat="1" x14ac:dyDescent="0.25">
      <c r="A20" s="153"/>
      <c r="B20" s="92" t="s">
        <v>147</v>
      </c>
      <c r="C20" s="95">
        <v>3.3912807797719428E-2</v>
      </c>
      <c r="D20" s="95">
        <v>0.64385126444989804</v>
      </c>
      <c r="E20" s="95">
        <v>5.5194373792824309E-4</v>
      </c>
      <c r="F20" s="95">
        <v>0.29023161304287465</v>
      </c>
      <c r="G20" s="95">
        <v>7.9307095273692785E-2</v>
      </c>
      <c r="H20" s="95">
        <v>49.054187561748243</v>
      </c>
      <c r="I20" s="95">
        <v>7.1557539248494071E-3</v>
      </c>
      <c r="K20" s="59"/>
      <c r="L20" s="59"/>
      <c r="M20" s="59"/>
      <c r="N20" s="59"/>
      <c r="O20" s="59"/>
      <c r="P20" s="59"/>
      <c r="Q20" s="59"/>
      <c r="R20" s="59"/>
      <c r="S20" s="59"/>
    </row>
    <row r="21" spans="1:19" s="46" customFormat="1" x14ac:dyDescent="0.25">
      <c r="A21" s="153"/>
      <c r="B21" s="92" t="s">
        <v>148</v>
      </c>
      <c r="C21" s="95">
        <v>3.3086194221094795E-2</v>
      </c>
      <c r="D21" s="95">
        <v>0.87061844820994538</v>
      </c>
      <c r="E21" s="95">
        <v>7.8132260330237332E-4</v>
      </c>
      <c r="F21" s="95">
        <v>0.24453664250809209</v>
      </c>
      <c r="G21" s="95">
        <v>8.4698408626282556E-2</v>
      </c>
      <c r="H21" s="95">
        <v>69.440315698640944</v>
      </c>
      <c r="I21" s="95">
        <v>7.6422003970791769E-3</v>
      </c>
      <c r="K21" s="59"/>
      <c r="L21" s="59"/>
      <c r="M21" s="59"/>
      <c r="N21" s="59"/>
      <c r="O21" s="59"/>
      <c r="P21" s="59"/>
      <c r="Q21" s="59"/>
      <c r="R21" s="59"/>
      <c r="S21" s="59"/>
    </row>
    <row r="22" spans="1:19" s="46" customFormat="1" x14ac:dyDescent="0.25">
      <c r="A22" s="153"/>
      <c r="B22" s="92" t="s">
        <v>149</v>
      </c>
      <c r="C22" s="95">
        <v>4.2320122053026682E-2</v>
      </c>
      <c r="D22" s="95">
        <v>1.1225867247273824</v>
      </c>
      <c r="E22" s="95">
        <v>9.7547160970829448E-4</v>
      </c>
      <c r="F22" s="95">
        <v>0.45433497663964162</v>
      </c>
      <c r="G22" s="95">
        <v>0.1077108189625333</v>
      </c>
      <c r="H22" s="95">
        <v>99.382477485218516</v>
      </c>
      <c r="I22" s="95">
        <v>9.7185757267647908E-3</v>
      </c>
      <c r="L22" s="59"/>
      <c r="M22" s="59"/>
      <c r="N22" s="59"/>
      <c r="O22" s="59"/>
      <c r="P22" s="59"/>
      <c r="Q22" s="59"/>
      <c r="R22" s="59"/>
      <c r="S22" s="59"/>
    </row>
    <row r="23" spans="1:19" x14ac:dyDescent="0.25">
      <c r="A23" s="149" t="s">
        <v>25</v>
      </c>
      <c r="B23" s="16" t="s">
        <v>26</v>
      </c>
      <c r="C23" s="57">
        <v>4.1647481574952775E-3</v>
      </c>
      <c r="D23" s="57">
        <v>6.5318933034944765E-2</v>
      </c>
      <c r="E23" s="57">
        <v>9.7431139391112798E-5</v>
      </c>
      <c r="F23" s="57">
        <v>3.2117661168667613E-2</v>
      </c>
      <c r="G23" s="57">
        <v>1.0013560541894806E-2</v>
      </c>
      <c r="H23" s="57">
        <v>7.6789363702976381</v>
      </c>
      <c r="I23" s="57">
        <v>9.0350737078986789E-4</v>
      </c>
      <c r="J23" s="17"/>
      <c r="K23" s="17"/>
      <c r="L23" s="58"/>
      <c r="M23" s="59"/>
      <c r="N23" s="59"/>
      <c r="O23" s="59"/>
      <c r="P23" s="59"/>
      <c r="Q23" s="59"/>
      <c r="R23" s="59"/>
      <c r="S23" s="59"/>
    </row>
    <row r="24" spans="1:19" x14ac:dyDescent="0.25">
      <c r="A24" s="150"/>
      <c r="B24" s="16" t="s">
        <v>27</v>
      </c>
      <c r="C24" s="57">
        <v>1.9389461005136124E-2</v>
      </c>
      <c r="D24" s="57">
        <v>0.15850781980120351</v>
      </c>
      <c r="E24" s="57">
        <v>1.8265581631205882E-4</v>
      </c>
      <c r="F24" s="57">
        <v>0.19953638186759515</v>
      </c>
      <c r="G24" s="57">
        <v>8.7889870552575564E-2</v>
      </c>
      <c r="H24" s="57">
        <v>14.129238189499569</v>
      </c>
      <c r="I24" s="57">
        <v>7.9301638618412291E-3</v>
      </c>
      <c r="L24" s="59"/>
      <c r="M24" s="59"/>
      <c r="N24" s="59"/>
      <c r="O24" s="59"/>
      <c r="P24" s="59"/>
      <c r="Q24" s="59"/>
      <c r="R24" s="59"/>
      <c r="S24" s="59"/>
    </row>
    <row r="25" spans="1:19" x14ac:dyDescent="0.25">
      <c r="A25" s="150"/>
      <c r="B25" s="16" t="s">
        <v>28</v>
      </c>
      <c r="C25" s="57">
        <v>3.5159649405128737E-2</v>
      </c>
      <c r="D25" s="57">
        <v>0.39013010201093185</v>
      </c>
      <c r="E25" s="57">
        <v>3.1347091665644508E-4</v>
      </c>
      <c r="F25" s="57">
        <v>0.2004419223709539</v>
      </c>
      <c r="G25" s="57">
        <v>6.7138814469940591E-2</v>
      </c>
      <c r="H25" s="57">
        <v>26.722695910514073</v>
      </c>
      <c r="I25" s="57">
        <v>6.0578280967871325E-3</v>
      </c>
      <c r="L25" s="59"/>
      <c r="M25" s="59"/>
      <c r="N25" s="59"/>
      <c r="O25" s="59"/>
      <c r="P25" s="59"/>
      <c r="Q25" s="59"/>
      <c r="R25" s="59"/>
      <c r="S25" s="59"/>
    </row>
    <row r="26" spans="1:19" x14ac:dyDescent="0.25">
      <c r="A26" s="150"/>
      <c r="B26" s="16" t="s">
        <v>29</v>
      </c>
      <c r="C26" s="57">
        <v>3.4873730864910753E-2</v>
      </c>
      <c r="D26" s="57">
        <v>0.62819014565488085</v>
      </c>
      <c r="E26" s="57">
        <v>5.4259968788077681E-4</v>
      </c>
      <c r="F26" s="57">
        <v>0.29143683660988179</v>
      </c>
      <c r="G26" s="57">
        <v>7.9806989940830519E-2</v>
      </c>
      <c r="H26" s="57">
        <v>48.223729179933819</v>
      </c>
      <c r="I26" s="57">
        <v>7.2008552575325378E-3</v>
      </c>
      <c r="L26" s="59"/>
      <c r="M26" s="59"/>
      <c r="N26" s="59"/>
      <c r="O26" s="59"/>
      <c r="P26" s="59"/>
      <c r="Q26" s="59"/>
      <c r="R26" s="59"/>
      <c r="S26" s="59"/>
    </row>
    <row r="27" spans="1:19" x14ac:dyDescent="0.25">
      <c r="A27" s="150"/>
      <c r="B27" s="16" t="s">
        <v>30</v>
      </c>
      <c r="C27" s="14">
        <v>3.101083119228833E-2</v>
      </c>
      <c r="D27" s="14">
        <v>0.83698143551687265</v>
      </c>
      <c r="E27" s="14">
        <v>7.6033040375300068E-4</v>
      </c>
      <c r="F27" s="14">
        <v>0.22495851814724077</v>
      </c>
      <c r="G27" s="14">
        <v>8.0781384871570633E-2</v>
      </c>
      <c r="H27" s="14">
        <v>67.57462749683539</v>
      </c>
      <c r="I27" s="14">
        <v>7.2887737155482657E-3</v>
      </c>
      <c r="L27" s="59"/>
      <c r="M27" s="59"/>
      <c r="N27" s="59"/>
      <c r="O27" s="59"/>
      <c r="P27" s="59"/>
      <c r="Q27" s="59"/>
      <c r="R27" s="59"/>
      <c r="S27" s="59"/>
    </row>
    <row r="28" spans="1:19" x14ac:dyDescent="0.25">
      <c r="A28" s="150"/>
      <c r="B28" s="16" t="s">
        <v>31</v>
      </c>
      <c r="C28" s="14">
        <v>4.4312637095619792E-2</v>
      </c>
      <c r="D28" s="14">
        <v>1.1811178567160983</v>
      </c>
      <c r="E28" s="14">
        <v>1.0551972934755545E-3</v>
      </c>
      <c r="F28" s="14">
        <v>0.44023160723795168</v>
      </c>
      <c r="G28" s="14">
        <v>0.11468313954524458</v>
      </c>
      <c r="H28" s="14">
        <v>107.50511325477065</v>
      </c>
      <c r="I28" s="14">
        <v>1.0347677695252593E-2</v>
      </c>
    </row>
    <row r="29" spans="1:19" x14ac:dyDescent="0.25">
      <c r="A29" s="150"/>
      <c r="B29" s="16" t="s">
        <v>32</v>
      </c>
      <c r="C29" s="14">
        <v>9.1699292295937748E-2</v>
      </c>
      <c r="D29" s="14">
        <v>2.4816495823931239</v>
      </c>
      <c r="E29" s="14">
        <v>2.2143711863278365E-3</v>
      </c>
      <c r="F29" s="14">
        <v>0.8977989810489746</v>
      </c>
      <c r="G29" s="14">
        <v>0.2376690359121682</v>
      </c>
      <c r="H29" s="14">
        <v>220.23193257962103</v>
      </c>
      <c r="I29" s="14">
        <v>2.1444490325478866E-2</v>
      </c>
    </row>
    <row r="30" spans="1:19" x14ac:dyDescent="0.25">
      <c r="A30" s="150"/>
      <c r="B30" s="16" t="s">
        <v>33</v>
      </c>
      <c r="C30" s="14">
        <v>0.11281698418835924</v>
      </c>
      <c r="D30" s="14">
        <v>3.6320533542247149</v>
      </c>
      <c r="E30" s="14">
        <v>2.708513011176045E-3</v>
      </c>
      <c r="F30" s="14">
        <v>1.2834306373108464</v>
      </c>
      <c r="G30" s="14">
        <v>0.33188731556128104</v>
      </c>
      <c r="H30" s="14">
        <v>269.37717766866973</v>
      </c>
      <c r="I30" s="14">
        <v>2.9945664738985911E-2</v>
      </c>
    </row>
    <row r="31" spans="1:19" ht="15" customHeight="1" x14ac:dyDescent="0.25">
      <c r="A31" s="151" t="s">
        <v>128</v>
      </c>
      <c r="B31" s="16" t="s">
        <v>129</v>
      </c>
      <c r="C31" s="14">
        <v>4.2993799041926711E-3</v>
      </c>
      <c r="D31" s="14">
        <v>6.5440289132956825E-2</v>
      </c>
      <c r="E31" s="14">
        <v>9.1296592193091332E-5</v>
      </c>
      <c r="F31" s="14">
        <v>3.3633509942077471E-2</v>
      </c>
      <c r="G31" s="14">
        <v>1.1508485911818236E-2</v>
      </c>
      <c r="H31" s="14">
        <v>7.1954483850413915</v>
      </c>
      <c r="I31" s="14">
        <v>1.0383921111938525E-3</v>
      </c>
    </row>
    <row r="32" spans="1:19" x14ac:dyDescent="0.25">
      <c r="A32" s="151"/>
      <c r="B32" s="16" t="s">
        <v>130</v>
      </c>
      <c r="C32" s="14">
        <v>1.7631358511479581E-2</v>
      </c>
      <c r="D32" s="14">
        <v>0.14903238250667758</v>
      </c>
      <c r="E32" s="14">
        <v>1.7794975038828265E-4</v>
      </c>
      <c r="F32" s="14">
        <v>0.18074283872717251</v>
      </c>
      <c r="G32" s="14">
        <v>7.6387016452257483E-2</v>
      </c>
      <c r="H32" s="14">
        <v>13.76520334369236</v>
      </c>
      <c r="I32" s="14">
        <v>6.8922783063073137E-3</v>
      </c>
      <c r="K32" s="56"/>
      <c r="L32" s="56"/>
      <c r="M32" s="56"/>
      <c r="N32" s="56"/>
      <c r="O32" s="56"/>
      <c r="P32" s="56"/>
      <c r="Q32" s="56"/>
    </row>
    <row r="33" spans="1:17" x14ac:dyDescent="0.25">
      <c r="A33" s="151"/>
      <c r="B33" s="16" t="s">
        <v>131</v>
      </c>
      <c r="C33" s="14">
        <v>2.8793655488323529E-2</v>
      </c>
      <c r="D33" s="14">
        <v>0.31658028839538099</v>
      </c>
      <c r="E33" s="14">
        <v>2.7523798360286437E-4</v>
      </c>
      <c r="F33" s="14">
        <v>0.1700059255667182</v>
      </c>
      <c r="G33" s="14">
        <v>5.3477532985904644E-2</v>
      </c>
      <c r="H33" s="14">
        <v>23.463418200709462</v>
      </c>
      <c r="I33" s="14">
        <v>4.8251907166579257E-3</v>
      </c>
      <c r="K33" s="17"/>
      <c r="L33" s="17"/>
      <c r="M33" s="17"/>
      <c r="N33" s="17"/>
      <c r="O33" s="17"/>
      <c r="P33" s="17"/>
      <c r="Q33" s="17"/>
    </row>
    <row r="34" spans="1:17" x14ac:dyDescent="0.25">
      <c r="A34" s="151"/>
      <c r="B34" s="16" t="s">
        <v>132</v>
      </c>
      <c r="C34" s="14">
        <v>3.0494186982476291E-2</v>
      </c>
      <c r="D34" s="14">
        <v>0.54817627070056141</v>
      </c>
      <c r="E34" s="14">
        <v>5.1744728478251136E-4</v>
      </c>
      <c r="F34" s="14">
        <v>0.26843458796213893</v>
      </c>
      <c r="G34" s="14">
        <v>6.8627539491954881E-2</v>
      </c>
      <c r="H34" s="14">
        <v>45.988295551139728</v>
      </c>
      <c r="I34" s="14">
        <v>6.1921516315141352E-3</v>
      </c>
      <c r="K34" s="59"/>
      <c r="L34" s="59"/>
      <c r="M34" s="59"/>
      <c r="N34" s="59"/>
      <c r="O34" s="59"/>
      <c r="P34" s="59"/>
      <c r="Q34" s="59"/>
    </row>
    <row r="35" spans="1:17" x14ac:dyDescent="0.25">
      <c r="A35" s="151"/>
      <c r="B35" s="16" t="s">
        <v>133</v>
      </c>
      <c r="C35" s="14">
        <v>2.9155253425145213E-2</v>
      </c>
      <c r="D35" s="14">
        <v>0.87589188757724734</v>
      </c>
      <c r="E35" s="14">
        <v>8.7649223561064675E-4</v>
      </c>
      <c r="F35" s="14">
        <v>0.21389105427558991</v>
      </c>
      <c r="G35" s="14">
        <v>7.7732208449766999E-2</v>
      </c>
      <c r="H35" s="14">
        <v>77.8985510740942</v>
      </c>
      <c r="I35" s="14">
        <v>7.0136532927874019E-3</v>
      </c>
    </row>
    <row r="36" spans="1:17" x14ac:dyDescent="0.25">
      <c r="A36" s="151"/>
      <c r="B36" s="16" t="s">
        <v>134</v>
      </c>
      <c r="C36" s="14">
        <v>5.3371339046329104E-2</v>
      </c>
      <c r="D36" s="14">
        <v>1.5318509433408045</v>
      </c>
      <c r="E36" s="14">
        <v>1.7600242801699612E-3</v>
      </c>
      <c r="F36" s="14">
        <v>0.4661958986283859</v>
      </c>
      <c r="G36" s="14">
        <v>0.13941748462093068</v>
      </c>
      <c r="H36" s="14">
        <v>156.42277258813226</v>
      </c>
      <c r="I36" s="14">
        <v>1.2579415973929685E-2</v>
      </c>
    </row>
    <row r="37" spans="1:17" x14ac:dyDescent="0.25">
      <c r="A37" s="151"/>
      <c r="B37" s="16" t="s">
        <v>135</v>
      </c>
      <c r="C37" s="14">
        <v>8.1348675299048601E-2</v>
      </c>
      <c r="D37" s="14">
        <v>2.3755791915327618</v>
      </c>
      <c r="E37" s="14">
        <v>2.6400371913497286E-3</v>
      </c>
      <c r="F37" s="14">
        <v>0.69718176828863765</v>
      </c>
      <c r="G37" s="14">
        <v>0.21267820994758979</v>
      </c>
      <c r="H37" s="14">
        <v>234.6341911864601</v>
      </c>
      <c r="I37" s="14">
        <v>1.91896162755213E-2</v>
      </c>
    </row>
    <row r="38" spans="1:17" x14ac:dyDescent="0.25">
      <c r="A38" s="93"/>
      <c r="I38" s="46"/>
    </row>
    <row r="39" spans="1:17" x14ac:dyDescent="0.25">
      <c r="A39" s="137" t="s">
        <v>21</v>
      </c>
      <c r="B39" s="140"/>
      <c r="C39" s="141"/>
      <c r="D39" s="141"/>
      <c r="E39" s="142"/>
    </row>
    <row r="40" spans="1:17" x14ac:dyDescent="0.25">
      <c r="A40" s="138"/>
      <c r="B40" s="143"/>
      <c r="C40" s="144"/>
      <c r="D40" s="144"/>
      <c r="E40" s="145"/>
    </row>
    <row r="41" spans="1:17" x14ac:dyDescent="0.25">
      <c r="A41" s="138"/>
      <c r="B41" s="146"/>
      <c r="C41" s="147"/>
      <c r="D41" s="147"/>
      <c r="E41" s="148"/>
    </row>
    <row r="42" spans="1:17" x14ac:dyDescent="0.25">
      <c r="A42" s="138"/>
      <c r="B42" s="121" t="s">
        <v>22</v>
      </c>
      <c r="C42" s="122"/>
      <c r="D42" s="122"/>
      <c r="E42" s="123"/>
    </row>
    <row r="43" spans="1:17" x14ac:dyDescent="0.25">
      <c r="A43" s="138"/>
      <c r="B43" s="124"/>
      <c r="C43" s="125"/>
      <c r="D43" s="125"/>
      <c r="E43" s="126"/>
    </row>
    <row r="44" spans="1:17" x14ac:dyDescent="0.25">
      <c r="A44" s="138"/>
      <c r="B44" s="124"/>
      <c r="C44" s="125"/>
      <c r="D44" s="125"/>
      <c r="E44" s="126"/>
    </row>
    <row r="45" spans="1:17" x14ac:dyDescent="0.25">
      <c r="A45" s="139"/>
      <c r="B45" s="127"/>
      <c r="C45" s="128"/>
      <c r="D45" s="128"/>
      <c r="E45" s="129"/>
    </row>
    <row r="47" spans="1:17" x14ac:dyDescent="0.25">
      <c r="A47" s="2" t="s">
        <v>156</v>
      </c>
    </row>
  </sheetData>
  <sheetProtection password="B056" sheet="1" objects="1" scenarios="1"/>
  <mergeCells count="8">
    <mergeCell ref="A3:A9"/>
    <mergeCell ref="A39:A45"/>
    <mergeCell ref="B39:E41"/>
    <mergeCell ref="B42:E45"/>
    <mergeCell ref="A23:A30"/>
    <mergeCell ref="A31:A37"/>
    <mergeCell ref="A10:A15"/>
    <mergeCell ref="A16:A22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5" sqref="C15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30" t="s">
        <v>39</v>
      </c>
      <c r="B1" s="131"/>
      <c r="C1" s="131"/>
      <c r="D1" s="131"/>
    </row>
    <row r="2" spans="1:5" x14ac:dyDescent="0.25">
      <c r="A2" s="12"/>
      <c r="B2" s="12" t="s">
        <v>2</v>
      </c>
      <c r="C2" s="12" t="s">
        <v>35</v>
      </c>
      <c r="D2" s="12" t="s">
        <v>36</v>
      </c>
    </row>
    <row r="3" spans="1:5" x14ac:dyDescent="0.25">
      <c r="A3" s="11" t="s">
        <v>37</v>
      </c>
      <c r="B3" s="70">
        <v>0.74</v>
      </c>
      <c r="C3" s="70">
        <v>0.35</v>
      </c>
      <c r="D3" s="70">
        <v>5.2999999999999999E-2</v>
      </c>
    </row>
    <row r="5" spans="1:5" x14ac:dyDescent="0.25">
      <c r="A5" s="137" t="s">
        <v>21</v>
      </c>
      <c r="B5" s="21"/>
      <c r="C5" s="22"/>
      <c r="D5" s="22"/>
      <c r="E5" s="27"/>
    </row>
    <row r="6" spans="1:5" x14ac:dyDescent="0.25">
      <c r="A6" s="138"/>
      <c r="B6" s="23"/>
      <c r="C6" s="24"/>
      <c r="D6" s="24"/>
      <c r="E6" s="27"/>
    </row>
    <row r="7" spans="1:5" x14ac:dyDescent="0.25">
      <c r="A7" s="138"/>
      <c r="B7" s="25"/>
      <c r="C7" s="26"/>
      <c r="D7" s="26"/>
      <c r="E7" s="27"/>
    </row>
    <row r="8" spans="1:5" ht="15" customHeight="1" x14ac:dyDescent="0.25">
      <c r="A8" s="138"/>
      <c r="B8" s="121" t="s">
        <v>38</v>
      </c>
      <c r="C8" s="122"/>
      <c r="D8" s="122"/>
      <c r="E8" s="28"/>
    </row>
    <row r="9" spans="1:5" x14ac:dyDescent="0.25">
      <c r="A9" s="138"/>
      <c r="B9" s="124"/>
      <c r="C9" s="125"/>
      <c r="D9" s="125"/>
      <c r="E9" s="28"/>
    </row>
    <row r="10" spans="1:5" ht="17.25" customHeight="1" x14ac:dyDescent="0.25">
      <c r="A10" s="138"/>
      <c r="B10" s="124"/>
      <c r="C10" s="125"/>
      <c r="D10" s="125"/>
      <c r="E10" s="28"/>
    </row>
    <row r="11" spans="1:5" ht="19.5" customHeight="1" x14ac:dyDescent="0.25">
      <c r="A11" s="139"/>
      <c r="B11" s="127"/>
      <c r="C11" s="128"/>
      <c r="D11" s="128"/>
      <c r="E11" s="28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A10" workbookViewId="0">
      <selection activeCell="H27" sqref="H27"/>
    </sheetView>
  </sheetViews>
  <sheetFormatPr defaultRowHeight="15" x14ac:dyDescent="0.25"/>
  <cols>
    <col min="1" max="4" width="13.42578125" customWidth="1"/>
    <col min="5" max="5" width="11.140625" customWidth="1"/>
    <col min="6" max="6" width="13.5703125" customWidth="1"/>
    <col min="7" max="9" width="15.7109375" customWidth="1"/>
    <col min="10" max="10" width="17.42578125" customWidth="1"/>
    <col min="11" max="12" width="15.7109375" customWidth="1"/>
    <col min="14" max="14" width="15.5703125" customWidth="1"/>
    <col min="15" max="18" width="15.7109375" customWidth="1"/>
  </cols>
  <sheetData>
    <row r="1" spans="1:15" x14ac:dyDescent="0.25">
      <c r="A1" s="2" t="s">
        <v>43</v>
      </c>
      <c r="B1" s="2"/>
      <c r="C1" s="2"/>
      <c r="D1" s="2"/>
      <c r="F1" s="155" t="s">
        <v>59</v>
      </c>
      <c r="G1" s="155"/>
      <c r="H1" s="155"/>
      <c r="I1" s="155"/>
      <c r="J1" s="155"/>
    </row>
    <row r="2" spans="1:15" ht="33.75" x14ac:dyDescent="0.25">
      <c r="A2" s="157" t="s">
        <v>44</v>
      </c>
      <c r="B2" s="157"/>
      <c r="C2" s="157"/>
      <c r="D2" s="157"/>
      <c r="F2" s="68" t="s">
        <v>60</v>
      </c>
      <c r="G2" s="69" t="s">
        <v>61</v>
      </c>
      <c r="H2" s="69" t="s">
        <v>62</v>
      </c>
      <c r="I2" s="68" t="s">
        <v>63</v>
      </c>
      <c r="J2" s="68" t="s">
        <v>64</v>
      </c>
      <c r="K2" s="81"/>
      <c r="L2" s="27"/>
      <c r="M2" s="27"/>
      <c r="N2" s="27"/>
      <c r="O2" s="27"/>
    </row>
    <row r="3" spans="1:15" ht="15" customHeight="1" x14ac:dyDescent="0.25">
      <c r="A3" s="158" t="s">
        <v>45</v>
      </c>
      <c r="B3" s="158"/>
      <c r="C3" s="158"/>
      <c r="D3" s="158"/>
      <c r="F3" s="70" t="s">
        <v>65</v>
      </c>
      <c r="G3" s="70">
        <v>0</v>
      </c>
      <c r="H3" s="70">
        <v>0</v>
      </c>
      <c r="I3" s="70">
        <v>31</v>
      </c>
      <c r="J3" s="42">
        <f>(I3-H3)/I3</f>
        <v>1</v>
      </c>
      <c r="K3" s="81"/>
      <c r="L3" s="27"/>
      <c r="M3" s="27"/>
      <c r="N3" s="27"/>
      <c r="O3" s="27"/>
    </row>
    <row r="4" spans="1:15" x14ac:dyDescent="0.25">
      <c r="A4" s="156" t="s">
        <v>46</v>
      </c>
      <c r="B4" s="156" t="s">
        <v>47</v>
      </c>
      <c r="C4" s="156"/>
      <c r="D4" s="156"/>
      <c r="F4" s="70" t="s">
        <v>66</v>
      </c>
      <c r="G4" s="70">
        <v>52</v>
      </c>
      <c r="H4" s="70">
        <v>7</v>
      </c>
      <c r="I4" s="70">
        <v>28</v>
      </c>
      <c r="J4" s="42">
        <f t="shared" ref="J4:J14" si="0">(I4-H4)/I4</f>
        <v>0.75</v>
      </c>
      <c r="K4" s="81"/>
      <c r="L4" s="27"/>
      <c r="M4" s="27"/>
      <c r="N4" s="27"/>
      <c r="O4" s="27"/>
    </row>
    <row r="5" spans="1:15" x14ac:dyDescent="0.25">
      <c r="A5" s="156"/>
      <c r="B5" s="36" t="s">
        <v>48</v>
      </c>
      <c r="C5" s="36" t="s">
        <v>49</v>
      </c>
      <c r="D5" s="36" t="s">
        <v>50</v>
      </c>
      <c r="F5" s="70" t="s">
        <v>67</v>
      </c>
      <c r="G5" s="70">
        <v>69</v>
      </c>
      <c r="H5" s="70">
        <v>7</v>
      </c>
      <c r="I5" s="70">
        <v>31</v>
      </c>
      <c r="J5" s="42">
        <f t="shared" si="0"/>
        <v>0.77419354838709675</v>
      </c>
      <c r="K5" s="81"/>
      <c r="L5" s="28"/>
      <c r="M5" s="28"/>
      <c r="N5" s="28"/>
      <c r="O5" s="28"/>
    </row>
    <row r="6" spans="1:15" x14ac:dyDescent="0.25">
      <c r="A6" s="37" t="s">
        <v>51</v>
      </c>
      <c r="B6" s="37">
        <v>0.15</v>
      </c>
      <c r="C6" s="37">
        <v>1.5</v>
      </c>
      <c r="D6" s="37">
        <v>4.9000000000000004</v>
      </c>
      <c r="F6" s="70" t="s">
        <v>68</v>
      </c>
      <c r="G6" s="70">
        <v>44</v>
      </c>
      <c r="H6" s="70">
        <v>8</v>
      </c>
      <c r="I6" s="70">
        <v>30</v>
      </c>
      <c r="J6" s="42">
        <f t="shared" si="0"/>
        <v>0.73333333333333328</v>
      </c>
      <c r="K6" s="81"/>
      <c r="L6" s="28"/>
      <c r="M6" s="28"/>
      <c r="N6" s="28"/>
      <c r="O6" s="28"/>
    </row>
    <row r="7" spans="1:15" x14ac:dyDescent="0.25">
      <c r="A7" s="37" t="s">
        <v>52</v>
      </c>
      <c r="B7" s="37">
        <v>0.9</v>
      </c>
      <c r="C7" s="37">
        <v>0.9</v>
      </c>
      <c r="D7" s="37">
        <v>0.7</v>
      </c>
      <c r="F7" s="70" t="s">
        <v>69</v>
      </c>
      <c r="G7" s="70">
        <v>185.8</v>
      </c>
      <c r="H7" s="70">
        <v>16</v>
      </c>
      <c r="I7" s="70">
        <v>31</v>
      </c>
      <c r="J7" s="42">
        <f t="shared" si="0"/>
        <v>0.4838709677419355</v>
      </c>
      <c r="K7" s="81"/>
      <c r="L7" s="28"/>
      <c r="M7" s="28"/>
      <c r="N7" s="28"/>
      <c r="O7" s="28"/>
    </row>
    <row r="8" spans="1:15" x14ac:dyDescent="0.25">
      <c r="A8" s="37" t="s">
        <v>53</v>
      </c>
      <c r="B8" s="37">
        <v>0.45</v>
      </c>
      <c r="C8" s="37">
        <v>0.45</v>
      </c>
      <c r="D8" s="37">
        <v>0.45</v>
      </c>
      <c r="F8" s="70" t="s">
        <v>70</v>
      </c>
      <c r="G8" s="70">
        <v>119.2</v>
      </c>
      <c r="H8" s="70">
        <v>9</v>
      </c>
      <c r="I8" s="70">
        <v>30</v>
      </c>
      <c r="J8" s="42">
        <f t="shared" si="0"/>
        <v>0.7</v>
      </c>
      <c r="K8" s="81"/>
      <c r="L8" s="28"/>
      <c r="M8" s="28"/>
      <c r="N8" s="28"/>
      <c r="O8" s="28"/>
    </row>
    <row r="9" spans="1:15" x14ac:dyDescent="0.25">
      <c r="A9" s="37" t="s">
        <v>55</v>
      </c>
      <c r="B9" s="13">
        <v>281.89999999999998</v>
      </c>
      <c r="C9" s="37" t="s">
        <v>56</v>
      </c>
      <c r="D9" s="37"/>
      <c r="F9" s="70" t="s">
        <v>71</v>
      </c>
      <c r="G9" s="70">
        <v>17.8</v>
      </c>
      <c r="H9" s="70">
        <v>6</v>
      </c>
      <c r="I9" s="70">
        <v>31</v>
      </c>
      <c r="J9" s="42">
        <f t="shared" si="0"/>
        <v>0.80645161290322576</v>
      </c>
      <c r="K9" s="81"/>
      <c r="L9" s="28"/>
      <c r="M9" s="28"/>
      <c r="N9" s="28"/>
      <c r="O9" s="28"/>
    </row>
    <row r="10" spans="1:15" x14ac:dyDescent="0.25">
      <c r="A10" s="156" t="s">
        <v>54</v>
      </c>
      <c r="B10" s="156"/>
      <c r="C10" s="156"/>
      <c r="D10" s="156"/>
      <c r="F10" s="70" t="s">
        <v>72</v>
      </c>
      <c r="G10" s="70">
        <v>70.2</v>
      </c>
      <c r="H10" s="70">
        <v>11</v>
      </c>
      <c r="I10" s="70">
        <v>31</v>
      </c>
      <c r="J10" s="42">
        <f t="shared" si="0"/>
        <v>0.64516129032258063</v>
      </c>
      <c r="K10" s="81"/>
      <c r="L10" s="28"/>
      <c r="M10" s="28"/>
      <c r="N10" s="28"/>
      <c r="O10" s="28"/>
    </row>
    <row r="11" spans="1:15" ht="20.25" customHeight="1" x14ac:dyDescent="0.25">
      <c r="A11" s="156"/>
      <c r="B11" s="156"/>
      <c r="C11" s="156"/>
      <c r="D11" s="156"/>
      <c r="F11" s="70" t="s">
        <v>73</v>
      </c>
      <c r="G11" s="70">
        <v>25.2</v>
      </c>
      <c r="H11" s="70">
        <v>7</v>
      </c>
      <c r="I11" s="70">
        <v>30</v>
      </c>
      <c r="J11" s="42">
        <f t="shared" si="0"/>
        <v>0.76666666666666672</v>
      </c>
      <c r="K11" s="81"/>
      <c r="L11" s="28"/>
      <c r="M11" s="28"/>
      <c r="N11" s="28"/>
      <c r="O11" s="28"/>
    </row>
    <row r="12" spans="1:15" ht="15" customHeight="1" x14ac:dyDescent="0.25">
      <c r="A12" s="156"/>
      <c r="B12" s="159" t="s">
        <v>106</v>
      </c>
      <c r="C12" s="159"/>
      <c r="D12" s="159"/>
      <c r="F12" s="70" t="s">
        <v>74</v>
      </c>
      <c r="G12" s="70">
        <v>54.4</v>
      </c>
      <c r="H12" s="70">
        <v>6</v>
      </c>
      <c r="I12" s="70">
        <v>31</v>
      </c>
      <c r="J12" s="42">
        <f t="shared" si="0"/>
        <v>0.80645161290322576</v>
      </c>
    </row>
    <row r="13" spans="1:15" x14ac:dyDescent="0.25">
      <c r="A13" s="156"/>
      <c r="B13" s="159"/>
      <c r="C13" s="159"/>
      <c r="D13" s="159"/>
      <c r="F13" s="70" t="s">
        <v>75</v>
      </c>
      <c r="G13" s="43">
        <v>48.6</v>
      </c>
      <c r="H13" s="70">
        <v>9</v>
      </c>
      <c r="I13" s="70">
        <v>30</v>
      </c>
      <c r="J13" s="42">
        <f t="shared" si="0"/>
        <v>0.7</v>
      </c>
    </row>
    <row r="14" spans="1:15" x14ac:dyDescent="0.25">
      <c r="A14" s="156"/>
      <c r="B14" s="159"/>
      <c r="C14" s="159"/>
      <c r="D14" s="159"/>
      <c r="F14" s="70" t="s">
        <v>76</v>
      </c>
      <c r="G14" s="70">
        <v>91.4</v>
      </c>
      <c r="H14" s="70">
        <v>6</v>
      </c>
      <c r="I14" s="70">
        <v>31</v>
      </c>
      <c r="J14" s="42">
        <f t="shared" si="0"/>
        <v>0.80645161290322576</v>
      </c>
    </row>
    <row r="15" spans="1:15" x14ac:dyDescent="0.25">
      <c r="A15" s="156"/>
      <c r="B15" s="159"/>
      <c r="C15" s="159"/>
      <c r="D15" s="159"/>
      <c r="F15" s="73" t="s">
        <v>77</v>
      </c>
      <c r="G15" s="7">
        <f>(365-SUM(H3:H14))/365</f>
        <v>0.74794520547945209</v>
      </c>
    </row>
    <row r="16" spans="1:15" x14ac:dyDescent="0.25">
      <c r="A16" s="156"/>
      <c r="B16" s="159"/>
      <c r="C16" s="159"/>
      <c r="D16" s="159"/>
      <c r="F16" s="80"/>
      <c r="G16" s="7"/>
    </row>
    <row r="17" spans="1:14" x14ac:dyDescent="0.25">
      <c r="A17" s="156"/>
      <c r="B17" s="159"/>
      <c r="C17" s="159"/>
      <c r="D17" s="159"/>
      <c r="F17" s="80"/>
      <c r="G17" s="7"/>
    </row>
    <row r="18" spans="1:14" x14ac:dyDescent="0.25">
      <c r="A18" s="71"/>
      <c r="B18" s="72"/>
      <c r="C18" s="72"/>
      <c r="D18" s="72"/>
      <c r="H18" s="40"/>
      <c r="I18" s="2"/>
      <c r="J18" s="2"/>
    </row>
    <row r="20" spans="1:14" x14ac:dyDescent="0.25">
      <c r="A20" s="155" t="s">
        <v>78</v>
      </c>
      <c r="B20" s="161" t="s">
        <v>79</v>
      </c>
      <c r="C20" s="162"/>
      <c r="D20" s="162"/>
      <c r="E20" s="162"/>
      <c r="F20" s="162"/>
      <c r="G20" s="162"/>
      <c r="H20" s="162"/>
      <c r="I20" s="89"/>
      <c r="J20" s="89"/>
      <c r="K20" s="89"/>
      <c r="L20" s="89"/>
      <c r="M20" s="89"/>
      <c r="N20" s="89"/>
    </row>
    <row r="21" spans="1:14" x14ac:dyDescent="0.25">
      <c r="A21" s="155"/>
      <c r="B21" s="155" t="s">
        <v>80</v>
      </c>
      <c r="C21" s="155"/>
      <c r="D21" s="155"/>
      <c r="E21" s="155"/>
      <c r="F21" s="155"/>
      <c r="G21" s="155"/>
      <c r="H21" s="155"/>
      <c r="I21" s="160"/>
      <c r="J21" s="160"/>
      <c r="K21" s="160"/>
      <c r="L21" s="160"/>
      <c r="M21" s="160"/>
      <c r="N21" s="160"/>
    </row>
    <row r="22" spans="1:14" x14ac:dyDescent="0.25">
      <c r="A22" s="155"/>
      <c r="B22" s="41" t="s">
        <v>2</v>
      </c>
      <c r="C22" s="41" t="s">
        <v>35</v>
      </c>
      <c r="D22" s="41" t="s">
        <v>83</v>
      </c>
      <c r="E22" s="41" t="s">
        <v>84</v>
      </c>
      <c r="F22" s="41" t="s">
        <v>85</v>
      </c>
      <c r="G22" s="41" t="s">
        <v>4</v>
      </c>
      <c r="H22" s="41" t="s">
        <v>81</v>
      </c>
      <c r="I22" s="45"/>
      <c r="J22" s="45"/>
      <c r="K22" s="45"/>
      <c r="L22" s="45"/>
      <c r="M22" s="45"/>
      <c r="N22" s="45"/>
    </row>
    <row r="23" spans="1:14" x14ac:dyDescent="0.25">
      <c r="A23" s="60" t="s">
        <v>82</v>
      </c>
      <c r="B23" s="61">
        <v>0.17489827604766656</v>
      </c>
      <c r="C23" s="61">
        <v>0.17489827604766656</v>
      </c>
      <c r="D23" s="61">
        <v>0.17489827604766656</v>
      </c>
      <c r="E23" s="61">
        <v>5.4345140567386743</v>
      </c>
      <c r="F23" s="61">
        <v>0.21032135261668511</v>
      </c>
      <c r="G23" s="61">
        <v>1.0383730075038093</v>
      </c>
      <c r="H23" s="61">
        <v>0.24766340643796464</v>
      </c>
      <c r="I23" s="88"/>
      <c r="J23" s="88"/>
      <c r="K23" s="88"/>
      <c r="L23" s="88"/>
      <c r="M23" s="88"/>
      <c r="N23" s="88"/>
    </row>
    <row r="24" spans="1:14" x14ac:dyDescent="0.25">
      <c r="A24" s="79"/>
      <c r="B24" s="79"/>
      <c r="C24" s="79"/>
      <c r="D24" s="79"/>
      <c r="E24" s="79"/>
      <c r="F24" s="79"/>
      <c r="G24" s="79"/>
      <c r="H24" s="79"/>
    </row>
    <row r="25" spans="1:14" x14ac:dyDescent="0.25">
      <c r="A25" s="63"/>
      <c r="B25" s="63"/>
      <c r="C25" s="63"/>
      <c r="D25" s="63"/>
      <c r="E25" s="63"/>
      <c r="F25" s="63"/>
      <c r="G25" s="64"/>
      <c r="H25" s="63"/>
    </row>
    <row r="26" spans="1:14" x14ac:dyDescent="0.25">
      <c r="A26" s="62"/>
      <c r="B26" s="62"/>
      <c r="C26" s="62"/>
      <c r="D26" s="62"/>
      <c r="E26" s="62"/>
      <c r="F26" s="62"/>
      <c r="H26" s="62"/>
    </row>
    <row r="27" spans="1:14" x14ac:dyDescent="0.25">
      <c r="A27" s="62"/>
      <c r="B27" s="62"/>
      <c r="C27" s="62"/>
      <c r="D27" s="62"/>
      <c r="E27" s="62"/>
      <c r="F27" s="62"/>
      <c r="H27" s="62"/>
    </row>
  </sheetData>
  <sheetProtection password="B056" sheet="1" objects="1" scenarios="1"/>
  <mergeCells count="13">
    <mergeCell ref="I21:K21"/>
    <mergeCell ref="L21:N21"/>
    <mergeCell ref="A20:A22"/>
    <mergeCell ref="B21:H21"/>
    <mergeCell ref="B20:H20"/>
    <mergeCell ref="F1:J1"/>
    <mergeCell ref="A10:A17"/>
    <mergeCell ref="A2:D2"/>
    <mergeCell ref="A3:D3"/>
    <mergeCell ref="A4:A5"/>
    <mergeCell ref="B4:D4"/>
    <mergeCell ref="B10:D11"/>
    <mergeCell ref="B12:D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>
      <selection activeCell="F19" sqref="F19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4.5703125" style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5" ht="15" customHeight="1" x14ac:dyDescent="0.2">
      <c r="A1" s="164" t="s">
        <v>0</v>
      </c>
      <c r="B1" s="164" t="s">
        <v>16</v>
      </c>
      <c r="C1" s="164" t="s">
        <v>17</v>
      </c>
      <c r="D1" s="168" t="s">
        <v>175</v>
      </c>
      <c r="E1" s="168" t="s">
        <v>176</v>
      </c>
      <c r="F1" s="164" t="s">
        <v>18</v>
      </c>
      <c r="G1" s="164" t="s">
        <v>19</v>
      </c>
      <c r="H1" s="166" t="s">
        <v>1</v>
      </c>
      <c r="I1" s="167"/>
      <c r="J1" s="167"/>
      <c r="K1" s="167"/>
      <c r="L1" s="167"/>
      <c r="M1" s="167"/>
      <c r="N1" s="167"/>
    </row>
    <row r="2" spans="1:15" ht="15" customHeight="1" x14ac:dyDescent="0.2">
      <c r="A2" s="165"/>
      <c r="B2" s="165"/>
      <c r="C2" s="165"/>
      <c r="D2" s="168"/>
      <c r="E2" s="168"/>
      <c r="F2" s="165"/>
      <c r="G2" s="165"/>
      <c r="H2" s="4" t="s">
        <v>2</v>
      </c>
      <c r="I2" s="4" t="s">
        <v>3</v>
      </c>
      <c r="J2" s="4" t="s">
        <v>20</v>
      </c>
      <c r="K2" s="4" t="s">
        <v>5</v>
      </c>
      <c r="L2" s="4" t="s">
        <v>6</v>
      </c>
      <c r="M2" s="4" t="s">
        <v>4</v>
      </c>
      <c r="N2" s="4" t="s">
        <v>158</v>
      </c>
    </row>
    <row r="3" spans="1:15" ht="15" customHeight="1" x14ac:dyDescent="0.2">
      <c r="A3" s="3" t="s">
        <v>122</v>
      </c>
      <c r="B3" s="10">
        <v>118</v>
      </c>
      <c r="C3" s="3" t="s">
        <v>89</v>
      </c>
      <c r="D3" s="53">
        <v>-20.361999999999998</v>
      </c>
      <c r="E3" s="31">
        <v>-40.428266999999998</v>
      </c>
      <c r="F3" s="5">
        <v>1</v>
      </c>
      <c r="G3" s="10">
        <f>800/365</f>
        <v>2.1917808219178081</v>
      </c>
      <c r="H3" s="29">
        <f t="shared" ref="H3:H6" si="0">(INDEX(FE_Equip,MATCH($C3,Pot_Equip,0),2))*F3*G3/(24)</f>
        <v>3.989950315378802E-3</v>
      </c>
      <c r="I3" s="29">
        <f>H3</f>
        <v>3.989950315378802E-3</v>
      </c>
      <c r="J3" s="29">
        <f>H3</f>
        <v>3.989950315378802E-3</v>
      </c>
      <c r="K3" s="29">
        <f t="shared" ref="K3:K6" si="1">(INDEX(FE_Equip,MATCH($C3,Pot_Equip,0),3))*F3*G3/(24)</f>
        <v>4.2689256613804766E-2</v>
      </c>
      <c r="L3" s="29">
        <f t="shared" ref="L3:L6" si="2">(INDEX(FE_Equip,MATCH($C3,Pot_Equip,0),4))*F3*G3/(24)</f>
        <v>3.577520602964254E-5</v>
      </c>
      <c r="M3" s="29">
        <f t="shared" ref="M3:M6" si="3">(INDEX(FE_Equip,MATCH($C3,Pot_Equip,0),5))*F3*G3/(24)</f>
        <v>2.2800592551890098E-2</v>
      </c>
      <c r="N3" s="29">
        <f t="shared" ref="N3:N6" si="4">(INDEX(FE_Equip,MATCH($C3,Pot_Equip,0),6))*F3*G3/(24)</f>
        <v>7.3989040101413708E-3</v>
      </c>
    </row>
    <row r="4" spans="1:15" ht="15" customHeight="1" x14ac:dyDescent="0.2">
      <c r="A4" s="3" t="s">
        <v>126</v>
      </c>
      <c r="B4" s="10">
        <v>106</v>
      </c>
      <c r="C4" s="3" t="s">
        <v>131</v>
      </c>
      <c r="D4" s="53">
        <v>-20.361999999999998</v>
      </c>
      <c r="E4" s="31">
        <v>-40.428266999999998</v>
      </c>
      <c r="F4" s="5">
        <v>1</v>
      </c>
      <c r="G4" s="10">
        <f>800/365</f>
        <v>2.1917808219178081</v>
      </c>
      <c r="H4" s="29">
        <f t="shared" si="0"/>
        <v>2.6295575788423311E-3</v>
      </c>
      <c r="I4" s="29">
        <f>H4</f>
        <v>2.6295575788423311E-3</v>
      </c>
      <c r="J4" s="29">
        <f>H4</f>
        <v>2.6295575788423311E-3</v>
      </c>
      <c r="K4" s="29">
        <f t="shared" si="1"/>
        <v>2.8911441862591869E-2</v>
      </c>
      <c r="L4" s="29">
        <f t="shared" si="2"/>
        <v>2.5135888913503592E-5</v>
      </c>
      <c r="M4" s="29">
        <f t="shared" si="3"/>
        <v>1.5525655302896638E-2</v>
      </c>
      <c r="N4" s="29">
        <f t="shared" si="4"/>
        <v>4.8837929667492818E-3</v>
      </c>
    </row>
    <row r="5" spans="1:15" ht="15" customHeight="1" x14ac:dyDescent="0.2">
      <c r="A5" s="3" t="s">
        <v>127</v>
      </c>
      <c r="B5" s="10">
        <v>130</v>
      </c>
      <c r="C5" s="3" t="s">
        <v>147</v>
      </c>
      <c r="D5" s="53">
        <v>-20.361999999999998</v>
      </c>
      <c r="E5" s="31">
        <v>-40.428266999999998</v>
      </c>
      <c r="F5" s="5">
        <v>1</v>
      </c>
      <c r="G5" s="10">
        <f>800/365</f>
        <v>2.1917808219178081</v>
      </c>
      <c r="H5" s="29">
        <f t="shared" si="0"/>
        <v>3.0970600728510889E-3</v>
      </c>
      <c r="I5" s="29">
        <f t="shared" ref="I5:I6" si="5">H5</f>
        <v>3.0970600728510889E-3</v>
      </c>
      <c r="J5" s="29">
        <f t="shared" ref="J5:J6" si="6">H5</f>
        <v>3.0970600728510889E-3</v>
      </c>
      <c r="K5" s="29">
        <f t="shared" si="1"/>
        <v>5.8799202232867394E-2</v>
      </c>
      <c r="L5" s="29">
        <f t="shared" si="2"/>
        <v>5.0405820815364661E-5</v>
      </c>
      <c r="M5" s="29">
        <f t="shared" si="3"/>
        <v>2.6505170140901795E-2</v>
      </c>
      <c r="N5" s="29">
        <f t="shared" si="4"/>
        <v>7.2426571026203458E-3</v>
      </c>
    </row>
    <row r="6" spans="1:15" ht="15" customHeight="1" x14ac:dyDescent="0.2">
      <c r="A6" s="3" t="s">
        <v>154</v>
      </c>
      <c r="B6" s="10">
        <v>125</v>
      </c>
      <c r="C6" s="3" t="s">
        <v>139</v>
      </c>
      <c r="D6" s="53">
        <v>-20.361999999999998</v>
      </c>
      <c r="E6" s="31">
        <v>-40.428266999999998</v>
      </c>
      <c r="F6" s="5">
        <v>1</v>
      </c>
      <c r="G6" s="10">
        <f>800/365</f>
        <v>2.1917808219178081</v>
      </c>
      <c r="H6" s="29">
        <f t="shared" si="0"/>
        <v>3.7565160961975587E-3</v>
      </c>
      <c r="I6" s="29">
        <f t="shared" si="5"/>
        <v>3.7565160961975587E-3</v>
      </c>
      <c r="J6" s="29">
        <f t="shared" si="6"/>
        <v>3.7565160961975587E-3</v>
      </c>
      <c r="K6" s="29">
        <f t="shared" si="1"/>
        <v>6.734576539891414E-2</v>
      </c>
      <c r="L6" s="29">
        <f t="shared" si="2"/>
        <v>5.7758587040028579E-5</v>
      </c>
      <c r="M6" s="29">
        <f t="shared" si="3"/>
        <v>3.1234615999031639E-2</v>
      </c>
      <c r="N6" s="29">
        <f t="shared" si="4"/>
        <v>8.5868331509045461E-3</v>
      </c>
    </row>
    <row r="7" spans="1:15" ht="15" customHeight="1" x14ac:dyDescent="0.2">
      <c r="A7" s="163" t="s">
        <v>157</v>
      </c>
      <c r="B7" s="163"/>
      <c r="C7" s="163"/>
      <c r="D7" s="163"/>
      <c r="E7" s="163"/>
      <c r="F7" s="163"/>
      <c r="G7" s="163"/>
      <c r="H7" s="15">
        <f t="shared" ref="H7:N7" si="7">SUM(H3:H6)</f>
        <v>1.347308406326978E-2</v>
      </c>
      <c r="I7" s="15">
        <f t="shared" si="7"/>
        <v>1.347308406326978E-2</v>
      </c>
      <c r="J7" s="15">
        <f t="shared" si="7"/>
        <v>1.347308406326978E-2</v>
      </c>
      <c r="K7" s="15">
        <f t="shared" si="7"/>
        <v>0.19774566610817818</v>
      </c>
      <c r="L7" s="15">
        <f t="shared" si="7"/>
        <v>1.6907550279853938E-4</v>
      </c>
      <c r="M7" s="15">
        <f t="shared" si="7"/>
        <v>9.6066033994720176E-2</v>
      </c>
      <c r="N7" s="15">
        <f t="shared" si="7"/>
        <v>2.8112187230415545E-2</v>
      </c>
      <c r="O7" s="18"/>
    </row>
    <row r="8" spans="1:15" ht="15" customHeight="1" x14ac:dyDescent="0.2">
      <c r="A8" s="33"/>
      <c r="B8" s="40"/>
      <c r="F8" s="31"/>
      <c r="G8" s="33"/>
      <c r="H8" s="8"/>
      <c r="I8" s="8"/>
      <c r="J8" s="8"/>
      <c r="K8" s="8"/>
      <c r="L8" s="9"/>
      <c r="M8" s="8"/>
      <c r="N8" s="8"/>
    </row>
    <row r="9" spans="1:15" ht="15" customHeight="1" x14ac:dyDescent="0.2">
      <c r="H9" s="45"/>
      <c r="I9" s="45"/>
      <c r="J9" s="45"/>
      <c r="K9" s="45"/>
      <c r="L9" s="45"/>
    </row>
    <row r="10" spans="1:15" ht="15" customHeight="1" x14ac:dyDescent="0.25">
      <c r="A10" s="44"/>
      <c r="B10" s="44"/>
      <c r="C10" s="44"/>
      <c r="D10" s="44"/>
      <c r="E10" s="44"/>
      <c r="F10" s="44"/>
    </row>
  </sheetData>
  <sheetProtection password="B056" sheet="1" objects="1" scenarios="1"/>
  <mergeCells count="9">
    <mergeCell ref="A7:G7"/>
    <mergeCell ref="G1:G2"/>
    <mergeCell ref="H1:N1"/>
    <mergeCell ref="A1:A2"/>
    <mergeCell ref="B1:B2"/>
    <mergeCell ref="C1:C2"/>
    <mergeCell ref="F1:F2"/>
    <mergeCell ref="D1:D2"/>
    <mergeCell ref="E1:E2"/>
  </mergeCells>
  <dataValidations disablePrompts="1" count="1">
    <dataValidation type="list" allowBlank="1" showInputMessage="1" showErrorMessage="1" sqref="C3:C6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H31" sqref="H30:H31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ht="15" customHeight="1" x14ac:dyDescent="0.25">
      <c r="A1" s="170" t="s">
        <v>0</v>
      </c>
      <c r="B1" s="168" t="s">
        <v>175</v>
      </c>
      <c r="C1" s="168" t="s">
        <v>176</v>
      </c>
      <c r="D1" s="171" t="s">
        <v>172</v>
      </c>
      <c r="E1" s="172" t="s">
        <v>173</v>
      </c>
      <c r="F1" s="174" t="s">
        <v>174</v>
      </c>
      <c r="G1" s="175"/>
      <c r="H1" s="176"/>
      <c r="I1" s="174" t="s">
        <v>1</v>
      </c>
      <c r="J1" s="175"/>
      <c r="K1" s="176"/>
    </row>
    <row r="2" spans="1:12" x14ac:dyDescent="0.25">
      <c r="A2" s="170"/>
      <c r="B2" s="168"/>
      <c r="C2" s="168"/>
      <c r="D2" s="171"/>
      <c r="E2" s="173"/>
      <c r="F2" s="34" t="s">
        <v>34</v>
      </c>
      <c r="G2" s="34" t="s">
        <v>57</v>
      </c>
      <c r="H2" s="34" t="s">
        <v>58</v>
      </c>
      <c r="I2" s="34" t="s">
        <v>34</v>
      </c>
      <c r="J2" s="34" t="s">
        <v>57</v>
      </c>
      <c r="K2" s="34" t="s">
        <v>58</v>
      </c>
    </row>
    <row r="3" spans="1:12" x14ac:dyDescent="0.25">
      <c r="A3" s="19" t="s">
        <v>110</v>
      </c>
      <c r="B3" s="31">
        <v>-20.362318999999999</v>
      </c>
      <c r="C3" s="31">
        <v>-40.428351999999997</v>
      </c>
      <c r="D3" s="50">
        <f>Dados!B8</f>
        <v>34.246575342465754</v>
      </c>
      <c r="E3" s="97">
        <v>12</v>
      </c>
      <c r="F3" s="108">
        <f>'FE-Transferências'!$B$3*0.0016*(($B$7/2.2)^1.3)/(($E3/2)^1.4)</f>
        <v>2.2293521814895203E-4</v>
      </c>
      <c r="G3" s="108">
        <f>'FE-Transferências'!$C$3*0.0016*(($B$7/2.2)^1.3)/(($E3/2)^1.4)</f>
        <v>1.0544233290828811E-4</v>
      </c>
      <c r="H3" s="108">
        <f>'FE-Transferências'!$D$3*0.0016*(($B$7/2.2)^1.3)/(($E3/2)^1.4)</f>
        <v>1.5966981840397917E-5</v>
      </c>
      <c r="I3" s="109">
        <f>F3*$D3</f>
        <v>7.6347677448271242E-3</v>
      </c>
      <c r="J3" s="109">
        <f>G3*$D3</f>
        <v>3.6110387982290449E-3</v>
      </c>
      <c r="K3" s="109">
        <f>H3*$D3</f>
        <v>5.4681444658896976E-4</v>
      </c>
    </row>
    <row r="4" spans="1:12" x14ac:dyDescent="0.25">
      <c r="A4" s="51" t="s">
        <v>111</v>
      </c>
      <c r="B4" s="31">
        <v>-20.362318999999999</v>
      </c>
      <c r="C4" s="31">
        <v>-40.428351999999997</v>
      </c>
      <c r="D4" s="52">
        <f t="shared" ref="D4" si="0">D3</f>
        <v>34.246575342465754</v>
      </c>
      <c r="E4" s="97">
        <v>12</v>
      </c>
      <c r="F4" s="110">
        <f>'FE-Transferências'!$B$3*0.0016*(($B$7/2.2)^1.3)/(($E4/2)^1.4)</f>
        <v>2.2293521814895203E-4</v>
      </c>
      <c r="G4" s="108">
        <f>'FE-Transferências'!$C$3*0.0016*(($B$7/2.2)^1.3)/(($E4/2)^1.4)</f>
        <v>1.0544233290828811E-4</v>
      </c>
      <c r="H4" s="108">
        <f>'FE-Transferências'!$D$3*0.0016*(($B$7/2.2)^1.3)/(($E4/2)^1.4)</f>
        <v>1.5966981840397917E-5</v>
      </c>
      <c r="I4" s="109">
        <f t="shared" ref="I4" si="1">F4*$D4</f>
        <v>7.6347677448271242E-3</v>
      </c>
      <c r="J4" s="109">
        <f t="shared" ref="J4" si="2">G4*$D4</f>
        <v>3.6110387982290449E-3</v>
      </c>
      <c r="K4" s="109">
        <f t="shared" ref="K4" si="3">H4*$D4</f>
        <v>5.4681444658896976E-4</v>
      </c>
    </row>
    <row r="5" spans="1:12" x14ac:dyDescent="0.25">
      <c r="A5" s="169" t="s">
        <v>157</v>
      </c>
      <c r="B5" s="169"/>
      <c r="C5" s="169"/>
      <c r="D5" s="169"/>
      <c r="E5" s="169"/>
      <c r="F5" s="169"/>
      <c r="G5" s="169"/>
      <c r="H5" s="169"/>
      <c r="I5" s="30">
        <f>SUM(I3:I4)</f>
        <v>1.5269535489654248E-2</v>
      </c>
      <c r="J5" s="30">
        <f>SUM(J3:J4)</f>
        <v>7.2220775964580899E-3</v>
      </c>
      <c r="K5" s="15">
        <f>SUM(K3:K4)</f>
        <v>1.0936288931779395E-3</v>
      </c>
      <c r="L5" s="20"/>
    </row>
    <row r="6" spans="1:12" x14ac:dyDescent="0.25">
      <c r="C6" s="33"/>
      <c r="D6" s="33"/>
      <c r="E6" s="33"/>
    </row>
    <row r="7" spans="1:12" x14ac:dyDescent="0.25">
      <c r="A7" s="32" t="s">
        <v>40</v>
      </c>
      <c r="B7" s="111">
        <v>4.1937865160171146</v>
      </c>
    </row>
    <row r="9" spans="1:12" x14ac:dyDescent="0.25">
      <c r="A9" s="1"/>
    </row>
    <row r="11" spans="1:12" x14ac:dyDescent="0.25">
      <c r="A11" s="33"/>
    </row>
  </sheetData>
  <sheetProtection password="B056" sheet="1" objects="1" scenarios="1"/>
  <mergeCells count="8">
    <mergeCell ref="A5:H5"/>
    <mergeCell ref="A1:A2"/>
    <mergeCell ref="D1:D2"/>
    <mergeCell ref="E1:E2"/>
    <mergeCell ref="I1:K1"/>
    <mergeCell ref="F1:H1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K27" sqref="K27"/>
    </sheetView>
  </sheetViews>
  <sheetFormatPr defaultRowHeight="15" x14ac:dyDescent="0.25"/>
  <cols>
    <col min="1" max="1" width="23.5703125" customWidth="1"/>
    <col min="2" max="2" width="10.42578125" customWidth="1"/>
    <col min="4" max="4" width="14" customWidth="1"/>
    <col min="5" max="5" width="11.5703125" customWidth="1"/>
    <col min="6" max="6" width="14" customWidth="1"/>
    <col min="7" max="7" width="12.85546875" customWidth="1"/>
    <col min="8" max="8" width="10.42578125" customWidth="1"/>
    <col min="9" max="9" width="11.7109375" customWidth="1"/>
    <col min="10" max="12" width="12.85546875" customWidth="1"/>
    <col min="13" max="15" width="11.7109375" customWidth="1"/>
  </cols>
  <sheetData>
    <row r="1" spans="1:15" x14ac:dyDescent="0.25">
      <c r="A1" s="177" t="s">
        <v>112</v>
      </c>
      <c r="B1" s="178"/>
      <c r="C1" s="178"/>
      <c r="D1" s="179" t="s">
        <v>113</v>
      </c>
      <c r="E1" s="180"/>
      <c r="F1" s="168" t="s">
        <v>175</v>
      </c>
      <c r="G1" s="168" t="s">
        <v>176</v>
      </c>
      <c r="H1" s="172" t="s">
        <v>95</v>
      </c>
      <c r="I1" s="172" t="s">
        <v>159</v>
      </c>
      <c r="J1" s="177" t="s">
        <v>160</v>
      </c>
      <c r="K1" s="178"/>
      <c r="L1" s="178"/>
      <c r="M1" s="177" t="s">
        <v>161</v>
      </c>
      <c r="N1" s="178"/>
      <c r="O1" s="178"/>
    </row>
    <row r="2" spans="1:15" ht="22.5" x14ac:dyDescent="0.25">
      <c r="A2" s="82" t="s">
        <v>114</v>
      </c>
      <c r="B2" s="82" t="s">
        <v>152</v>
      </c>
      <c r="C2" s="83" t="s">
        <v>19</v>
      </c>
      <c r="D2" s="82" t="s">
        <v>162</v>
      </c>
      <c r="E2" s="82" t="s">
        <v>163</v>
      </c>
      <c r="F2" s="168"/>
      <c r="G2" s="168"/>
      <c r="H2" s="173"/>
      <c r="I2" s="173"/>
      <c r="J2" s="82" t="s">
        <v>2</v>
      </c>
      <c r="K2" s="82" t="s">
        <v>3</v>
      </c>
      <c r="L2" s="82" t="s">
        <v>97</v>
      </c>
      <c r="M2" s="82" t="s">
        <v>2</v>
      </c>
      <c r="N2" s="82" t="s">
        <v>3</v>
      </c>
      <c r="O2" s="82" t="s">
        <v>97</v>
      </c>
    </row>
    <row r="3" spans="1:15" x14ac:dyDescent="0.25">
      <c r="A3" s="31" t="s">
        <v>151</v>
      </c>
      <c r="B3" s="31">
        <v>1</v>
      </c>
      <c r="C3" s="66">
        <f>800/365</f>
        <v>2.1917808219178081</v>
      </c>
      <c r="D3" s="90">
        <v>9</v>
      </c>
      <c r="E3" s="90">
        <v>12</v>
      </c>
      <c r="F3" s="31">
        <v>-20.361957</v>
      </c>
      <c r="G3" s="31">
        <v>-40.427965</v>
      </c>
      <c r="H3" s="5" t="s">
        <v>99</v>
      </c>
      <c r="I3" s="10">
        <v>30</v>
      </c>
      <c r="J3" s="99">
        <f>2.6*(D3^1.2)/(E3^1.3)</f>
        <v>1.4359150235963214</v>
      </c>
      <c r="K3" s="99">
        <f>0.75*0.45*(D3^1.5)/(E3^1.4)</f>
        <v>0.28105013410743213</v>
      </c>
      <c r="L3" s="99">
        <f>J3*0.105</f>
        <v>0.15077107747761373</v>
      </c>
      <c r="M3" s="7">
        <f>(B3*C3*J3/24)*(1-I3/100)</f>
        <v>9.1793654476477166E-2</v>
      </c>
      <c r="N3" s="7">
        <f>(B3*C3*K3/24)*(1-I3/100)</f>
        <v>1.7966675239744517E-2</v>
      </c>
      <c r="O3" s="7">
        <f>(B3*C3*L3/24)*(1-I3/100)</f>
        <v>9.6383337200301004E-3</v>
      </c>
    </row>
    <row r="4" spans="1:15" x14ac:dyDescent="0.25">
      <c r="A4" s="163" t="s">
        <v>157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98">
        <f>SUM(M3:M3)</f>
        <v>9.1793654476477166E-2</v>
      </c>
      <c r="N4" s="98">
        <f>SUM(N3:N3)</f>
        <v>1.7966675239744517E-2</v>
      </c>
      <c r="O4" s="98">
        <f>SUM(O3:O3)</f>
        <v>9.6383337200301004E-3</v>
      </c>
    </row>
  </sheetData>
  <sheetProtection password="B056" sheet="1" objects="1" scenarios="1"/>
  <mergeCells count="9">
    <mergeCell ref="J1:L1"/>
    <mergeCell ref="M1:O1"/>
    <mergeCell ref="A4:L4"/>
    <mergeCell ref="A1:C1"/>
    <mergeCell ref="D1:E1"/>
    <mergeCell ref="F1:F2"/>
    <mergeCell ref="G1:G2"/>
    <mergeCell ref="H1:H2"/>
    <mergeCell ref="I1:I2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zoomScaleNormal="100" workbookViewId="0">
      <selection activeCell="K22" sqref="K22"/>
    </sheetView>
  </sheetViews>
  <sheetFormatPr defaultRowHeight="15" x14ac:dyDescent="0.25"/>
  <cols>
    <col min="1" max="1" width="21.140625" customWidth="1"/>
    <col min="2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3" width="14.85546875" customWidth="1"/>
    <col min="14" max="16" width="13.7109375" customWidth="1"/>
  </cols>
  <sheetData>
    <row r="1" spans="1:30" ht="15" customHeight="1" x14ac:dyDescent="0.25">
      <c r="A1" s="171" t="s">
        <v>41</v>
      </c>
      <c r="B1" s="171" t="s">
        <v>24</v>
      </c>
      <c r="C1" s="168" t="s">
        <v>175</v>
      </c>
      <c r="D1" s="168" t="s">
        <v>176</v>
      </c>
      <c r="E1" s="171" t="s">
        <v>164</v>
      </c>
      <c r="F1" s="172" t="s">
        <v>165</v>
      </c>
      <c r="G1" s="172" t="s">
        <v>166</v>
      </c>
      <c r="H1" s="171" t="s">
        <v>167</v>
      </c>
      <c r="I1" s="171" t="s">
        <v>168</v>
      </c>
      <c r="J1" s="172" t="s">
        <v>162</v>
      </c>
      <c r="K1" s="181" t="s">
        <v>169</v>
      </c>
      <c r="L1" s="172" t="s">
        <v>95</v>
      </c>
      <c r="M1" s="172" t="s">
        <v>159</v>
      </c>
      <c r="N1" s="177" t="s">
        <v>170</v>
      </c>
      <c r="O1" s="178"/>
      <c r="P1" s="178"/>
      <c r="Q1" s="171" t="s">
        <v>171</v>
      </c>
      <c r="R1" s="171"/>
      <c r="S1" s="171"/>
      <c r="T1" s="171"/>
      <c r="U1" s="171"/>
      <c r="V1" s="171"/>
      <c r="W1" s="171"/>
      <c r="X1" s="170" t="s">
        <v>1</v>
      </c>
      <c r="Y1" s="170"/>
      <c r="Z1" s="170"/>
      <c r="AA1" s="170"/>
      <c r="AB1" s="170"/>
      <c r="AC1" s="170"/>
      <c r="AD1" s="170"/>
    </row>
    <row r="2" spans="1:30" x14ac:dyDescent="0.25">
      <c r="A2" s="171"/>
      <c r="B2" s="171"/>
      <c r="C2" s="168"/>
      <c r="D2" s="168"/>
      <c r="E2" s="171"/>
      <c r="F2" s="173"/>
      <c r="G2" s="173"/>
      <c r="H2" s="171"/>
      <c r="I2" s="171"/>
      <c r="J2" s="173"/>
      <c r="K2" s="182"/>
      <c r="L2" s="173"/>
      <c r="M2" s="173"/>
      <c r="N2" s="34" t="s">
        <v>2</v>
      </c>
      <c r="O2" s="34" t="s">
        <v>3</v>
      </c>
      <c r="P2" s="38" t="s">
        <v>20</v>
      </c>
      <c r="Q2" s="34" t="s">
        <v>2</v>
      </c>
      <c r="R2" s="34" t="s">
        <v>3</v>
      </c>
      <c r="S2" s="34" t="s">
        <v>20</v>
      </c>
      <c r="T2" s="34" t="s">
        <v>5</v>
      </c>
      <c r="U2" s="34" t="s">
        <v>6</v>
      </c>
      <c r="V2" s="34" t="s">
        <v>4</v>
      </c>
      <c r="W2" s="103" t="s">
        <v>158</v>
      </c>
      <c r="X2" s="34" t="s">
        <v>2</v>
      </c>
      <c r="Y2" s="34" t="s">
        <v>3</v>
      </c>
      <c r="Z2" s="34" t="s">
        <v>20</v>
      </c>
      <c r="AA2" s="34" t="s">
        <v>5</v>
      </c>
      <c r="AB2" s="34" t="s">
        <v>6</v>
      </c>
      <c r="AC2" s="34" t="s">
        <v>4</v>
      </c>
      <c r="AD2" s="34" t="s">
        <v>158</v>
      </c>
    </row>
    <row r="3" spans="1:30" x14ac:dyDescent="0.25">
      <c r="A3" s="35" t="s">
        <v>100</v>
      </c>
      <c r="B3" s="31" t="s">
        <v>42</v>
      </c>
      <c r="C3" s="31">
        <v>-20.362660999999999</v>
      </c>
      <c r="D3" s="53">
        <v>-40.428719999999998</v>
      </c>
      <c r="E3" s="31">
        <v>535</v>
      </c>
      <c r="F3" s="55">
        <f>Dados!B8*0.3</f>
        <v>10.273972602739725</v>
      </c>
      <c r="G3" s="66">
        <v>14</v>
      </c>
      <c r="H3" s="67">
        <f>Dados!B14/24</f>
        <v>0.33333333333333331</v>
      </c>
      <c r="I3" s="7">
        <f>E3*H3/1000</f>
        <v>0.17833333333333332</v>
      </c>
      <c r="J3" s="31">
        <v>8.5</v>
      </c>
      <c r="K3" s="31">
        <v>16</v>
      </c>
      <c r="L3" s="5" t="s">
        <v>99</v>
      </c>
      <c r="M3" s="5">
        <v>30</v>
      </c>
      <c r="N3" s="7">
        <f>('FE-Vias'!$D$6*((J3/12)^'FE-Vias'!$D$7)*((K3/3)^'FE-Vias'!$D$8)*'FE-Vias'!$B$9/1000)*'FE-Vias'!$G$15</f>
        <v>1.7237597744394337</v>
      </c>
      <c r="O3" s="7">
        <f>('FE-Vias'!$C$6*((J3/12)^'FE-Vias'!$C$7)*((K3/3)^'FE-Vias'!$C$8)*'FE-Vias'!$B$9/1000)*'FE-Vias'!$G$15</f>
        <v>0.49251499422489714</v>
      </c>
      <c r="P3" s="7">
        <f>('FE-Vias'!$B$6*((J3/12)^'FE-Vias'!$B$7)*((K3/3)^'FE-Vias'!$B$8)*'FE-Vias'!$B$9/1000)*'FE-Vias'!$G$15</f>
        <v>4.9251499422489721E-2</v>
      </c>
      <c r="Q3" s="112">
        <f>'FE-Vias'!B23/1000</f>
        <v>1.7489827604766657E-4</v>
      </c>
      <c r="R3" s="112">
        <f>'FE-Vias'!C23/1000</f>
        <v>1.7489827604766657E-4</v>
      </c>
      <c r="S3" s="112">
        <f>'FE-Vias'!D23/1000</f>
        <v>1.7489827604766657E-4</v>
      </c>
      <c r="T3" s="112">
        <f>'FE-Vias'!E23/1000</f>
        <v>5.4345140567386742E-3</v>
      </c>
      <c r="U3" s="113">
        <f>'FE-Vias'!$F$23/1000</f>
        <v>2.1032135261668511E-4</v>
      </c>
      <c r="V3" s="112">
        <f>'FE-Vias'!$G$23/1000</f>
        <v>1.0383730075038094E-3</v>
      </c>
      <c r="W3" s="112">
        <f>'FE-Vias'!H23/1000</f>
        <v>2.4766340643796463E-4</v>
      </c>
      <c r="X3" s="39">
        <f>(N3*I3*(1-M3/100))+(Q3*I3)</f>
        <v>0.21521386870175113</v>
      </c>
      <c r="Y3" s="39">
        <f>(O3*I3*(1-M3/100))+(R3*I3)</f>
        <v>6.151347863830315E-2</v>
      </c>
      <c r="Z3" s="39">
        <f>(P3*I3*(1-M3/100))+(S3*I3)</f>
        <v>6.1794190371359664E-3</v>
      </c>
      <c r="AA3" s="39">
        <f>T3*I3</f>
        <v>9.6915500678506348E-4</v>
      </c>
      <c r="AB3" s="39">
        <f>U3*I3</f>
        <v>3.7507307883308839E-5</v>
      </c>
      <c r="AC3" s="39">
        <f>V3*I3</f>
        <v>1.8517651967151267E-4</v>
      </c>
      <c r="AD3" s="39">
        <f>W3*I3</f>
        <v>4.4166640814770351E-5</v>
      </c>
    </row>
    <row r="4" spans="1:30" x14ac:dyDescent="0.25">
      <c r="A4" s="163" t="s">
        <v>157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5">
        <f t="shared" ref="X4:AD4" si="0">SUM(X3:X3)</f>
        <v>0.21521386870175113</v>
      </c>
      <c r="Y4" s="15">
        <f t="shared" si="0"/>
        <v>6.151347863830315E-2</v>
      </c>
      <c r="Z4" s="15">
        <f t="shared" si="0"/>
        <v>6.1794190371359664E-3</v>
      </c>
      <c r="AA4" s="15">
        <f t="shared" si="0"/>
        <v>9.6915500678506348E-4</v>
      </c>
      <c r="AB4" s="15">
        <f t="shared" si="0"/>
        <v>3.7507307883308839E-5</v>
      </c>
      <c r="AC4" s="15">
        <f t="shared" si="0"/>
        <v>1.8517651967151267E-4</v>
      </c>
      <c r="AD4" s="15">
        <f t="shared" si="0"/>
        <v>4.4166640814770351E-5</v>
      </c>
    </row>
    <row r="5" spans="1:30" ht="15" customHeight="1" x14ac:dyDescent="0.25">
      <c r="H5" s="101"/>
      <c r="K5" s="33"/>
      <c r="L5" s="33"/>
    </row>
    <row r="6" spans="1:30" x14ac:dyDescent="0.25">
      <c r="B6" s="65"/>
    </row>
    <row r="7" spans="1:30" x14ac:dyDescent="0.25">
      <c r="D7" s="5"/>
      <c r="E7" s="5"/>
      <c r="F7" s="5"/>
      <c r="G7" s="46"/>
    </row>
    <row r="8" spans="1:30" x14ac:dyDescent="0.25">
      <c r="D8" s="5"/>
      <c r="E8" s="5"/>
      <c r="F8" s="10"/>
      <c r="G8" s="46"/>
    </row>
    <row r="9" spans="1:30" x14ac:dyDescent="0.25">
      <c r="D9" s="46"/>
      <c r="E9" s="46"/>
      <c r="F9" s="46"/>
      <c r="G9" s="46"/>
    </row>
    <row r="11" spans="1:30" x14ac:dyDescent="0.25">
      <c r="G11" s="100"/>
    </row>
  </sheetData>
  <sheetProtection password="B056" sheet="1" objects="1" scenarios="1"/>
  <mergeCells count="17">
    <mergeCell ref="X1:AD1"/>
    <mergeCell ref="H1:H2"/>
    <mergeCell ref="I1:I2"/>
    <mergeCell ref="J1:J2"/>
    <mergeCell ref="K1:K2"/>
    <mergeCell ref="N1:P1"/>
    <mergeCell ref="Q1:W1"/>
    <mergeCell ref="M1:M2"/>
    <mergeCell ref="L1:L2"/>
    <mergeCell ref="A4:W4"/>
    <mergeCell ref="A1:A2"/>
    <mergeCell ref="B1:B2"/>
    <mergeCell ref="C1:C2"/>
    <mergeCell ref="D1:D2"/>
    <mergeCell ref="E1:E2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Dados</vt:lpstr>
      <vt:lpstr>FE-Compactação</vt:lpstr>
      <vt:lpstr>FE-Maq e Equip</vt:lpstr>
      <vt:lpstr>FE-Transferências</vt:lpstr>
      <vt:lpstr>FE-Vias</vt:lpstr>
      <vt:lpstr>Emissão Maq e Equip</vt:lpstr>
      <vt:lpstr>Emissão Transferências</vt:lpstr>
      <vt:lpstr>Emissão Compactação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2019-06-06T20:23:49Z</dcterms:modified>
</cp:coreProperties>
</file>