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Siderúrgica Sta Barbara\"/>
    </mc:Choice>
  </mc:AlternateContent>
  <bookViews>
    <workbookView xWindow="0" yWindow="0" windowWidth="24000" windowHeight="9735" tabRatio="888" firstSheet="3" activeTab="13"/>
  </bookViews>
  <sheets>
    <sheet name="FE-Iron and Steel" sheetId="15" r:id="rId1"/>
    <sheet name="FE-Transferências" sheetId="11" r:id="rId2"/>
    <sheet name="FE-Combustão" sheetId="13" r:id="rId3"/>
    <sheet name="FE-Maq e Equip" sheetId="3" r:id="rId4"/>
    <sheet name="FE-Vias" sheetId="5" r:id="rId5"/>
    <sheet name="Controles" sheetId="16" r:id="rId6"/>
    <sheet name="Dados" sheetId="1" r:id="rId7"/>
    <sheet name="Monitoramento" sheetId="2" r:id="rId8"/>
    <sheet name="Emissão Chaminés" sheetId="7" r:id="rId9"/>
    <sheet name="Emissão Transferências" sheetId="12" r:id="rId10"/>
    <sheet name="Emissão Fugitiva" sheetId="17" r:id="rId11"/>
    <sheet name="Emissão Maq e Equip" sheetId="4" r:id="rId12"/>
    <sheet name="Emissão Vias " sheetId="6" r:id="rId13"/>
    <sheet name="Resumo" sheetId="8" r:id="rId14"/>
  </sheets>
  <externalReferences>
    <externalReference r:id="rId15"/>
    <externalReference r:id="rId16"/>
  </externalReferences>
  <definedNames>
    <definedName name="FE_Equip">'[1]FE Maq e Equip'!$B$4:$I$11</definedName>
    <definedName name="FE_Maq_Equip">'FE-Maq e Equip'!$B$4:$I$11</definedName>
    <definedName name="Pot_Equip" localSheetId="9">'[1]FE Maq e Equip'!$B$4:$B$11</definedName>
    <definedName name="Pot_Equip" localSheetId="1">'[1]FE Maq e Equip'!$B$4:$B$11</definedName>
    <definedName name="Pot_Equip">'FE-Maq e Equip'!$B$4:$B$11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8" l="1"/>
  <c r="C6" i="8"/>
  <c r="B6" i="8"/>
  <c r="W9" i="7" l="1"/>
  <c r="N8" i="12" l="1"/>
  <c r="N9" i="12"/>
  <c r="N10" i="12"/>
  <c r="N11" i="12"/>
  <c r="N12" i="12"/>
  <c r="N13" i="12"/>
  <c r="N14" i="12"/>
  <c r="N15" i="12"/>
  <c r="N16" i="12"/>
  <c r="N17" i="12"/>
  <c r="N18" i="12"/>
  <c r="N19" i="12"/>
  <c r="N20" i="12"/>
  <c r="N7" i="12"/>
  <c r="K20" i="12" l="1"/>
  <c r="K19" i="12"/>
  <c r="K8" i="12"/>
  <c r="K9" i="12"/>
  <c r="K10" i="12"/>
  <c r="K11" i="12"/>
  <c r="K12" i="12"/>
  <c r="K13" i="12"/>
  <c r="K14" i="12"/>
  <c r="K15" i="12"/>
  <c r="K7" i="12"/>
  <c r="J20" i="12"/>
  <c r="J19" i="12"/>
  <c r="J8" i="12"/>
  <c r="J9" i="12"/>
  <c r="J10" i="12"/>
  <c r="J11" i="12"/>
  <c r="J12" i="12"/>
  <c r="J13" i="12"/>
  <c r="J14" i="12"/>
  <c r="J15" i="12"/>
  <c r="J7" i="12"/>
  <c r="I20" i="12"/>
  <c r="I19" i="12"/>
  <c r="I8" i="12"/>
  <c r="I9" i="12"/>
  <c r="I10" i="12"/>
  <c r="I11" i="12"/>
  <c r="I12" i="12"/>
  <c r="I13" i="12"/>
  <c r="I14" i="12"/>
  <c r="I15" i="12"/>
  <c r="I16" i="12"/>
  <c r="I17" i="12"/>
  <c r="I18" i="12"/>
  <c r="I7" i="12"/>
  <c r="W8" i="7" l="1"/>
  <c r="W10" i="7"/>
  <c r="W7" i="7" l="1"/>
  <c r="N10" i="7" l="1"/>
  <c r="N9" i="7"/>
  <c r="N8" i="7"/>
  <c r="N7" i="7"/>
  <c r="F8" i="6" l="1"/>
  <c r="F9" i="6" s="1"/>
  <c r="F10" i="6" s="1"/>
  <c r="G10" i="6" s="1"/>
  <c r="M10" i="6"/>
  <c r="N10" i="6"/>
  <c r="O10" i="6"/>
  <c r="P10" i="6"/>
  <c r="Q10" i="6"/>
  <c r="R10" i="6"/>
  <c r="S10" i="6"/>
  <c r="S12" i="6"/>
  <c r="R12" i="6"/>
  <c r="Q12" i="6"/>
  <c r="P12" i="6"/>
  <c r="O12" i="6"/>
  <c r="N12" i="6"/>
  <c r="M12" i="6"/>
  <c r="M11" i="6"/>
  <c r="N11" i="6"/>
  <c r="O11" i="6"/>
  <c r="P11" i="6"/>
  <c r="Q11" i="6"/>
  <c r="R11" i="6"/>
  <c r="S11" i="6"/>
  <c r="X10" i="6" l="1"/>
  <c r="F11" i="6"/>
  <c r="Z10" i="6"/>
  <c r="Y10" i="6"/>
  <c r="W10" i="6"/>
  <c r="F13" i="6" l="1"/>
  <c r="G11" i="6"/>
  <c r="F12" i="6"/>
  <c r="G12" i="6" s="1"/>
  <c r="W12" i="6" l="1"/>
  <c r="X12" i="6"/>
  <c r="Y12" i="6"/>
  <c r="Z12" i="6"/>
  <c r="X11" i="6"/>
  <c r="Z11" i="6"/>
  <c r="Y11" i="6"/>
  <c r="W11" i="6"/>
  <c r="B2" i="6" l="1"/>
  <c r="B1" i="6"/>
  <c r="K10" i="6" l="1"/>
  <c r="U10" i="6" s="1"/>
  <c r="J10" i="6"/>
  <c r="T10" i="6" s="1"/>
  <c r="J9" i="6"/>
  <c r="K9" i="6"/>
  <c r="L10" i="6"/>
  <c r="V10" i="6" s="1"/>
  <c r="L9" i="6"/>
  <c r="L11" i="6"/>
  <c r="V11" i="6" s="1"/>
  <c r="J11" i="6"/>
  <c r="T11" i="6" s="1"/>
  <c r="K11" i="6"/>
  <c r="U11" i="6" s="1"/>
  <c r="L12" i="6"/>
  <c r="V12" i="6" s="1"/>
  <c r="J12" i="6"/>
  <c r="T12" i="6" s="1"/>
  <c r="K12" i="6"/>
  <c r="U12" i="6" s="1"/>
  <c r="L13" i="6"/>
  <c r="J13" i="6"/>
  <c r="K13" i="6"/>
  <c r="K8" i="6"/>
  <c r="L8" i="6"/>
  <c r="J8" i="6"/>
  <c r="S8" i="6" l="1"/>
  <c r="M8" i="6"/>
  <c r="G8" i="6"/>
  <c r="G6" i="17" l="1"/>
  <c r="F6" i="17"/>
  <c r="E6" i="17"/>
  <c r="B1" i="17"/>
  <c r="C20" i="12"/>
  <c r="H6" i="17" l="1"/>
  <c r="H7" i="17" s="1"/>
  <c r="H20" i="12"/>
  <c r="B159" i="1"/>
  <c r="B158" i="1"/>
  <c r="I6" i="17" l="1"/>
  <c r="I7" i="17" s="1"/>
  <c r="J6" i="17"/>
  <c r="J7" i="17" s="1"/>
  <c r="D16" i="1"/>
  <c r="C156" i="1"/>
  <c r="B156" i="1"/>
  <c r="H19" i="12" l="1"/>
  <c r="H18" i="12" l="1"/>
  <c r="H17" i="12"/>
  <c r="K18" i="12"/>
  <c r="K16" i="12"/>
  <c r="J18" i="12"/>
  <c r="J16" i="12"/>
  <c r="L18" i="12" l="1"/>
  <c r="M18" i="12"/>
  <c r="H16" i="12"/>
  <c r="L16" i="12" s="1"/>
  <c r="K17" i="12"/>
  <c r="J17" i="12"/>
  <c r="M17" i="12" s="1"/>
  <c r="L17" i="12"/>
  <c r="H15" i="12" l="1"/>
  <c r="H12" i="12"/>
  <c r="C15" i="12"/>
  <c r="C12" i="12"/>
  <c r="H7" i="12" l="1"/>
  <c r="H14" i="12"/>
  <c r="H11" i="12"/>
  <c r="E85" i="1"/>
  <c r="H10" i="12"/>
  <c r="H13" i="12"/>
  <c r="H9" i="12"/>
  <c r="C7" i="12" l="1"/>
  <c r="B2" i="12"/>
  <c r="L20" i="12" l="1"/>
  <c r="M20" i="12"/>
  <c r="L19" i="12"/>
  <c r="M19" i="12"/>
  <c r="L12" i="12"/>
  <c r="M13" i="12"/>
  <c r="M14" i="12"/>
  <c r="M15" i="12"/>
  <c r="L14" i="12"/>
  <c r="M12" i="12"/>
  <c r="L13" i="12"/>
  <c r="L15" i="12"/>
  <c r="M16" i="12"/>
  <c r="L10" i="12"/>
  <c r="M10" i="12"/>
  <c r="L11" i="12"/>
  <c r="M11" i="12"/>
  <c r="M7" i="12"/>
  <c r="L7" i="12"/>
  <c r="R14" i="7" l="1"/>
  <c r="R7" i="7"/>
  <c r="Q14" i="7"/>
  <c r="Q7" i="7"/>
  <c r="R10" i="7"/>
  <c r="R9" i="7"/>
  <c r="R8" i="7"/>
  <c r="Q10" i="7"/>
  <c r="Q9" i="7"/>
  <c r="Q8" i="7"/>
  <c r="R13" i="7"/>
  <c r="Q13" i="7"/>
  <c r="R12" i="7"/>
  <c r="Q12" i="7"/>
  <c r="Q11" i="7"/>
  <c r="R11" i="7"/>
  <c r="C146" i="1" l="1"/>
  <c r="O7" i="7" l="1"/>
  <c r="M7" i="7"/>
  <c r="H7" i="7" l="1"/>
  <c r="H8" i="7"/>
  <c r="H9" i="7"/>
  <c r="H10" i="7"/>
  <c r="H11" i="7"/>
  <c r="H12" i="7"/>
  <c r="H13" i="7"/>
  <c r="H14" i="7"/>
  <c r="L14" i="7"/>
  <c r="L9" i="7"/>
  <c r="L7" i="7"/>
  <c r="S9" i="7" l="1"/>
  <c r="S14" i="7"/>
  <c r="S7" i="7"/>
  <c r="B17" i="1"/>
  <c r="B2" i="7" s="1"/>
  <c r="W15" i="7" l="1"/>
  <c r="F3" i="8" s="1"/>
  <c r="V7" i="7"/>
  <c r="T14" i="7"/>
  <c r="U14" i="7"/>
  <c r="X7" i="7"/>
  <c r="U7" i="7"/>
  <c r="T7" i="7"/>
  <c r="T9" i="7"/>
  <c r="U9" i="7"/>
  <c r="Y15" i="7"/>
  <c r="O8" i="7"/>
  <c r="X8" i="7" s="1"/>
  <c r="O9" i="7"/>
  <c r="X9" i="7" s="1"/>
  <c r="O10" i="7"/>
  <c r="X10" i="7" s="1"/>
  <c r="M8" i="7"/>
  <c r="V8" i="7" s="1"/>
  <c r="M9" i="7"/>
  <c r="V9" i="7" s="1"/>
  <c r="M10" i="7"/>
  <c r="V10" i="7" s="1"/>
  <c r="V15" i="7" l="1"/>
  <c r="E3" i="8" s="1"/>
  <c r="E9" i="8" s="1"/>
  <c r="C8" i="7" l="1"/>
  <c r="C9" i="7"/>
  <c r="C10" i="7"/>
  <c r="C7" i="7"/>
  <c r="J14" i="7"/>
  <c r="I14" i="7" s="1"/>
  <c r="J13" i="7"/>
  <c r="I13" i="7" s="1"/>
  <c r="J12" i="7"/>
  <c r="I12" i="7" s="1"/>
  <c r="J11" i="7"/>
  <c r="I11" i="7" s="1"/>
  <c r="J10" i="7"/>
  <c r="I10" i="7" s="1"/>
  <c r="J9" i="7"/>
  <c r="I9" i="7" s="1"/>
  <c r="J8" i="7"/>
  <c r="I8" i="7" s="1"/>
  <c r="J7" i="7"/>
  <c r="I7" i="7" s="1"/>
  <c r="L13" i="7"/>
  <c r="S13" i="7" s="1"/>
  <c r="L12" i="7"/>
  <c r="S12" i="7" s="1"/>
  <c r="L11" i="7"/>
  <c r="S11" i="7" s="1"/>
  <c r="L10" i="7"/>
  <c r="S10" i="7" s="1"/>
  <c r="L8" i="7"/>
  <c r="S8" i="7" s="1"/>
  <c r="A8" i="7"/>
  <c r="A9" i="7"/>
  <c r="A10" i="7"/>
  <c r="A7" i="7"/>
  <c r="S15" i="7" l="1"/>
  <c r="B3" i="8"/>
  <c r="U10" i="7"/>
  <c r="T10" i="7"/>
  <c r="T11" i="7"/>
  <c r="U11" i="7"/>
  <c r="T12" i="7"/>
  <c r="U12" i="7"/>
  <c r="U8" i="7"/>
  <c r="T8" i="7"/>
  <c r="U13" i="7"/>
  <c r="T13" i="7"/>
  <c r="S9" i="6"/>
  <c r="S13" i="6"/>
  <c r="R9" i="6"/>
  <c r="R13" i="6"/>
  <c r="Q9" i="6"/>
  <c r="Q13" i="6"/>
  <c r="P9" i="6"/>
  <c r="P13" i="6"/>
  <c r="P8" i="6"/>
  <c r="O9" i="6"/>
  <c r="O13" i="6"/>
  <c r="O8" i="6"/>
  <c r="N9" i="6"/>
  <c r="N13" i="6"/>
  <c r="N8" i="6"/>
  <c r="M9" i="6"/>
  <c r="M13" i="6"/>
  <c r="T15" i="7" l="1"/>
  <c r="C3" i="8" s="1"/>
  <c r="C9" i="8" s="1"/>
  <c r="U15" i="7"/>
  <c r="D3" i="8" s="1"/>
  <c r="D9" i="8" s="1"/>
  <c r="R8" i="6"/>
  <c r="Q8" i="6"/>
  <c r="X15" i="7" l="1"/>
  <c r="G3" i="8" s="1"/>
  <c r="G9" i="8" s="1"/>
  <c r="G13" i="6"/>
  <c r="C131" i="1"/>
  <c r="C116" i="1"/>
  <c r="H8" i="12" s="1"/>
  <c r="C101" i="1"/>
  <c r="D146" i="1"/>
  <c r="E134" i="1"/>
  <c r="E135" i="1" s="1"/>
  <c r="B136" i="1" s="1"/>
  <c r="E136" i="1" s="1"/>
  <c r="B137" i="1" s="1"/>
  <c r="E137" i="1" s="1"/>
  <c r="B138" i="1" s="1"/>
  <c r="E138" i="1" s="1"/>
  <c r="B139" i="1" s="1"/>
  <c r="E139" i="1" s="1"/>
  <c r="B140" i="1" s="1"/>
  <c r="E140" i="1" s="1"/>
  <c r="B141" i="1" s="1"/>
  <c r="E141" i="1" s="1"/>
  <c r="B142" i="1" s="1"/>
  <c r="E142" i="1" s="1"/>
  <c r="B143" i="1" s="1"/>
  <c r="E143" i="1" s="1"/>
  <c r="B144" i="1" s="1"/>
  <c r="E144" i="1" s="1"/>
  <c r="B145" i="1" s="1"/>
  <c r="E145" i="1" s="1"/>
  <c r="C71" i="1"/>
  <c r="E60" i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59" i="1"/>
  <c r="D71" i="1"/>
  <c r="D131" i="1"/>
  <c r="E120" i="1"/>
  <c r="B121" i="1" s="1"/>
  <c r="E121" i="1" s="1"/>
  <c r="B122" i="1" s="1"/>
  <c r="E122" i="1" s="1"/>
  <c r="B123" i="1" s="1"/>
  <c r="E123" i="1" s="1"/>
  <c r="B124" i="1" s="1"/>
  <c r="E124" i="1" s="1"/>
  <c r="B125" i="1" s="1"/>
  <c r="E125" i="1" s="1"/>
  <c r="B126" i="1" s="1"/>
  <c r="E126" i="1" s="1"/>
  <c r="B127" i="1" s="1"/>
  <c r="E127" i="1" s="1"/>
  <c r="B128" i="1" s="1"/>
  <c r="E128" i="1" s="1"/>
  <c r="B129" i="1" s="1"/>
  <c r="E129" i="1" s="1"/>
  <c r="B130" i="1" s="1"/>
  <c r="E130" i="1" s="1"/>
  <c r="E119" i="1"/>
  <c r="D116" i="1"/>
  <c r="E104" i="1"/>
  <c r="B105" i="1" s="1"/>
  <c r="E105" i="1" s="1"/>
  <c r="B106" i="1" s="1"/>
  <c r="D101" i="1"/>
  <c r="E90" i="1"/>
  <c r="B91" i="1" s="1"/>
  <c r="E91" i="1" s="1"/>
  <c r="B92" i="1" s="1"/>
  <c r="E92" i="1" s="1"/>
  <c r="B93" i="1" s="1"/>
  <c r="E93" i="1" s="1"/>
  <c r="B94" i="1" s="1"/>
  <c r="E94" i="1" s="1"/>
  <c r="B95" i="1" s="1"/>
  <c r="E95" i="1" s="1"/>
  <c r="B96" i="1" s="1"/>
  <c r="E96" i="1" s="1"/>
  <c r="B97" i="1" s="1"/>
  <c r="E97" i="1" s="1"/>
  <c r="B98" i="1" s="1"/>
  <c r="E98" i="1" s="1"/>
  <c r="B99" i="1" s="1"/>
  <c r="E99" i="1" s="1"/>
  <c r="B100" i="1" s="1"/>
  <c r="E100" i="1" s="1"/>
  <c r="E89" i="1"/>
  <c r="E101" i="1" s="1"/>
  <c r="M9" i="12" l="1"/>
  <c r="L9" i="12"/>
  <c r="L8" i="12"/>
  <c r="L21" i="12" s="1"/>
  <c r="B4" i="8" s="1"/>
  <c r="N21" i="12"/>
  <c r="D4" i="8" s="1"/>
  <c r="M8" i="12"/>
  <c r="M21" i="12" s="1"/>
  <c r="C4" i="8" s="1"/>
  <c r="Z13" i="6"/>
  <c r="W13" i="6"/>
  <c r="X13" i="6"/>
  <c r="Y13" i="6"/>
  <c r="V13" i="6"/>
  <c r="U13" i="6"/>
  <c r="T13" i="6"/>
  <c r="E106" i="1"/>
  <c r="C86" i="1"/>
  <c r="E75" i="1"/>
  <c r="B76" i="1" s="1"/>
  <c r="E76" i="1" s="1"/>
  <c r="B77" i="1" s="1"/>
  <c r="E77" i="1" s="1"/>
  <c r="B78" i="1" s="1"/>
  <c r="E78" i="1" s="1"/>
  <c r="B79" i="1" s="1"/>
  <c r="E79" i="1" s="1"/>
  <c r="B80" i="1" s="1"/>
  <c r="E80" i="1" s="1"/>
  <c r="B81" i="1" s="1"/>
  <c r="E81" i="1" s="1"/>
  <c r="B82" i="1" s="1"/>
  <c r="E82" i="1" s="1"/>
  <c r="B83" i="1" s="1"/>
  <c r="E83" i="1" s="1"/>
  <c r="B84" i="1" s="1"/>
  <c r="E84" i="1" s="1"/>
  <c r="B85" i="1" s="1"/>
  <c r="D74" i="1"/>
  <c r="D86" i="1" s="1"/>
  <c r="G9" i="6"/>
  <c r="G16" i="5"/>
  <c r="J14" i="5"/>
  <c r="J13" i="5"/>
  <c r="J12" i="5"/>
  <c r="J11" i="5"/>
  <c r="J10" i="5"/>
  <c r="J9" i="5"/>
  <c r="J8" i="5"/>
  <c r="J7" i="5"/>
  <c r="J6" i="5"/>
  <c r="J5" i="5"/>
  <c r="J4" i="5"/>
  <c r="J3" i="5"/>
  <c r="V9" i="6" l="1"/>
  <c r="Z9" i="6"/>
  <c r="W9" i="6"/>
  <c r="T9" i="6"/>
  <c r="Y8" i="6"/>
  <c r="X8" i="6"/>
  <c r="U9" i="6"/>
  <c r="B107" i="1"/>
  <c r="E107" i="1" s="1"/>
  <c r="B108" i="1" s="1"/>
  <c r="E108" i="1" s="1"/>
  <c r="B109" i="1" s="1"/>
  <c r="E74" i="1"/>
  <c r="U8" i="6"/>
  <c r="X9" i="6"/>
  <c r="W8" i="6"/>
  <c r="Z8" i="6"/>
  <c r="V8" i="6"/>
  <c r="Y9" i="6"/>
  <c r="T8" i="6"/>
  <c r="U14" i="6" l="1"/>
  <c r="C8" i="8" s="1"/>
  <c r="T14" i="6"/>
  <c r="B8" i="8" s="1"/>
  <c r="B9" i="8" s="1"/>
  <c r="V14" i="6"/>
  <c r="D8" i="8" s="1"/>
  <c r="Z14" i="6"/>
  <c r="H8" i="8" s="1"/>
  <c r="H9" i="8" s="1"/>
  <c r="X14" i="6"/>
  <c r="F8" i="8" s="1"/>
  <c r="F9" i="8" s="1"/>
  <c r="Y14" i="6"/>
  <c r="G8" i="8" s="1"/>
  <c r="W14" i="6"/>
  <c r="E8" i="8" s="1"/>
  <c r="E109" i="1"/>
  <c r="B110" i="1" s="1"/>
  <c r="E110" i="1" l="1"/>
  <c r="B111" i="1" s="1"/>
  <c r="J6" i="4"/>
  <c r="K6" i="4"/>
  <c r="L6" i="4"/>
  <c r="M6" i="4"/>
  <c r="N6" i="4"/>
  <c r="I5" i="4"/>
  <c r="I6" i="4"/>
  <c r="H6" i="4"/>
  <c r="H5" i="4"/>
  <c r="A6" i="4"/>
  <c r="B6" i="4"/>
  <c r="C6" i="4"/>
  <c r="C5" i="4"/>
  <c r="B5" i="4"/>
  <c r="A5" i="4"/>
  <c r="N5" i="4"/>
  <c r="M5" i="4"/>
  <c r="L5" i="4"/>
  <c r="K5" i="4"/>
  <c r="J5" i="4"/>
  <c r="R6" i="4" l="1"/>
  <c r="E111" i="1"/>
  <c r="B112" i="1" s="1"/>
  <c r="T6" i="4"/>
  <c r="S6" i="4"/>
  <c r="U6" i="4"/>
  <c r="O6" i="4"/>
  <c r="P6" i="4" s="1"/>
  <c r="S5" i="4"/>
  <c r="U5" i="4"/>
  <c r="T5" i="4"/>
  <c r="O5" i="4"/>
  <c r="R5" i="4"/>
  <c r="R7" i="4" s="1"/>
  <c r="E7" i="8" s="1"/>
  <c r="T7" i="4" l="1"/>
  <c r="G7" i="8" s="1"/>
  <c r="E112" i="1"/>
  <c r="B113" i="1" s="1"/>
  <c r="U7" i="4"/>
  <c r="H7" i="8" s="1"/>
  <c r="S7" i="4"/>
  <c r="F7" i="8" s="1"/>
  <c r="Q6" i="4"/>
  <c r="P5" i="4"/>
  <c r="P7" i="4" s="1"/>
  <c r="C7" i="8" s="1"/>
  <c r="O7" i="4"/>
  <c r="B7" i="8" s="1"/>
  <c r="Q5" i="4"/>
  <c r="E113" i="1" l="1"/>
  <c r="B114" i="1" s="1"/>
  <c r="Q7" i="4"/>
  <c r="D7" i="8" s="1"/>
  <c r="E114" i="1" l="1"/>
  <c r="B115" i="1" s="1"/>
  <c r="C17" i="1"/>
  <c r="D5" i="1"/>
  <c r="D6" i="1" l="1"/>
  <c r="D7" i="1" s="1"/>
  <c r="D8" i="1" s="1"/>
  <c r="D9" i="1" s="1"/>
  <c r="D10" i="1" s="1"/>
  <c r="D11" i="1" s="1"/>
  <c r="D12" i="1" s="1"/>
  <c r="D13" i="1" s="1"/>
  <c r="D14" i="1" s="1"/>
  <c r="D15" i="1" s="1"/>
  <c r="E115" i="1"/>
  <c r="D17" i="1" l="1"/>
</calcChain>
</file>

<file path=xl/comments1.xml><?xml version="1.0" encoding="utf-8"?>
<comments xmlns="http://schemas.openxmlformats.org/spreadsheetml/2006/main">
  <authors>
    <author>Andrielly Moutinho Knupp</author>
  </authors>
  <commentList>
    <comment ref="A6" authorId="0" shapeId="0">
      <text>
        <r>
          <rPr>
            <b/>
            <sz val="9"/>
            <color indexed="81"/>
            <rFont val="Segoe UI"/>
            <family val="2"/>
          </rPr>
          <t>Rating A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Andrielly Moutinho Knupp</author>
    <author>Gabriel Aarão Gonçalves</author>
    <author>Alinie Rossi dos Santos</author>
    <author>Vanessa Brusco Filete</author>
  </authors>
  <commentList>
    <comment ref="A3" authorId="0" shapeId="0">
      <text>
        <r>
          <rPr>
            <sz val="9"/>
            <color indexed="81"/>
            <rFont val="Segoe UI"/>
            <family val="2"/>
          </rPr>
          <t>Table 13.2.1-1 - Iron and steel production</t>
        </r>
      </text>
    </comment>
    <comment ref="G6" authorId="1" shapeId="0">
      <text>
        <r>
          <rPr>
            <sz val="9"/>
            <color indexed="81"/>
            <rFont val="Segoe UI"/>
            <family val="2"/>
          </rPr>
          <t xml:space="preserve">Multiplicação por 2 pois foi considerado um percurso de ida e volta do caminhão
</t>
        </r>
      </text>
    </comment>
    <comment ref="H6" authorId="2" shapeId="0">
      <text>
        <r>
          <rPr>
            <sz val="9"/>
            <color indexed="81"/>
            <rFont val="Segoe UI"/>
            <family val="2"/>
          </rPr>
          <t>Informado pela empresa que ocorre umectação das vias três vezes ao dia.</t>
        </r>
      </text>
    </comment>
    <comment ref="I6" authorId="2" shapeId="0">
      <text>
        <r>
          <rPr>
            <sz val="9"/>
            <color indexed="81"/>
            <rFont val="Segoe UI"/>
            <family val="2"/>
          </rPr>
          <t xml:space="preserve">WRAP Fugitive Dust Handbook (2006) </t>
        </r>
      </text>
    </comment>
    <comment ref="S7" authorId="3" shapeId="0">
      <text>
        <r>
          <rPr>
            <sz val="9"/>
            <color indexed="81"/>
            <rFont val="Segoe UI"/>
            <family val="2"/>
          </rPr>
          <t xml:space="preserve">Fora considerado o Fator de Emissão de HCT, devido à ausência de fator específico para VOC.
</t>
        </r>
      </text>
    </comment>
    <comment ref="F9" authorId="0" shapeId="0">
      <text>
        <r>
          <rPr>
            <sz val="9"/>
            <color indexed="81"/>
            <rFont val="Segoe UI"/>
            <family val="2"/>
          </rPr>
          <t xml:space="preserve">Considerado 1/3 caminhões passaram por este trajeto
</t>
        </r>
      </text>
    </comment>
    <comment ref="F11" authorId="0" shapeId="0">
      <text>
        <r>
          <rPr>
            <sz val="9"/>
            <color indexed="81"/>
            <rFont val="Segoe UI"/>
            <family val="2"/>
          </rPr>
          <t xml:space="preserve">Considerado 2/3 caminhões passaram por este trajeto
</t>
        </r>
      </text>
    </comment>
  </commentList>
</comments>
</file>

<file path=xl/comments2.xml><?xml version="1.0" encoding="utf-8"?>
<comments xmlns="http://schemas.openxmlformats.org/spreadsheetml/2006/main">
  <authors>
    <author>Gabriel Aarão Gonçalves</author>
  </authors>
  <commentList>
    <comment ref="B2" authorId="0" shapeId="0">
      <text>
        <r>
          <rPr>
            <sz val="9"/>
            <color indexed="81"/>
            <rFont val="Segoe UI"/>
            <family val="2"/>
          </rPr>
          <t>Ano de fabricação dos equipamentos do empreendimento não informado. Portanto, foi considerado o ano de 2007 (mais conservador)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  <author>Autor</author>
  </authors>
  <commentList>
    <comment ref="F1" authorId="0" shapeId="0">
      <text>
        <r>
          <rPr>
            <sz val="9"/>
            <color indexed="81"/>
            <rFont val="Segoe UI"/>
            <family val="2"/>
          </rPr>
          <t xml:space="preserve">Fonte: Estação INMET 
ES_A612_Vitoria
</t>
        </r>
      </text>
    </comment>
    <comment ref="B13" authorId="0" shapeId="0">
      <text>
        <r>
          <rPr>
            <sz val="9"/>
            <color indexed="81"/>
            <rFont val="Segoe UI"/>
            <family val="2"/>
          </rPr>
          <t xml:space="preserve">VKT = DMT </t>
        </r>
      </text>
    </comment>
    <comment ref="C23" authorId="1" shapeId="0">
      <text>
        <r>
          <rPr>
            <sz val="9"/>
            <color indexed="81"/>
            <rFont val="Segoe UI"/>
            <family val="2"/>
          </rPr>
          <t>Consideração:
Assumido PM10 = PM</t>
        </r>
      </text>
    </comment>
    <comment ref="D23" authorId="1" shapeId="0">
      <text>
        <r>
          <rPr>
            <sz val="9"/>
            <color indexed="81"/>
            <rFont val="Segoe UI"/>
            <family val="2"/>
          </rPr>
          <t>Consideração:
Assumido PM2.5 = PM</t>
        </r>
      </text>
    </comment>
    <comment ref="H23" authorId="1" shapeId="0">
      <text>
        <r>
          <rPr>
            <sz val="9"/>
            <color indexed="81"/>
            <rFont val="Segoe UI"/>
            <family val="2"/>
          </rPr>
          <t xml:space="preserve">Consideração:
O fator de veículos pesados é expresso em HC e CH4. Contudo, em alguns casos o CH4 é maior que o HC, o que é incoerente. Assim, foi calculado o fator de emissão considerando todos hidrocarbonetos.
</t>
        </r>
      </text>
    </comment>
  </commentList>
</comments>
</file>

<file path=xl/comments4.xml><?xml version="1.0" encoding="utf-8"?>
<comments xmlns="http://schemas.openxmlformats.org/spreadsheetml/2006/main">
  <authors>
    <author>Andrielly Moutinho Knupp</author>
  </authors>
  <commentList>
    <comment ref="N6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https://www.intechopen.com/books/air-pollution-monitoring-modelling-and-health/fugitive-dust-emissions-from-a-coal-iron-ore-and-hydrated-alumina-stockpile</t>
        </r>
      </text>
    </comment>
    <comment ref="N12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http://www.npi.gov.au/system/files/resources/7e04163a-12ba-6864-d19a-f57d960aae58/files/mining.pdf</t>
        </r>
      </text>
    </comment>
  </commentList>
</comments>
</file>

<file path=xl/comments5.xml><?xml version="1.0" encoding="utf-8"?>
<comments xmlns="http://schemas.openxmlformats.org/spreadsheetml/2006/main">
  <authors>
    <author>Gabriel Aarão Gonçalves</author>
    <author>Andrielly Moutinho Knupp</author>
  </authors>
  <commentList>
    <comment ref="B28" authorId="0" shapeId="0">
      <text>
        <r>
          <rPr>
            <sz val="9"/>
            <color indexed="81"/>
            <rFont val="Segoe UI"/>
            <family val="2"/>
          </rPr>
          <t xml:space="preserve">Dado informado em resposta ao email do ofício 066/2017. Porém, o valor foi corrigido de 27000 t para 27 t
</t>
        </r>
      </text>
    </comment>
    <comment ref="B29" authorId="0" shapeId="0">
      <text>
        <r>
          <rPr>
            <sz val="9"/>
            <color indexed="81"/>
            <rFont val="Segoe UI"/>
            <family val="2"/>
          </rPr>
          <t xml:space="preserve">Dado informado em resposta ao email do ofício 066/2017. Porém, o valor foi corrigido de 16000 t para 16 t
</t>
        </r>
      </text>
    </comment>
    <comment ref="C33" authorId="0" shapeId="0">
      <text>
        <r>
          <rPr>
            <sz val="9"/>
            <color indexed="81"/>
            <rFont val="Segoe UI"/>
            <family val="2"/>
          </rPr>
          <t xml:space="preserve">Dados fornecidos pela empresa no sistema graus, minutos e segundo são, na verdade, no sistema graus e minutos. Portanto, esses dados foram corrigidos e posteriormente transformados para o sistema graus decimais
</t>
        </r>
      </text>
    </comment>
    <comment ref="C42" authorId="0" shapeId="0">
      <text>
        <r>
          <rPr>
            <sz val="9"/>
            <color indexed="81"/>
            <rFont val="Segoe UI"/>
            <family val="2"/>
          </rPr>
          <t xml:space="preserve">Coordenada um pouco distante da zona de produção do empreendimento
</t>
        </r>
      </text>
    </comment>
    <comment ref="D42" authorId="0" shapeId="0">
      <text>
        <r>
          <rPr>
            <sz val="9"/>
            <color indexed="81"/>
            <rFont val="Segoe UI"/>
            <family val="2"/>
          </rPr>
          <t xml:space="preserve">Coordenada um pouco distante da zona de produção do empreendimento
</t>
        </r>
      </text>
    </comment>
    <comment ref="B87" authorId="1" shapeId="0">
      <text>
        <r>
          <rPr>
            <b/>
            <sz val="9"/>
            <color indexed="81"/>
            <rFont val="Segoe UI"/>
            <family val="2"/>
          </rPr>
          <t>Galpão semi coberto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150" authorId="1" shapeId="0">
      <text>
        <r>
          <rPr>
            <sz val="9"/>
            <color indexed="81"/>
            <rFont val="Segoe UI"/>
            <family val="2"/>
          </rPr>
          <t xml:space="preserve">Dados provenientes do Processo de Licenciamento da CIA Santa Barbara.
Fonte: 24422681 - Processo de Licenciamento.PDF
Páginas 41, 42 e 43.  </t>
        </r>
      </text>
    </comment>
  </commentList>
</comments>
</file>

<file path=xl/comments6.xml><?xml version="1.0" encoding="utf-8"?>
<comments xmlns="http://schemas.openxmlformats.org/spreadsheetml/2006/main">
  <authors>
    <author>Andrielly Moutinho Knupp</author>
  </authors>
  <commentList>
    <comment ref="D7" authorId="0" shapeId="0">
      <text>
        <r>
          <rPr>
            <sz val="9"/>
            <color indexed="81"/>
            <rFont val="Segoe UI"/>
            <family val="2"/>
          </rPr>
          <t xml:space="preserve">Referência:
https://www3.epa.gov/ttn/catc/dir1/fsprytwr.pdf
</t>
        </r>
      </text>
    </comment>
    <comment ref="L7" authorId="0" shapeId="0">
      <text>
        <r>
          <rPr>
            <sz val="9"/>
            <color indexed="81"/>
            <rFont val="Segoe UI"/>
            <family val="2"/>
          </rPr>
          <t>Dados do Monitoramento de Junho de 2014, ano mais próximo em relação ao inventário</t>
        </r>
      </text>
    </comment>
    <comment ref="Q7" authorId="0" shapeId="0">
      <text>
        <r>
          <rPr>
            <sz val="9"/>
            <color indexed="81"/>
            <rFont val="Segoe UI"/>
            <family val="2"/>
          </rPr>
          <t>Não há dados de monitoramento nem fator de emissão específico para o PM2.5. Portanto, foi utilizado a distribuição do tamanho de partículas para o alto forno Table 12.5-2.</t>
        </r>
      </text>
    </comment>
    <comment ref="R7" authorId="0" shapeId="0">
      <text>
        <r>
          <rPr>
            <sz val="9"/>
            <color indexed="81"/>
            <rFont val="Segoe UI"/>
            <family val="2"/>
          </rPr>
          <t xml:space="preserve">Não há dados de monitoramento nem fator de emissão específico para o PM10. Portanto, foi utilizado a distribuição do tamanho de partículas para o alto forno Table 12.5-2.
</t>
        </r>
      </text>
    </comment>
    <comment ref="D8" authorId="0" shapeId="0">
      <text>
        <r>
          <rPr>
            <sz val="9"/>
            <color indexed="81"/>
            <rFont val="Segoe UI"/>
            <family val="2"/>
          </rPr>
          <t xml:space="preserve">Referência:
https://www3.epa.gov/ttn/catc/dir1/fsprytwr.pdf
</t>
        </r>
      </text>
    </comment>
    <comment ref="Q8" authorId="0" shapeId="0">
      <text>
        <r>
          <rPr>
            <sz val="9"/>
            <color indexed="81"/>
            <rFont val="Segoe UI"/>
            <family val="2"/>
          </rPr>
          <t xml:space="preserve">Não há dados de monitoramento nem fator de emissão específico para o PM10. Portanto, foi utilizado a distribuição do tamanho de partículas para o alto forno Table 12.5-2.
</t>
        </r>
      </text>
    </comment>
    <comment ref="R8" authorId="0" shapeId="0">
      <text>
        <r>
          <rPr>
            <sz val="9"/>
            <color indexed="81"/>
            <rFont val="Segoe UI"/>
            <family val="2"/>
          </rPr>
          <t>Não há dados de monitoramento nem fator de emissão específico para o PM2.5. Portanto, foi utilizado a distribuição do tamanho de partículas para o alto forno Table 12.5-2.</t>
        </r>
      </text>
    </comment>
    <comment ref="D9" authorId="0" shapeId="0">
      <text>
        <r>
          <rPr>
            <sz val="9"/>
            <color indexed="81"/>
            <rFont val="Segoe UI"/>
            <family val="2"/>
          </rPr>
          <t xml:space="preserve">Referência:
https://www3.epa.gov/ttn/catc/dir1/fsprytwr.pdf
</t>
        </r>
      </text>
    </comment>
    <comment ref="L9" authorId="0" shapeId="0">
      <text>
        <r>
          <rPr>
            <sz val="9"/>
            <color indexed="81"/>
            <rFont val="Segoe UI"/>
            <family val="2"/>
          </rPr>
          <t xml:space="preserve">Dados do Monitoramento de Junho de 2016, ano mais próximo em relação ao inventário
</t>
        </r>
      </text>
    </comment>
    <comment ref="Q9" authorId="0" shapeId="0">
      <text>
        <r>
          <rPr>
            <sz val="9"/>
            <color indexed="81"/>
            <rFont val="Segoe UI"/>
            <family val="2"/>
          </rPr>
          <t xml:space="preserve">Não há dados de monitoramento nem fator de emissão específico para o PM10. Portanto, foi utilizado a distribuição do tamanho de partículas para o alto forno Table 12.5-2.
</t>
        </r>
      </text>
    </comment>
    <comment ref="R9" authorId="0" shapeId="0">
      <text>
        <r>
          <rPr>
            <sz val="9"/>
            <color indexed="81"/>
            <rFont val="Segoe UI"/>
            <family val="2"/>
          </rPr>
          <t>Não há dados de monitoramento nem fator de emissão específico para o PM2.5. Portanto, foi utilizado a distribuição do tamanho de partículas para o alto forno Table 12.5-2.</t>
        </r>
      </text>
    </comment>
    <comment ref="D10" authorId="0" shapeId="0">
      <text>
        <r>
          <rPr>
            <sz val="9"/>
            <color indexed="81"/>
            <rFont val="Segoe UI"/>
            <family val="2"/>
          </rPr>
          <t xml:space="preserve">Referência:
https://www3.epa.gov/ttn/catc/dir1/fsprytwr.pdf
</t>
        </r>
      </text>
    </comment>
    <comment ref="L10" authorId="0" shapeId="0">
      <text>
        <r>
          <rPr>
            <sz val="9"/>
            <color indexed="81"/>
            <rFont val="Segoe UI"/>
            <family val="2"/>
          </rPr>
          <t xml:space="preserve">Dados do Monitoramento de Maio de 2017, única campanha de monitoramento disponível
</t>
        </r>
      </text>
    </comment>
    <comment ref="Q10" authorId="0" shapeId="0">
      <text>
        <r>
          <rPr>
            <sz val="9"/>
            <color indexed="81"/>
            <rFont val="Segoe UI"/>
            <family val="2"/>
          </rPr>
          <t xml:space="preserve">Não há dados de monitoramento nem fator de emissão específico para o PM10. Portanto, foi utilizado a distribuição do tamanho de partículas para o alto forno Table 12.5-2.
</t>
        </r>
      </text>
    </comment>
    <comment ref="R10" authorId="0" shapeId="0">
      <text>
        <r>
          <rPr>
            <sz val="9"/>
            <color indexed="81"/>
            <rFont val="Segoe UI"/>
            <family val="2"/>
          </rPr>
          <t>Não há dados de monitoramento nem fator de emissão específico para o PM2.5. Portanto, foi utilizado a distribuição do tamanho de partículas para o alto forno Table 12.5-2.</t>
        </r>
      </text>
    </comment>
    <comment ref="Q11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"Processed Ores and Nonmetallic Minerals", página 14. Disponível em: 
https://www3.epa.gov/ttn/chief/ap42/appendix/appb-2.pdf</t>
        </r>
      </text>
    </comment>
    <comment ref="R11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"Processed Ores and Nonmetallic Minerals", página 14. Disponível em: 
https://www3.epa.gov/ttn/chief/ap42/appendix/appb-2.pdf</t>
        </r>
      </text>
    </comment>
    <comment ref="Q12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"Processed Ores and Nonmetallic Minerals", página 14. Disponível em: 
https://www3.epa.gov/ttn/chief/ap42/appendix/appb-2.pdf</t>
        </r>
      </text>
    </comment>
    <comment ref="R12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"Processed Ores and Nonmetallic Minerals", página 14. Disponível em: 
https://www3.epa.gov/ttn/chief/ap42/appendix/appb-2.pdf</t>
        </r>
      </text>
    </comment>
    <comment ref="Q13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"Processed Ores and Nonmetallic Minerals", página 14. Disponível em: 
https://www3.epa.gov/ttn/chief/ap42/appendix/appb-2.pdf</t>
        </r>
      </text>
    </comment>
    <comment ref="R13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"Processed Ores and Nonmetallic Minerals", página 14. Disponível em: 
https://www3.epa.gov/ttn/chief/ap42/appendix/appb-2.pdf</t>
        </r>
      </text>
    </comment>
    <comment ref="L14" authorId="0" shapeId="0">
      <text>
        <r>
          <rPr>
            <sz val="9"/>
            <color indexed="81"/>
            <rFont val="Segoe UI"/>
            <family val="2"/>
          </rPr>
          <t xml:space="preserve">Dados do Monitoramento de Maio de 2017, única campanha de monitoramento disponível
</t>
        </r>
      </text>
    </comment>
    <comment ref="Q14" authorId="0" shapeId="0">
      <text>
        <r>
          <rPr>
            <sz val="9"/>
            <color indexed="81"/>
            <rFont val="Segoe UI"/>
            <family val="2"/>
          </rPr>
          <t>Não há dados de monitoramento nem fator de emissão específico para o PM2.5. Portanto, foi utilizado a distribuição do tamanho de partículas para o alto forno Table 12.5-2.</t>
        </r>
      </text>
    </comment>
    <comment ref="R14" authorId="0" shapeId="0">
      <text>
        <r>
          <rPr>
            <sz val="9"/>
            <color indexed="81"/>
            <rFont val="Segoe UI"/>
            <family val="2"/>
          </rPr>
          <t xml:space="preserve">Não há dados de monitoramento nem fator de emissão específico para o PM10. Portanto, foi utilizado a distribuição do tamanho de partículas para o alto forno Table 12.5-2.
</t>
        </r>
      </text>
    </comment>
  </commentList>
</comments>
</file>

<file path=xl/comments7.xml><?xml version="1.0" encoding="utf-8"?>
<comments xmlns="http://schemas.openxmlformats.org/spreadsheetml/2006/main">
  <authors>
    <author>Andrielly Moutinho Knupp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>Fonte: Estação do Aeroporto de Vitória (SBVT) - Dados Metar (2015)</t>
        </r>
      </text>
    </comment>
    <comment ref="E7" authorId="0" shapeId="0">
      <text>
        <r>
          <rPr>
            <sz val="9"/>
            <color indexed="81"/>
            <rFont val="Segoe UI"/>
            <family val="2"/>
          </rPr>
          <t>NPI (2012)
A lateral do galpão não é toda vedada, possui aberturas.</t>
        </r>
      </text>
    </comment>
    <comment ref="C8" authorId="0" shapeId="0">
      <text>
        <r>
          <rPr>
            <sz val="9"/>
            <color indexed="81"/>
            <rFont val="Segoe UI"/>
            <family val="2"/>
          </rPr>
          <t xml:space="preserve">Uma vez que a empresa não informou o teor de umidade do material, foi considerado o mesmo valor de umidade do minério granulado informado pela Vale, 5,6%.
</t>
        </r>
      </text>
    </comment>
    <comment ref="C9" authorId="0" shapeId="0">
      <text>
        <r>
          <rPr>
            <sz val="9"/>
            <color indexed="81"/>
            <rFont val="Segoe UI"/>
            <family val="2"/>
          </rPr>
          <t xml:space="preserve">Uma vez que a empresa não informou o teor de umidade do material, foi considerado o mesmo valor de umidade do minério granulado informado pela Vale, 5,6%.
</t>
        </r>
      </text>
    </comment>
    <comment ref="C10" authorId="0" shapeId="0">
      <text>
        <r>
          <rPr>
            <b/>
            <sz val="9"/>
            <color indexed="81"/>
            <rFont val="Segoe UI"/>
            <family val="2"/>
          </rPr>
          <t>Uma vez que a empresa não informou o teor de umidade do material, foi considerado o mesmo valor de umidade do minério granulado informado pela AMT, 1%.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Segoe UI"/>
            <family val="2"/>
          </rPr>
          <t>Uma vez que a empresa não informou o teor de umidade do material, foi considerado o mesmo valor de umidade do minério granulado informado pela AMT, 1%.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2" authorId="0" shapeId="0">
      <text>
        <r>
          <rPr>
            <sz val="9"/>
            <color indexed="81"/>
            <rFont val="Segoe UI"/>
            <family val="2"/>
          </rPr>
          <t xml:space="preserve">Teor de umidade da areia obtida na Tabela 13.2.4-1 do AP-42, pois não foi informado pelo empreendimento.
</t>
        </r>
      </text>
    </comment>
    <comment ref="C13" authorId="0" shapeId="0">
      <text>
        <r>
          <rPr>
            <sz val="9"/>
            <color indexed="81"/>
            <rFont val="Segoe UI"/>
            <family val="2"/>
          </rPr>
          <t xml:space="preserve">Uma vez que a empresa não informou o teor de umidade do material, foi considerado o mesmo valor de umidade do minério granulado informado pela Vale, 5,6%.
</t>
        </r>
      </text>
    </comment>
    <comment ref="C14" authorId="0" shapeId="0">
      <text>
        <r>
          <rPr>
            <b/>
            <sz val="9"/>
            <color indexed="81"/>
            <rFont val="Segoe UI"/>
            <family val="2"/>
          </rPr>
          <t>Uma vez que a empresa não informou o teor de umidade do material, foi considerado o mesmo valor de umidade do minério granulado informado pela AMT, 1%.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5" authorId="0" shapeId="0">
      <text>
        <r>
          <rPr>
            <sz val="9"/>
            <color indexed="81"/>
            <rFont val="Segoe UI"/>
            <family val="2"/>
          </rPr>
          <t xml:space="preserve">Teor de umidade da areia obtida na Tabela 13.2.4-1 do AP-42, pois não foi informado pelo empreendimento.
</t>
        </r>
      </text>
    </comment>
    <comment ref="C19" authorId="0" shapeId="0">
      <text>
        <r>
          <rPr>
            <sz val="9"/>
            <color indexed="81"/>
            <rFont val="Segoe UI"/>
            <family val="2"/>
          </rPr>
          <t xml:space="preserve">Considerada a mesma umidade do sinter feed na Vale, uma vez que a Siderúrgica Santa Bárbara não informou o teor de umidade do briquete.
</t>
        </r>
      </text>
    </comment>
  </commentList>
</comments>
</file>

<file path=xl/comments8.xml><?xml version="1.0" encoding="utf-8"?>
<comments xmlns="http://schemas.openxmlformats.org/spreadsheetml/2006/main">
  <authors>
    <author>Andrielly Moutinho Knupp</author>
  </authors>
  <commentList>
    <comment ref="F4" authorId="0" shapeId="0">
      <text>
        <r>
          <rPr>
            <b/>
            <sz val="9"/>
            <color indexed="81"/>
            <rFont val="Segoe UI"/>
            <family val="2"/>
          </rPr>
          <t xml:space="preserve">Considerada a relação PM10/PM e PM2.5/PM da Tabela 12.5-2 do AP-42.
</t>
        </r>
      </text>
    </comment>
    <comment ref="D6" authorId="0" shapeId="0">
      <text>
        <r>
          <rPr>
            <sz val="9"/>
            <color indexed="81"/>
            <rFont val="Segoe UI"/>
            <family val="2"/>
          </rPr>
          <t>Considerada altura de 2 m. O empreendimento não forneceu esta informação.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Andrielly Moutinho Knupp</author>
    <author>Gabriel Aarão Gonçalves</author>
  </authors>
  <commentList>
    <comment ref="L4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N4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P4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Q4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S4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U4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D5" authorId="1" shapeId="0">
      <text>
        <r>
          <rPr>
            <sz val="9"/>
            <color indexed="81"/>
            <rFont val="Segoe UI"/>
            <family val="2"/>
          </rPr>
          <t xml:space="preserve">Informação da potência do equipamento não informada. Portanto, foi considerado o valor que consta no catálogo do equipamento.
Fonte: https://www.casece.com/latam/en-la/products/wheel-loaders/wheel-loaders/models/621d
</t>
        </r>
      </text>
    </comment>
    <comment ref="D6" authorId="1" shapeId="0">
      <text>
        <r>
          <rPr>
            <sz val="9"/>
            <color indexed="81"/>
            <rFont val="Segoe UI"/>
            <family val="2"/>
          </rPr>
          <t xml:space="preserve">Informação da potência do equipamento não informada. Portanto, foi considerado o valor que consta no catálogo do equipamento.
Fonte: http://www.technico.com.br/arquivos/W20EEncarte.pdf
</t>
        </r>
      </text>
    </comment>
  </commentList>
</comments>
</file>

<file path=xl/sharedStrings.xml><?xml version="1.0" encoding="utf-8"?>
<sst xmlns="http://schemas.openxmlformats.org/spreadsheetml/2006/main" count="1035" uniqueCount="424">
  <si>
    <t>Entrada</t>
  </si>
  <si>
    <t>Saída</t>
  </si>
  <si>
    <t>Estoque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</si>
  <si>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</si>
  <si>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</si>
  <si>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</si>
  <si>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</si>
  <si>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</si>
  <si>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</si>
  <si>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</si>
  <si>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</si>
  <si>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</si>
  <si>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</si>
  <si>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</si>
  <si>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</si>
  <si>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</si>
  <si>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Produção de Gusa (t) - 2015</t>
  </si>
  <si>
    <t>-</t>
  </si>
  <si>
    <t>Total</t>
  </si>
  <si>
    <t>Máquinas e Equipamentos</t>
  </si>
  <si>
    <t>Equipamento</t>
  </si>
  <si>
    <t>Pá Caregadeira</t>
  </si>
  <si>
    <t>Marca</t>
  </si>
  <si>
    <t>Case</t>
  </si>
  <si>
    <t>Modelo</t>
  </si>
  <si>
    <t>621 D</t>
  </si>
  <si>
    <t>Quantidade</t>
  </si>
  <si>
    <t>Consumo de Combustível (L)</t>
  </si>
  <si>
    <t>Horas trabalhadas (h)</t>
  </si>
  <si>
    <t>W20 E</t>
  </si>
  <si>
    <t>Chaminés</t>
  </si>
  <si>
    <t>Unidade Operacional</t>
  </si>
  <si>
    <t>Coordenadas (°)</t>
  </si>
  <si>
    <t>Diâmetro (m)</t>
  </si>
  <si>
    <t>Latitude</t>
  </si>
  <si>
    <t>Longitude</t>
  </si>
  <si>
    <t>Glendon 1</t>
  </si>
  <si>
    <t>Alto-forno</t>
  </si>
  <si>
    <t>Glendon 2</t>
  </si>
  <si>
    <t>Glendon 3</t>
  </si>
  <si>
    <t>Glendon 4</t>
  </si>
  <si>
    <t>Filtro de Mangas</t>
  </si>
  <si>
    <t>Descarga e Peneira de Carvão</t>
  </si>
  <si>
    <t>Peneira de Minério</t>
  </si>
  <si>
    <t>Exaustor Verde (Finos de Minério)</t>
  </si>
  <si>
    <t>Panela de Gusa</t>
  </si>
  <si>
    <t>Altura (m)</t>
  </si>
  <si>
    <t>Características das Chaminés</t>
  </si>
  <si>
    <t>Parâmetros</t>
  </si>
  <si>
    <t>MPT</t>
  </si>
  <si>
    <t>Datas</t>
  </si>
  <si>
    <t>Te (kg/h)</t>
  </si>
  <si>
    <t>T (°C)</t>
  </si>
  <si>
    <t>Filtro de Mangas - Descarga e Peneira de Carvão</t>
  </si>
  <si>
    <t>Filtro de Mangas - Exaustor Verde</t>
  </si>
  <si>
    <t xml:space="preserve">Filtro de Mangas - 
Peneira de Minério
</t>
  </si>
  <si>
    <r>
      <t>C (mg/Nm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</t>
    </r>
  </si>
  <si>
    <r>
      <t>Q (Nm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/h)</t>
    </r>
  </si>
  <si>
    <t>MPT – Material Particulado Total</t>
  </si>
  <si>
    <t>Te – Taxa de Emissão Média nas Condições Normais de Base Seca (kg/h)</t>
  </si>
  <si>
    <t>T – Temperatura Média na Chaminé (°C)</t>
  </si>
  <si>
    <r>
      <t>C – Concentração Média nas Condições Normais de Base Seca (mg/Nm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>)</t>
    </r>
  </si>
  <si>
    <r>
      <t>Q – Vazão média nas Condições Normais de Base Seca (Nm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>/h)</t>
    </r>
  </si>
  <si>
    <r>
      <t>Limite de Emissão para Partículas Totais (CONAMA 382/2006) = 50 mg/Nm</t>
    </r>
    <r>
      <rPr>
        <vertAlign val="superscript"/>
        <sz val="8"/>
        <color theme="1"/>
        <rFont val="Arial"/>
        <family val="2"/>
      </rPr>
      <t>3</t>
    </r>
  </si>
  <si>
    <t>Sistemas de Controle</t>
  </si>
  <si>
    <t>Umectação</t>
  </si>
  <si>
    <t>Tipo</t>
  </si>
  <si>
    <t>Local</t>
  </si>
  <si>
    <t>Frequência</t>
  </si>
  <si>
    <t>Vias</t>
  </si>
  <si>
    <t>Ciclone + Lavador de Gases + Desumificador</t>
  </si>
  <si>
    <t>Alto Forno</t>
  </si>
  <si>
    <t>Movimentação de Caminhões</t>
  </si>
  <si>
    <t>Entrada de Caminhões por mês</t>
  </si>
  <si>
    <t>Capacidade Média (t)</t>
  </si>
  <si>
    <t>Peso médio</t>
  </si>
  <si>
    <t>Unidade</t>
  </si>
  <si>
    <t>Vezes/dia</t>
  </si>
  <si>
    <t>PRODUTO</t>
  </si>
  <si>
    <t>OLEO DIESEL B S500 COMUM</t>
  </si>
  <si>
    <t>Consumo de Combustível - Ano 2015</t>
  </si>
  <si>
    <t>Quantidade (L)</t>
  </si>
  <si>
    <t>Fonte: AQMD (2016) - http://www.aqmd.gov/home/regulations/ceqa/air-quality-analysis-handbook/off-road-mobile-source-emission-factors</t>
  </si>
  <si>
    <t>Ano de fabricação considerado:</t>
  </si>
  <si>
    <t>Equipment</t>
  </si>
  <si>
    <t>MaxHP</t>
  </si>
  <si>
    <t>PM [kg/h]</t>
  </si>
  <si>
    <r>
      <t>NO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</si>
  <si>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r>
      <t>SO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</si>
  <si>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t>CO [kg/h]</t>
  </si>
  <si>
    <t>ROG [kg/h]</t>
  </si>
  <si>
    <r>
      <t>CO</t>
    </r>
    <r>
      <rPr>
        <vertAlign val="subscript"/>
        <sz val="8"/>
        <rFont val="Arial"/>
        <family val="2"/>
      </rPr>
      <t xml:space="preserve">2 </t>
    </r>
    <r>
      <rPr>
        <sz val="8"/>
        <rFont val="Arial"/>
        <family val="2"/>
      </rPr>
      <t>[kg/h]</t>
    </r>
  </si>
  <si>
    <r>
      <t>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[kg/h]</t>
    </r>
  </si>
  <si>
    <t>Rubber Tired Loaders
(Pá Carregadeira)</t>
  </si>
  <si>
    <t>Rubber Tired Loaders - 25</t>
  </si>
  <si>
    <t>Rubber Tired Loaders - 50</t>
  </si>
  <si>
    <t>Rubber Tired Loaders - 120</t>
  </si>
  <si>
    <t>Rubber Tired Loaders - 175</t>
  </si>
  <si>
    <t>Rubber Tired Loaders - 250</t>
  </si>
  <si>
    <t>Rubber Tired Loaders - 500</t>
  </si>
  <si>
    <t>Rubber Tired Loaders - 750</t>
  </si>
  <si>
    <t>Rubber Tired Loaders - 1000</t>
  </si>
  <si>
    <t>Equação Geral:</t>
  </si>
  <si>
    <t>Onde:
E - emissão (lb/dia)
n - número de equipamentos de cada categoria
H - número de horas diárias de operação do equipamento
EF - fator de emissão (lb/h)</t>
  </si>
  <si>
    <t>Fonte Emissora</t>
  </si>
  <si>
    <t>Potência [hp]</t>
  </si>
  <si>
    <t>Equipamento [hp]</t>
  </si>
  <si>
    <t>Horas/dia</t>
  </si>
  <si>
    <t>Fator de Emissão [kg/h]</t>
  </si>
  <si>
    <t>Taxa de Emissão [kg/h]</t>
  </si>
  <si>
    <t>PM</t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</si>
  <si>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</si>
  <si>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</si>
  <si>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CO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</si>
  <si>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</si>
  <si>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</si>
  <si>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Fonte: USEPA (2006) https://www3.epa.gov/ttn/chief/ap42/ch13/final/c13s0202.pdf</t>
  </si>
  <si>
    <t>Ano 2015</t>
  </si>
  <si>
    <t>AP42 - 13.2.2 Unpaved Roads</t>
  </si>
  <si>
    <t xml:space="preserve">Mês </t>
  </si>
  <si>
    <t>Precipitação Acumulada (mm)</t>
  </si>
  <si>
    <t>Número de Dias com Precipitação &gt; 0,254 mm</t>
  </si>
  <si>
    <t>N° dias no mês</t>
  </si>
  <si>
    <t>Fator de Ajuste</t>
  </si>
  <si>
    <t>Table 13.2.2-2 Constants for Equations 1a and 1b</t>
  </si>
  <si>
    <t>Jan</t>
  </si>
  <si>
    <t>Constant</t>
  </si>
  <si>
    <t>Industrial Roads (Equation 1a)</t>
  </si>
  <si>
    <t>Fev</t>
  </si>
  <si>
    <t>PM2.5</t>
  </si>
  <si>
    <t>PM10</t>
  </si>
  <si>
    <t>PM30</t>
  </si>
  <si>
    <t>Mar</t>
  </si>
  <si>
    <t>k (lb/VMT)</t>
  </si>
  <si>
    <t>Abr</t>
  </si>
  <si>
    <t>a</t>
  </si>
  <si>
    <t>Mai</t>
  </si>
  <si>
    <t>b</t>
  </si>
  <si>
    <t>Jun</t>
  </si>
  <si>
    <t>1 lb/VMT</t>
  </si>
  <si>
    <t>g/VKT</t>
  </si>
  <si>
    <t>Jul</t>
  </si>
  <si>
    <t>Ago</t>
  </si>
  <si>
    <t>Set</t>
  </si>
  <si>
    <t>Out</t>
  </si>
  <si>
    <t>Onde:
FE - fator de emissão de material particulado (lb/VMT)
k - constante de tamanho da partícula (g/VKT)
sL - teor de silt na superfície de rodagem (%)
W - peso médio dos veículos que trafegam na via (t)
P - número de dias onde a precipitação durante o período observado foi no mínimo 0,254 mm</t>
  </si>
  <si>
    <t>Nov</t>
  </si>
  <si>
    <t>Dez</t>
  </si>
  <si>
    <t>Fator Ajuste:</t>
  </si>
  <si>
    <t>Classe de Veículo</t>
  </si>
  <si>
    <t>Fator de emissão médio da frota veicular da RGV [g/km]</t>
  </si>
  <si>
    <t>Escapamento</t>
  </si>
  <si>
    <r>
      <t>PM</t>
    </r>
    <r>
      <rPr>
        <vertAlign val="subscript"/>
        <sz val="8"/>
        <color theme="1"/>
        <rFont val="Arial"/>
        <family val="2"/>
      </rPr>
      <t>10</t>
    </r>
  </si>
  <si>
    <r>
      <t>PM</t>
    </r>
    <r>
      <rPr>
        <vertAlign val="subscript"/>
        <sz val="8"/>
        <color theme="1"/>
        <rFont val="Arial"/>
        <family val="2"/>
      </rPr>
      <t>25</t>
    </r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</si>
  <si>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</si>
  <si>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</si>
  <si>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HCT</t>
  </si>
  <si>
    <t>Veículos Pesados</t>
  </si>
  <si>
    <t xml:space="preserve">Fonte Emissora </t>
  </si>
  <si>
    <t>Controle</t>
  </si>
  <si>
    <t>Fator de Emissão - Gases Escapamento (kg/km)</t>
  </si>
  <si>
    <t>Via Trecho 1</t>
  </si>
  <si>
    <t>Não Pavimentada</t>
  </si>
  <si>
    <t>Via Trecho 2</t>
  </si>
  <si>
    <t>Fonte: Informações fornecidas pelo empreendimento à solicitação através dos Ofícios N° 066/2017</t>
  </si>
  <si>
    <t>Movimentação de Materiais</t>
  </si>
  <si>
    <t>Produto</t>
  </si>
  <si>
    <t>Calcário Dolomitico</t>
  </si>
  <si>
    <t>Estoque Inicial (t)</t>
  </si>
  <si>
    <t>Entrada (t)</t>
  </si>
  <si>
    <t>Saída (t)</t>
  </si>
  <si>
    <t>Estoque Final (t)</t>
  </si>
  <si>
    <t>Carvão Vegetal</t>
  </si>
  <si>
    <t>Minério de Ferro (Aglomerado PLTI, Granulado, Granulado JM, Aglom Minas Ger., HTFA, HTJJ, HTVG, NBCA Pelota AF50  e PLTI)</t>
  </si>
  <si>
    <t>Quartzito (Silica)</t>
  </si>
  <si>
    <t>Sucata (com gusa, de aço, de ferro, moída e recuperada terra)</t>
  </si>
  <si>
    <t>Briquete Formulação</t>
  </si>
  <si>
    <t>Via Trecho 3</t>
  </si>
  <si>
    <t xml:space="preserve">Filtro de Mangas - Panela de Gusa (Panela do Alto Forno)
</t>
  </si>
  <si>
    <t>Chaminé Glendon 1</t>
  </si>
  <si>
    <t>Chaminé Glendon 2</t>
  </si>
  <si>
    <t>Chaminé Glendon 3</t>
  </si>
  <si>
    <t>Chaminé Glendon 4</t>
  </si>
  <si>
    <t>Chaminé Filtro de Mangas (Descarga e Peneira de Carvão)</t>
  </si>
  <si>
    <t>Chaminé Filtro de Mangas (Peneira de Minério)</t>
  </si>
  <si>
    <t>Chaminé Filtro de Mangas (Exaustor Verde)</t>
  </si>
  <si>
    <t>Chaminé Filtro de mangas (Panela de Gusa)</t>
  </si>
  <si>
    <t>Setor</t>
  </si>
  <si>
    <t>Material</t>
  </si>
  <si>
    <t>Equipamento de Controle</t>
  </si>
  <si>
    <t>H [m]</t>
  </si>
  <si>
    <t>Concentração [mg/Nm³]</t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</si>
  <si>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</si>
  <si>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>Onde:
E - taxa de emissão
EF - fator de emissão
ER - eficiência de redução de emissão</t>
  </si>
  <si>
    <r>
      <t>Onde:
TE - taxa de emissão (kg/h)
Q - vazão (Nm³/h)
C - concentração (mg/Nm³)
10</t>
    </r>
    <r>
      <rPr>
        <vertAlign val="superscript"/>
        <sz val="8"/>
        <color theme="1"/>
        <rFont val="Arial"/>
        <family val="2"/>
      </rPr>
      <t>6</t>
    </r>
    <r>
      <rPr>
        <sz val="8"/>
        <color theme="1"/>
        <rFont val="Arial"/>
        <family val="2"/>
      </rPr>
      <t xml:space="preserve"> - conversão de mg para kg</t>
    </r>
  </si>
  <si>
    <t xml:space="preserve">Funcionamento (horas): </t>
  </si>
  <si>
    <t>TOTAL</t>
  </si>
  <si>
    <t>Fontes Emissoras</t>
  </si>
  <si>
    <t>Transferências</t>
  </si>
  <si>
    <t>Vias de tráfego</t>
  </si>
  <si>
    <t>Nota: Informação do nome da chaminé incoerente no monitoramento de maio de 2015. Na página 2 do arquivo Monitoramento 2015.pdf, bem como pelo dado infornecido pelo empreendimento, o nome da fonte está como Glendon 2. Porém, nas informações mais detalhadas da página 18 e 42 do mesmo arquivo, o nome da chaminé consta como Glendon 3.  Portanto, foi mantida a informação conforme enviada pelo empreendimento</t>
  </si>
  <si>
    <t>Aerodynamic Particle Size Multiplier (k) For Equation 1</t>
  </si>
  <si>
    <t>Source</t>
  </si>
  <si>
    <t>&lt; 30 µm</t>
  </si>
  <si>
    <t>&lt; 15 µm</t>
  </si>
  <si>
    <t>&lt; 10 µm</t>
  </si>
  <si>
    <t>&lt; 5 µm</t>
  </si>
  <si>
    <t>&lt; 2.5 µm</t>
  </si>
  <si>
    <t>EMISSION FACTOR RATING</t>
  </si>
  <si>
    <t>ND</t>
  </si>
  <si>
    <t>Onde:
E - emissão
k - particle size multiplier (dimensionless)
U - mean wind speed, meters per second (m/s) (miles per hour [mph]) 
M - material moisture content (%)</t>
  </si>
  <si>
    <t>Referências: AP-42 (USEPA, 2006) - https://www3.epa.gov/ttn/chief/ap42/ch13/final/c13s0204.pdf</t>
  </si>
  <si>
    <t xml:space="preserve">PM </t>
  </si>
  <si>
    <r>
      <t>PM</t>
    </r>
    <r>
      <rPr>
        <b/>
        <vertAlign val="subscript"/>
        <sz val="8"/>
        <color theme="0"/>
        <rFont val="Arial"/>
        <family val="2"/>
      </rPr>
      <t>10</t>
    </r>
    <r>
      <rPr>
        <b/>
        <sz val="8"/>
        <color theme="0"/>
        <rFont val="Arial"/>
        <family val="2"/>
      </rPr>
      <t xml:space="preserve"> </t>
    </r>
  </si>
  <si>
    <r>
      <t>PM</t>
    </r>
    <r>
      <rPr>
        <b/>
        <vertAlign val="subscript"/>
        <sz val="8"/>
        <color theme="0"/>
        <rFont val="Arial"/>
        <family val="2"/>
      </rPr>
      <t>2,5</t>
    </r>
    <r>
      <rPr>
        <b/>
        <sz val="8"/>
        <color theme="0"/>
        <rFont val="Arial"/>
        <family val="2"/>
      </rPr>
      <t xml:space="preserve"> </t>
    </r>
  </si>
  <si>
    <t>Fonte: EMEP/EEA (2016) - https://www.eea.europa.eu/publications/emep-eea-guidebook-2016/part-b-sectoral-guidance-chapters/1-energy/1-a-combustion/1-a-2-manufacturing-industries/view</t>
  </si>
  <si>
    <t>WRAP 2006, MRI 2006</t>
  </si>
  <si>
    <t>Table 3.7 - Tier 2 emission factors for source category 1.A.2.a, Blast furnace cowpers</t>
  </si>
  <si>
    <t xml:space="preserve">Iron and steel
</t>
  </si>
  <si>
    <t>NFR Source Category</t>
  </si>
  <si>
    <t>Fuel</t>
  </si>
  <si>
    <t>Coke/Blast Furnace Gas/Coke oven gas/NG/oil/BOF ga</t>
  </si>
  <si>
    <t>Technologies/Practices</t>
  </si>
  <si>
    <t>Blast Furnace</t>
  </si>
  <si>
    <t>Pollutant</t>
  </si>
  <si>
    <r>
      <t>SO</t>
    </r>
    <r>
      <rPr>
        <vertAlign val="subscript"/>
        <sz val="8"/>
        <color theme="1"/>
        <rFont val="Arial"/>
        <family val="2"/>
      </rPr>
      <t>X</t>
    </r>
  </si>
  <si>
    <t>Value</t>
  </si>
  <si>
    <t xml:space="preserve">Unit </t>
  </si>
  <si>
    <t>Lower</t>
  </si>
  <si>
    <t>Upper</t>
  </si>
  <si>
    <t>Reference</t>
  </si>
  <si>
    <t>g/tonne pig iron</t>
  </si>
  <si>
    <t>95% confidence interval</t>
  </si>
  <si>
    <t>Fração Material Particulado</t>
  </si>
  <si>
    <t>Table 12.5-2 (Metric And English Units). SIZE SPECIFIC EMISSION FACTORS</t>
  </si>
  <si>
    <t>Particle Size (µm)</t>
  </si>
  <si>
    <t>Cumulative Mass % ≤ Stated Size</t>
  </si>
  <si>
    <t>Cumulative Mass Emission Factor</t>
  </si>
  <si>
    <t>kg/Mg</t>
  </si>
  <si>
    <t>C</t>
  </si>
  <si>
    <t>Blast furnace</t>
  </si>
  <si>
    <t>Roof monitor</t>
  </si>
  <si>
    <t>Referência: AP-42 (USEPA, 1986) - https://www3.epa.gov/ttn/chief/ap42/ch12/final/c12s05.pdf</t>
  </si>
  <si>
    <t>Fator de Emissão [g/t]</t>
  </si>
  <si>
    <t>Quantidade Ferro Gusa (t/h):</t>
  </si>
  <si>
    <t>Fator de Emissão [kg/t]</t>
  </si>
  <si>
    <t>Movimentação material [t/h]</t>
  </si>
  <si>
    <t>Umidade do Material [%]</t>
  </si>
  <si>
    <t>Eficiência do Controle [%]</t>
  </si>
  <si>
    <t>Velocidade do Vento (m/s):</t>
  </si>
  <si>
    <t>Enclausuramento (partes laterais e superior)</t>
  </si>
  <si>
    <t xml:space="preserve">Table 13.2.4-1. TYPICAL SILT AND MOISTURE CONTENTS OF MATERIALS AT VARIOUS INDUSTRIES </t>
  </si>
  <si>
    <t>Industry</t>
  </si>
  <si>
    <t>Silt Content (%)</t>
  </si>
  <si>
    <t>Moisture Content (%)</t>
  </si>
  <si>
    <t>Range</t>
  </si>
  <si>
    <t>Mean</t>
  </si>
  <si>
    <t>Iron and steel production</t>
  </si>
  <si>
    <t>Pellet ore</t>
  </si>
  <si>
    <t>1,3 - 13</t>
  </si>
  <si>
    <t xml:space="preserve">0,64 - 4,0 </t>
  </si>
  <si>
    <t>Lump ore</t>
  </si>
  <si>
    <t>2,8 - 19</t>
  </si>
  <si>
    <t>1,6 - 8,0</t>
  </si>
  <si>
    <t>Coal</t>
  </si>
  <si>
    <t>2,0 - 7,7</t>
  </si>
  <si>
    <t>2,8 - 11</t>
  </si>
  <si>
    <t>Slag</t>
  </si>
  <si>
    <t>3,0 - 7,3</t>
  </si>
  <si>
    <t>0,25 - 2,0</t>
  </si>
  <si>
    <t>Flue dust</t>
  </si>
  <si>
    <t>2,7 - 23</t>
  </si>
  <si>
    <t>Coke breeze</t>
  </si>
  <si>
    <t>4,4 - 5,4</t>
  </si>
  <si>
    <t>6,4 - 9,2</t>
  </si>
  <si>
    <t>Blended ore</t>
  </si>
  <si>
    <t>Sinter</t>
  </si>
  <si>
    <t>Limestone</t>
  </si>
  <si>
    <t>0,4 - 2,3</t>
  </si>
  <si>
    <t>Stone quarrying and processing</t>
  </si>
  <si>
    <t>Crushed limestone</t>
  </si>
  <si>
    <t>1,3 - 1,9</t>
  </si>
  <si>
    <t>0,3 - 1,1</t>
  </si>
  <si>
    <t>Various limestone products</t>
  </si>
  <si>
    <t>0,8 - 14</t>
  </si>
  <si>
    <t>0,46 - 5,0</t>
  </si>
  <si>
    <t>Taconite mining and processing</t>
  </si>
  <si>
    <t>Pellets</t>
  </si>
  <si>
    <t>2,2 - 5,4</t>
  </si>
  <si>
    <t>0,05 - 2,0</t>
  </si>
  <si>
    <t>Tailings</t>
  </si>
  <si>
    <t>Western surface coal mining</t>
  </si>
  <si>
    <t>3,4 - 16</t>
  </si>
  <si>
    <t>2,8 - 20</t>
  </si>
  <si>
    <t>Overburden</t>
  </si>
  <si>
    <t>3,8 - 15</t>
  </si>
  <si>
    <t>Exposed ground</t>
  </si>
  <si>
    <t>5,1 - 21</t>
  </si>
  <si>
    <t>0,8 - 6,4</t>
  </si>
  <si>
    <t>Coal-fired power plant</t>
  </si>
  <si>
    <t>Coal (as received)</t>
  </si>
  <si>
    <t>0,6 - 4,8</t>
  </si>
  <si>
    <t>2,7 - 7,4</t>
  </si>
  <si>
    <t>Municipal solid waste landfills</t>
  </si>
  <si>
    <t>Sand</t>
  </si>
  <si>
    <t>3,0 - 4,7</t>
  </si>
  <si>
    <t>2,3 - 4,9</t>
  </si>
  <si>
    <t>Cover</t>
  </si>
  <si>
    <t>5,0 - 16</t>
  </si>
  <si>
    <t>8,9 - 16</t>
  </si>
  <si>
    <t>Clay/dirty mix</t>
  </si>
  <si>
    <t>Clay</t>
  </si>
  <si>
    <t>4,5 - 7,4</t>
  </si>
  <si>
    <t>8,9 - 11</t>
  </si>
  <si>
    <t>Fly ash</t>
  </si>
  <si>
    <t>78 - 81</t>
  </si>
  <si>
    <t>26 - 29</t>
  </si>
  <si>
    <t>Misc. Fill materials</t>
  </si>
  <si>
    <t>Minério Granulado</t>
  </si>
  <si>
    <t>Descarregamento Caminhão</t>
  </si>
  <si>
    <t>Carregamento Caminhão</t>
  </si>
  <si>
    <t>Descarregamento (Depósito)</t>
  </si>
  <si>
    <t xml:space="preserve">Carvão </t>
  </si>
  <si>
    <t>Descarregamento na Moega</t>
  </si>
  <si>
    <t>Calcário</t>
  </si>
  <si>
    <t>Fonte: Fugitive Dust Emissions from a Coal, Iron, Ore and Hydrated Alumina Stockpile (2012)</t>
  </si>
  <si>
    <t>Fonte: WRAP Fugitive Dust Handbook (2006)</t>
  </si>
  <si>
    <t>Fonte: Emission Control Technologies and Emission Factors for unpaved road fugitive emissions</t>
  </si>
  <si>
    <t>Fonte: Dust Control Handbook for Industrial Minerals Mining and Processing (CDC, 2012)</t>
  </si>
  <si>
    <t>Huan et al. (2013)</t>
  </si>
  <si>
    <t>Fonte: Handbook of dust control in mining - CDC (IC-9465)</t>
  </si>
  <si>
    <t>Fonte: Topic and Zitnik (2012)</t>
  </si>
  <si>
    <t>Fonte: PARTICULATE MATTER BEST MANAGEMENT PRACTICE  POLLUTION REDUCTION PROGRAM (2012)</t>
  </si>
  <si>
    <t>Fonte: NPI (2012)</t>
  </si>
  <si>
    <t xml:space="preserve">Quartzito (Sílica) </t>
  </si>
  <si>
    <t>Nota:</t>
  </si>
  <si>
    <t>Não foi considerado o descarregamento de quartzito (sílica), pois a quantidade necessária estava disponível no estoque da empresa, e portanto, não foi recebido em 2015.</t>
  </si>
  <si>
    <t>Sucata</t>
  </si>
  <si>
    <r>
      <t>Referên</t>
    </r>
    <r>
      <rPr>
        <sz val="8"/>
        <rFont val="Arial"/>
        <family val="2"/>
      </rPr>
      <t>cia: CIRCAB (IPPC, 2007)</t>
    </r>
    <r>
      <rPr>
        <sz val="8"/>
        <color theme="1"/>
        <rFont val="Arial"/>
        <family val="2"/>
      </rPr>
      <t xml:space="preserve"> -  https://circabc.europa.eu/webdav/CircaBC/env/ippc_rev/Library/gathering_activities/final_report ; https://circabc.europa.eu/webdav/CircaBC/env/ippc_rev/Library/gathering_activities/final_report/fact%20sheet%20E11%20scrap%20metal%20preparation.doc</t>
    </r>
  </si>
  <si>
    <t>Table 2: Emission factors associated to the handling and crushing of materials</t>
  </si>
  <si>
    <t>Class of material</t>
  </si>
  <si>
    <t>Drift sensitivity</t>
  </si>
  <si>
    <t>Wettable</t>
  </si>
  <si>
    <t>Example of material</t>
  </si>
  <si>
    <t>Emission factor of the dry material (g/kg)</t>
  </si>
  <si>
    <t>Emission factor of the wet material (g/kg)</t>
  </si>
  <si>
    <t>S1</t>
  </si>
  <si>
    <t>High</t>
  </si>
  <si>
    <t>No</t>
  </si>
  <si>
    <t>S2</t>
  </si>
  <si>
    <t>Yes</t>
  </si>
  <si>
    <t>shredder dust (fines+fluff)</t>
  </si>
  <si>
    <t>S3</t>
  </si>
  <si>
    <t>Moderate</t>
  </si>
  <si>
    <t>S4</t>
  </si>
  <si>
    <t>Ferrous metal, non-ferrous metal, waste, ASR</t>
  </si>
  <si>
    <t>S5</t>
  </si>
  <si>
    <t>Slight</t>
  </si>
  <si>
    <t>Figure in parenthesis is the emission factor of the wet material</t>
  </si>
  <si>
    <t>Operation</t>
  </si>
  <si>
    <t>Emissions By Particle Size Range (Aerodynamic Diameter)</t>
  </si>
  <si>
    <t>Units</t>
  </si>
  <si>
    <r>
      <rPr>
        <sz val="8"/>
        <color theme="1"/>
        <rFont val="Calibri"/>
        <family val="2"/>
      </rPr>
      <t>≤</t>
    </r>
    <r>
      <rPr>
        <sz val="8"/>
        <color theme="1"/>
        <rFont val="Arial"/>
        <family val="2"/>
      </rPr>
      <t xml:space="preserve"> 30 </t>
    </r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m</t>
    </r>
  </si>
  <si>
    <r>
      <rPr>
        <sz val="8"/>
        <color theme="1"/>
        <rFont val="Calibri"/>
        <family val="2"/>
      </rPr>
      <t>≤</t>
    </r>
    <r>
      <rPr>
        <sz val="8"/>
        <color theme="1"/>
        <rFont val="Arial"/>
        <family val="2"/>
      </rPr>
      <t xml:space="preserve"> 15 </t>
    </r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m</t>
    </r>
  </si>
  <si>
    <r>
      <rPr>
        <sz val="8"/>
        <color theme="1"/>
        <rFont val="Calibri"/>
        <family val="2"/>
      </rPr>
      <t>≤</t>
    </r>
    <r>
      <rPr>
        <sz val="8"/>
        <color theme="1"/>
        <rFont val="Arial"/>
        <family val="2"/>
      </rPr>
      <t xml:space="preserve"> 10 </t>
    </r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m</t>
    </r>
  </si>
  <si>
    <r>
      <rPr>
        <sz val="8"/>
        <color theme="1"/>
        <rFont val="Calibri"/>
        <family val="2"/>
      </rPr>
      <t>≤</t>
    </r>
    <r>
      <rPr>
        <sz val="8"/>
        <color theme="1"/>
        <rFont val="Arial"/>
        <family val="2"/>
      </rPr>
      <t xml:space="preserve"> 5 </t>
    </r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m</t>
    </r>
  </si>
  <si>
    <r>
      <rPr>
        <sz val="8"/>
        <color theme="1"/>
        <rFont val="Calibri"/>
        <family val="2"/>
      </rPr>
      <t>≤</t>
    </r>
    <r>
      <rPr>
        <sz val="8"/>
        <color theme="1"/>
        <rFont val="Arial"/>
        <family val="2"/>
      </rPr>
      <t xml:space="preserve"> 2.5 </t>
    </r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m</t>
    </r>
  </si>
  <si>
    <t>Batch drop Front end loader/truck</t>
  </si>
  <si>
    <t>High silt slag</t>
  </si>
  <si>
    <t>g/t</t>
  </si>
  <si>
    <t>Low silt slag</t>
  </si>
  <si>
    <r>
      <t xml:space="preserve">Table 12.5-4 (Metric And English Units). UNCONTROLLED PARTICULATE EMISSION FACTORS FOR OPEN DUST SOURCES AT IRON AND STEEL MILLS </t>
    </r>
    <r>
      <rPr>
        <vertAlign val="superscript"/>
        <sz val="8"/>
        <color theme="1"/>
        <rFont val="Arial"/>
        <family val="2"/>
      </rPr>
      <t>a</t>
    </r>
  </si>
  <si>
    <t>Onde:
TE - taxa de emissão (kg/h)
k - particle size multiplier (dimensionless)
U - mean wind speed, meters per second (m/s) (miles per hour [mph]) 
M - material moisture content (%)
Q - quantidade de material moviemntada (t/h)
ER - eficiência de controle (%)</t>
  </si>
  <si>
    <t>Onde:
E - taxa de emissão (kg/h)
EF - fator de emissão (kg/t)
ER - eficiência de redução de emissão
Q - quantidade de material movimentado (t/h)</t>
  </si>
  <si>
    <t>Briquete</t>
  </si>
  <si>
    <t>Descarregamento</t>
  </si>
  <si>
    <t>Fonte: Informações fornecidas pelo empreendimento à solicitação através do Ofício N° 066/2017</t>
  </si>
  <si>
    <t>Escória</t>
  </si>
  <si>
    <t>Período</t>
  </si>
  <si>
    <t>kg/ton de gusa</t>
  </si>
  <si>
    <t>Quantidade Gerada (kg/mês)</t>
  </si>
  <si>
    <t xml:space="preserve">Out 2002 a Jan 2003 </t>
  </si>
  <si>
    <t>Jan 2003 a Mar 2003</t>
  </si>
  <si>
    <t>Jul 2003 a Set 2003</t>
  </si>
  <si>
    <t>Out 2003 a Dez 2003</t>
  </si>
  <si>
    <t>Média</t>
  </si>
  <si>
    <t>Dados Geração de Escória</t>
  </si>
  <si>
    <t xml:space="preserve">Estimativa - Quantidade de Escória Gerada [t/ano]: </t>
  </si>
  <si>
    <t xml:space="preserve">Estimativa - Quantidade de Escória Gerada [kg/ano]: </t>
  </si>
  <si>
    <t xml:space="preserve">Descarregamento </t>
  </si>
  <si>
    <t xml:space="preserve">A quantidade de escória foi estimada com base na massa de escória gerada (quilogramas) por tonelada de gusa produzido, observado nos relatórios de gerenciamento de resíduos sólidos do empreendimento.  </t>
  </si>
  <si>
    <t>Não foi considerado o carregamento de briquete e escória, pois: não houve venda de briquete; e para escória não foi informado o quantitativo vendido para mercado externo.</t>
  </si>
  <si>
    <t>Table 12.5-1. PARTICULATE EMISSION FACTORS FOR IRON AND STEEL MILLS</t>
  </si>
  <si>
    <t>Emission Factor</t>
  </si>
  <si>
    <t>EMISSION
FACTOR
RATING</t>
  </si>
  <si>
    <t>Uncontrolled casthouse</t>
  </si>
  <si>
    <t>Taphole and trough only (not runners)</t>
  </si>
  <si>
    <t>B</t>
  </si>
  <si>
    <t>kg/Mg hot metal</t>
  </si>
  <si>
    <t>Furnace with local evacuation</t>
  </si>
  <si>
    <t>Corrida de Gusa</t>
  </si>
  <si>
    <t>Peso médio veículos (t):</t>
  </si>
  <si>
    <t>Teor de Silt (%):</t>
  </si>
  <si>
    <t>Número Caminhões/mês:</t>
  </si>
  <si>
    <t>DMT [km/h]</t>
  </si>
  <si>
    <r>
      <t>Nº de Caminhões por Hora [h</t>
    </r>
    <r>
      <rPr>
        <b/>
        <vertAlign val="superscript"/>
        <sz val="8"/>
        <color theme="0"/>
        <rFont val="Arial"/>
        <family val="2"/>
      </rPr>
      <t>-1</t>
    </r>
    <r>
      <rPr>
        <b/>
        <sz val="8"/>
        <color theme="0"/>
        <rFont val="Arial"/>
        <family val="2"/>
      </rPr>
      <t>]</t>
    </r>
  </si>
  <si>
    <t>Comprimento [m]</t>
  </si>
  <si>
    <t>Eficiência de Controle [%]</t>
  </si>
  <si>
    <t>Fator de Emissão - Ressuspensão [kg/VKT]</t>
  </si>
  <si>
    <t>Via Trecho 3.2</t>
  </si>
  <si>
    <t>Via Trecho 3.1</t>
  </si>
  <si>
    <t/>
  </si>
  <si>
    <t>Via Trecho 2.1</t>
  </si>
  <si>
    <t>Fugitiva</t>
  </si>
  <si>
    <t>Erosão Eólica - Pilhas</t>
  </si>
  <si>
    <t>VOC</t>
  </si>
  <si>
    <t>Latitude [º]</t>
  </si>
  <si>
    <t>Longitude [º]</t>
  </si>
  <si>
    <t>Diâmetro [m]</t>
  </si>
  <si>
    <t>Vazão [m³/h]</t>
  </si>
  <si>
    <t>Temperatura [ºC]</t>
  </si>
  <si>
    <t>Altura [m]</t>
  </si>
  <si>
    <t>Vazão [Nm³/h]</t>
  </si>
  <si>
    <t>Nota: "Erosão Eólica - Pilhas" foi calculada na Planilha: Erosão Eólica_Siderúrgica Sta Bárbara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</si>
</sst>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000"/>
    <numFmt numFmtId="166" formatCode="0.0"/>
    <numFmt numFmtId="167" formatCode="0.00000000"/>
    <numFmt numFmtId="168" formatCode="#,##0.000000"/>
    <numFmt numFmtId="169" formatCode="[&gt;=0.005]\ #,##0.00;[&lt;0.005]&quot;&lt;0,01&quot;"/>
    <numFmt numFmtId="170" formatCode="0.00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sz val="9"/>
      <color indexed="81"/>
      <name val="Segoe UI"/>
      <family val="2"/>
    </font>
    <font>
      <vertAlign val="subscript"/>
      <sz val="8"/>
      <name val="Arial"/>
      <family val="2"/>
    </font>
    <font>
      <b/>
      <i/>
      <sz val="8"/>
      <color theme="1"/>
      <name val="Arial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sz val="8"/>
      <color theme="0"/>
      <name val="Arial"/>
      <family val="2"/>
    </font>
    <font>
      <vertAlign val="subscript"/>
      <sz val="8"/>
      <color theme="1"/>
      <name val="Arial"/>
      <family val="2"/>
    </font>
    <font>
      <b/>
      <vertAlign val="superscript"/>
      <sz val="8"/>
      <color theme="0"/>
      <name val="Arial"/>
      <family val="2"/>
    </font>
    <font>
      <sz val="8"/>
      <color rgb="FFFF0000"/>
      <name val="Arial"/>
      <family val="2"/>
    </font>
    <font>
      <b/>
      <sz val="9"/>
      <color indexed="81"/>
      <name val="Segoe UI"/>
      <family val="2"/>
    </font>
    <font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</fills>
  <borders count="2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theme="0"/>
      </right>
      <top/>
      <bottom/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Fill="1" applyAlignment="1"/>
    <xf numFmtId="0" fontId="2" fillId="2" borderId="2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/>
    <xf numFmtId="0" fontId="11" fillId="4" borderId="1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2" xfId="0" applyFont="1" applyFill="1" applyBorder="1" applyAlignment="1"/>
    <xf numFmtId="0" fontId="2" fillId="3" borderId="2" xfId="0" applyFont="1" applyFill="1" applyBorder="1" applyAlignment="1">
      <alignment vertical="center" wrapText="1"/>
    </xf>
    <xf numFmtId="166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3" fillId="4" borderId="2" xfId="0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2" xfId="0" applyBorder="1"/>
    <xf numFmtId="0" fontId="2" fillId="0" borderId="17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66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169" fontId="2" fillId="0" borderId="2" xfId="0" applyNumberFormat="1" applyFont="1" applyFill="1" applyBorder="1" applyAlignment="1">
      <alignment horizontal="center" vertical="center"/>
    </xf>
    <xf numFmtId="0" fontId="0" fillId="0" borderId="0" xfId="0" applyFill="1"/>
    <xf numFmtId="169" fontId="2" fillId="2" borderId="0" xfId="0" applyNumberFormat="1" applyFont="1" applyFill="1" applyAlignment="1">
      <alignment horizontal="center" vertical="center"/>
    </xf>
    <xf numFmtId="0" fontId="16" fillId="0" borderId="0" xfId="0" applyFont="1"/>
    <xf numFmtId="167" fontId="0" fillId="0" borderId="0" xfId="0" applyNumberFormat="1"/>
    <xf numFmtId="0" fontId="6" fillId="0" borderId="0" xfId="0" applyFont="1" applyBorder="1" applyAlignment="1">
      <alignment horizontal="center" vertical="center" wrapText="1"/>
    </xf>
    <xf numFmtId="0" fontId="11" fillId="4" borderId="2" xfId="0" applyNumberFormat="1" applyFont="1" applyFill="1" applyBorder="1" applyAlignment="1" applyProtection="1">
      <alignment horizontal="center" vertical="center" wrapText="1"/>
    </xf>
    <xf numFmtId="169" fontId="2" fillId="0" borderId="22" xfId="0" applyNumberFormat="1" applyFont="1" applyFill="1" applyBorder="1" applyAlignment="1">
      <alignment horizontal="center" vertical="center"/>
    </xf>
    <xf numFmtId="166" fontId="6" fillId="0" borderId="0" xfId="0" applyNumberFormat="1" applyFont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 wrapText="1"/>
    </xf>
    <xf numFmtId="0" fontId="11" fillId="4" borderId="8" xfId="0" applyNumberFormat="1" applyFont="1" applyFill="1" applyBorder="1" applyAlignment="1" applyProtection="1">
      <alignment horizontal="center" vertical="center" wrapText="1"/>
    </xf>
    <xf numFmtId="0" fontId="11" fillId="4" borderId="18" xfId="0" applyNumberFormat="1" applyFont="1" applyFill="1" applyBorder="1" applyAlignment="1" applyProtection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6" xfId="0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vertical="center"/>
    </xf>
    <xf numFmtId="0" fontId="2" fillId="2" borderId="2" xfId="0" applyNumberFormat="1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0" borderId="21" xfId="0" applyNumberFormat="1" applyFont="1" applyFill="1" applyBorder="1" applyAlignment="1" applyProtection="1">
      <alignment horizontal="center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1" fillId="4" borderId="2" xfId="0" applyNumberFormat="1" applyFont="1" applyFill="1" applyBorder="1" applyAlignment="1" applyProtection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4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 vertical="center" wrapText="1"/>
    </xf>
    <xf numFmtId="4" fontId="6" fillId="0" borderId="0" xfId="0" applyNumberFormat="1" applyFont="1" applyBorder="1" applyAlignment="1">
      <alignment horizontal="center" vertical="center" wrapText="1"/>
    </xf>
    <xf numFmtId="4" fontId="6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170" fontId="2" fillId="0" borderId="0" xfId="0" applyNumberFormat="1" applyFont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5" fontId="2" fillId="0" borderId="0" xfId="0" applyNumberFormat="1" applyFont="1" applyFill="1" applyAlignment="1">
      <alignment horizontal="center" vertical="center"/>
    </xf>
    <xf numFmtId="4" fontId="2" fillId="0" borderId="22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1" fontId="2" fillId="0" borderId="2" xfId="0" applyNumberFormat="1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4" fontId="2" fillId="0" borderId="2" xfId="0" applyNumberFormat="1" applyFont="1" applyFill="1" applyBorder="1" applyAlignment="1">
      <alignment horizontal="center" vertical="center"/>
    </xf>
    <xf numFmtId="4" fontId="2" fillId="0" borderId="21" xfId="0" applyNumberFormat="1" applyFont="1" applyFill="1" applyBorder="1" applyAlignment="1">
      <alignment horizontal="center" vertical="center"/>
    </xf>
    <xf numFmtId="4" fontId="3" fillId="0" borderId="0" xfId="0" applyNumberFormat="1" applyFont="1" applyFill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4" fontId="3" fillId="0" borderId="2" xfId="0" applyNumberFormat="1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170" fontId="2" fillId="0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4" fontId="6" fillId="0" borderId="21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4" borderId="8" xfId="0" applyFont="1" applyFill="1" applyBorder="1" applyAlignment="1">
      <alignment horizontal="center" vertical="center" wrapText="1"/>
    </xf>
    <xf numFmtId="17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 wrapText="1"/>
    </xf>
    <xf numFmtId="164" fontId="2" fillId="0" borderId="17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9" fontId="2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0" fillId="0" borderId="0" xfId="0" quotePrefix="1"/>
    <xf numFmtId="0" fontId="2" fillId="2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17" fontId="5" fillId="2" borderId="1" xfId="0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0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19" xfId="0" applyNumberFormat="1" applyFont="1" applyFill="1" applyBorder="1" applyAlignment="1" applyProtection="1">
      <alignment horizontal="center" vertical="center" wrapText="1"/>
    </xf>
    <xf numFmtId="0" fontId="2" fillId="2" borderId="20" xfId="0" applyNumberFormat="1" applyFont="1" applyFill="1" applyBorder="1" applyAlignment="1" applyProtection="1">
      <alignment horizontal="center" vertical="center" wrapText="1"/>
    </xf>
    <xf numFmtId="0" fontId="2" fillId="2" borderId="22" xfId="0" applyNumberFormat="1" applyFont="1" applyFill="1" applyBorder="1" applyAlignment="1" applyProtection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 applyProtection="1">
      <alignment horizontal="center" vertical="center" wrapText="1"/>
    </xf>
    <xf numFmtId="165" fontId="6" fillId="0" borderId="3" xfId="0" applyNumberFormat="1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4" borderId="24" xfId="0" applyNumberFormat="1" applyFont="1" applyFill="1" applyBorder="1" applyAlignment="1" applyProtection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NumberFormat="1" applyFont="1" applyFill="1" applyBorder="1" applyAlignment="1" applyProtection="1">
      <alignment horizontal="center" vertical="center" wrapText="1"/>
    </xf>
    <xf numFmtId="0" fontId="11" fillId="4" borderId="9" xfId="0" applyNumberFormat="1" applyFont="1" applyFill="1" applyBorder="1" applyAlignment="1" applyProtection="1">
      <alignment horizontal="center" vertical="center" wrapText="1"/>
    </xf>
    <xf numFmtId="0" fontId="11" fillId="4" borderId="10" xfId="0" applyNumberFormat="1" applyFont="1" applyFill="1" applyBorder="1" applyAlignment="1" applyProtection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1" fillId="4" borderId="19" xfId="0" applyNumberFormat="1" applyFont="1" applyFill="1" applyBorder="1" applyAlignment="1" applyProtection="1">
      <alignment horizontal="center" vertical="center" wrapText="1"/>
    </xf>
    <xf numFmtId="0" fontId="11" fillId="4" borderId="22" xfId="0" applyNumberFormat="1" applyFont="1" applyFill="1" applyBorder="1" applyAlignment="1" applyProtection="1">
      <alignment horizontal="center" vertical="center" wrapText="1"/>
    </xf>
    <xf numFmtId="0" fontId="2" fillId="3" borderId="19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left" vertical="center" wrapText="1"/>
    </xf>
    <xf numFmtId="0" fontId="2" fillId="3" borderId="22" xfId="0" applyFont="1" applyFill="1" applyBorder="1" applyAlignment="1">
      <alignment horizontal="left" vertical="center" wrapText="1"/>
    </xf>
    <xf numFmtId="0" fontId="2" fillId="3" borderId="18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 vertical="center" wrapText="1"/>
    </xf>
    <xf numFmtId="0" fontId="11" fillId="4" borderId="2" xfId="0" applyNumberFormat="1" applyFont="1" applyFill="1" applyBorder="1" applyAlignment="1" applyProtection="1">
      <alignment horizontal="center" vertical="center" wrapText="1"/>
    </xf>
    <xf numFmtId="0" fontId="11" fillId="4" borderId="18" xfId="0" applyNumberFormat="1" applyFont="1" applyFill="1" applyBorder="1" applyAlignment="1" applyProtection="1">
      <alignment horizontal="center" vertical="center" wrapText="1"/>
    </xf>
    <xf numFmtId="0" fontId="11" fillId="4" borderId="17" xfId="0" applyNumberFormat="1" applyFont="1" applyFill="1" applyBorder="1" applyAlignment="1" applyProtection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1" fillId="4" borderId="2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 wrapText="1"/>
    </xf>
    <xf numFmtId="0" fontId="11" fillId="4" borderId="20" xfId="0" applyFont="1" applyFill="1" applyBorder="1" applyAlignment="1">
      <alignment horizontal="center" vertical="center" wrapText="1"/>
    </xf>
    <xf numFmtId="0" fontId="11" fillId="4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949036</xdr:colOff>
      <xdr:row>5</xdr:row>
      <xdr:rowOff>165821</xdr:rowOff>
    </xdr:from>
    <xdr:ext cx="1609725" cy="6739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901536" y="1232621"/>
              <a:ext cx="1609725" cy="6739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𝑘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0,0016</m:t>
                        </m:r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𝑈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2,2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1,3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1,4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901536" y="1232621"/>
              <a:ext cx="1609725" cy="6739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𝐸=𝑘(0,0016)   (𝑈/2,2)^1,3/(𝑀/2)^1,4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15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2990850" y="28717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990850" y="28717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9</xdr:row>
      <xdr:rowOff>138113</xdr:rowOff>
    </xdr:from>
    <xdr:ext cx="3381375" cy="3979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id="{00000000-0008-0000-0400-000002000000}"/>
                </a:ext>
              </a:extLst>
            </xdr:cNvPr>
            <xdr:cNvSpPr txBox="1"/>
          </xdr:nvSpPr>
          <xdr:spPr>
            <a:xfrm>
              <a:off x="1266825" y="2090738"/>
              <a:ext cx="3381375" cy="397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𝐹𝐸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. </m:t>
                            </m:r>
                            <m:sSup>
                              <m:s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num>
                                      <m:den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p>
                            </m:s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  </m:t>
                            </m:r>
                            <m:sSup>
                              <m:s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𝑊</m:t>
                                        </m:r>
                                      </m:num>
                                      <m:den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sup>
                            </m:sSup>
                          </m:e>
                        </m:d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. (</m:t>
                        </m:r>
                        <m:d>
                          <m:d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365−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)/365)</m:t>
                            </m:r>
                          </m:e>
                        </m:d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400-000002000000}"/>
                </a:ext>
              </a:extLst>
            </xdr:cNvPr>
            <xdr:cNvSpPr txBox="1"/>
          </xdr:nvSpPr>
          <xdr:spPr>
            <a:xfrm>
              <a:off x="1266825" y="2090738"/>
              <a:ext cx="3381375" cy="397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𝐹𝐸=[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 . (𝑠/12)^𝑎.  (𝑊/3)^𝑏 )  . ((365−𝑃)/365))] </a:t>
              </a:r>
              <a:r>
                <a:rPr lang="pt-BR" sz="1100" b="0" i="0">
                  <a:latin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2</xdr:col>
      <xdr:colOff>714377</xdr:colOff>
      <xdr:row>9</xdr:row>
      <xdr:rowOff>161926</xdr:rowOff>
    </xdr:from>
    <xdr:to>
      <xdr:col>3</xdr:col>
      <xdr:colOff>685801</xdr:colOff>
      <xdr:row>11</xdr:row>
      <xdr:rowOff>161926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3114677" y="2114551"/>
          <a:ext cx="1171574" cy="38100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66675</xdr:rowOff>
    </xdr:from>
    <xdr:ext cx="6858000" cy="3648075"/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66675"/>
          <a:ext cx="6858000" cy="36480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66675</xdr:colOff>
      <xdr:row>22</xdr:row>
      <xdr:rowOff>45239</xdr:rowOff>
    </xdr:from>
    <xdr:ext cx="7191375" cy="1781175"/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675" y="4236239"/>
          <a:ext cx="7191375" cy="17811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104775</xdr:colOff>
      <xdr:row>30</xdr:row>
      <xdr:rowOff>140489</xdr:rowOff>
    </xdr:from>
    <xdr:ext cx="7134225" cy="561975"/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4775" y="5855489"/>
          <a:ext cx="7134225" cy="5619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17991</xdr:colOff>
      <xdr:row>36</xdr:row>
      <xdr:rowOff>24863</xdr:rowOff>
    </xdr:from>
    <xdr:ext cx="7193756" cy="1694566"/>
    <xdr:pic>
      <xdr:nvPicPr>
        <xdr:cNvPr id="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7991" y="6882863"/>
          <a:ext cx="7193756" cy="1694566"/>
        </a:xfrm>
        <a:prstGeom prst="rect">
          <a:avLst/>
        </a:prstGeom>
        <a:noFill/>
      </xdr:spPr>
    </xdr:pic>
    <xdr:clientData/>
  </xdr:oneCellAnchor>
  <xdr:oneCellAnchor>
    <xdr:from>
      <xdr:col>12</xdr:col>
      <xdr:colOff>261938</xdr:colOff>
      <xdr:row>0</xdr:row>
      <xdr:rowOff>142876</xdr:rowOff>
    </xdr:from>
    <xdr:ext cx="7367587" cy="2878931"/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 l="31352" t="34195" r="20312" b="32222"/>
        <a:stretch>
          <a:fillRect/>
        </a:stretch>
      </xdr:blipFill>
      <xdr:spPr bwMode="auto">
        <a:xfrm>
          <a:off x="7577138" y="142876"/>
          <a:ext cx="7367587" cy="287893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13</xdr:col>
      <xdr:colOff>11907</xdr:colOff>
      <xdr:row>36</xdr:row>
      <xdr:rowOff>26172</xdr:rowOff>
    </xdr:from>
    <xdr:ext cx="4438650" cy="5181600"/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 l="56062" t="28222" r="14813" b="11333"/>
        <a:stretch>
          <a:fillRect/>
        </a:stretch>
      </xdr:blipFill>
      <xdr:spPr bwMode="auto">
        <a:xfrm>
          <a:off x="7936707" y="6884172"/>
          <a:ext cx="4438650" cy="518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333376</xdr:colOff>
      <xdr:row>0</xdr:row>
      <xdr:rowOff>119063</xdr:rowOff>
    </xdr:from>
    <xdr:ext cx="6072188" cy="4274343"/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 l="36471" t="27639" r="23686" b="22500"/>
        <a:stretch>
          <a:fillRect/>
        </a:stretch>
      </xdr:blipFill>
      <xdr:spPr bwMode="auto">
        <a:xfrm>
          <a:off x="15573376" y="119063"/>
          <a:ext cx="6072188" cy="42743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25</xdr:col>
      <xdr:colOff>321468</xdr:colOff>
      <xdr:row>22</xdr:row>
      <xdr:rowOff>154782</xdr:rowOff>
    </xdr:from>
    <xdr:ext cx="6096001" cy="2162175"/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5561468" y="4345782"/>
          <a:ext cx="6096001" cy="21621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31750</xdr:colOff>
      <xdr:row>47</xdr:row>
      <xdr:rowOff>53918</xdr:rowOff>
    </xdr:from>
    <xdr:ext cx="6788944" cy="2210899"/>
    <xdr:pic>
      <xdr:nvPicPr>
        <xdr:cNvPr id="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1750" y="9007418"/>
          <a:ext cx="6788944" cy="2210899"/>
        </a:xfrm>
        <a:prstGeom prst="rect">
          <a:avLst/>
        </a:prstGeom>
        <a:noFill/>
      </xdr:spPr>
    </xdr:pic>
    <xdr:clientData/>
  </xdr:oneCellAnchor>
  <xdr:oneCellAnchor>
    <xdr:from>
      <xdr:col>25</xdr:col>
      <xdr:colOff>285749</xdr:colOff>
      <xdr:row>38</xdr:row>
      <xdr:rowOff>1</xdr:rowOff>
    </xdr:from>
    <xdr:ext cx="6162676" cy="4286250"/>
    <xdr:pic>
      <xdr:nvPicPr>
        <xdr:cNvPr id="1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5525749" y="7239001"/>
          <a:ext cx="6162676" cy="4286250"/>
        </a:xfrm>
        <a:prstGeom prst="rect">
          <a:avLst/>
        </a:prstGeom>
        <a:noFill/>
      </xdr:spPr>
    </xdr:pic>
    <xdr:clientData/>
  </xdr:oneCellAnchor>
  <xdr:oneCellAnchor>
    <xdr:from>
      <xdr:col>25</xdr:col>
      <xdr:colOff>297657</xdr:colOff>
      <xdr:row>60</xdr:row>
      <xdr:rowOff>119063</xdr:rowOff>
    </xdr:from>
    <xdr:ext cx="6172201" cy="2152650"/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5537657" y="11549063"/>
          <a:ext cx="6172201" cy="2152650"/>
        </a:xfrm>
        <a:prstGeom prst="rect">
          <a:avLst/>
        </a:prstGeom>
        <a:noFill/>
      </xdr:spPr>
    </xdr:pic>
    <xdr:clientData/>
  </xdr:oneCellAnchor>
  <xdr:oneCellAnchor>
    <xdr:from>
      <xdr:col>35</xdr:col>
      <xdr:colOff>599279</xdr:colOff>
      <xdr:row>38</xdr:row>
      <xdr:rowOff>67470</xdr:rowOff>
    </xdr:from>
    <xdr:ext cx="6764911" cy="1440655"/>
    <xdr:pic>
      <xdr:nvPicPr>
        <xdr:cNvPr id="1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21935279" y="7306470"/>
          <a:ext cx="6764911" cy="1440655"/>
        </a:xfrm>
        <a:prstGeom prst="rect">
          <a:avLst/>
        </a:prstGeom>
        <a:noFill/>
      </xdr:spPr>
    </xdr:pic>
    <xdr:clientData/>
  </xdr:oneCellAnchor>
  <xdr:oneCellAnchor>
    <xdr:from>
      <xdr:col>36</xdr:col>
      <xdr:colOff>7938</xdr:colOff>
      <xdr:row>46</xdr:row>
      <xdr:rowOff>130968</xdr:rowOff>
    </xdr:from>
    <xdr:ext cx="6824662" cy="3429001"/>
    <xdr:pic>
      <xdr:nvPicPr>
        <xdr:cNvPr id="1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21953538" y="8893968"/>
          <a:ext cx="6824662" cy="3429001"/>
        </a:xfrm>
        <a:prstGeom prst="rect">
          <a:avLst/>
        </a:prstGeom>
        <a:noFill/>
      </xdr:spPr>
    </xdr:pic>
    <xdr:clientData/>
  </xdr:oneCellAnchor>
  <xdr:oneCellAnchor>
    <xdr:from>
      <xdr:col>35</xdr:col>
      <xdr:colOff>595313</xdr:colOff>
      <xdr:row>0</xdr:row>
      <xdr:rowOff>0</xdr:rowOff>
    </xdr:from>
    <xdr:ext cx="6374606" cy="2457450"/>
    <xdr:pic>
      <xdr:nvPicPr>
        <xdr:cNvPr id="1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21931313" y="0"/>
          <a:ext cx="6374606" cy="2457450"/>
        </a:xfrm>
        <a:prstGeom prst="rect">
          <a:avLst/>
        </a:prstGeom>
        <a:noFill/>
      </xdr:spPr>
    </xdr:pic>
    <xdr:clientData/>
  </xdr:oneCellAnchor>
  <xdr:oneCellAnchor>
    <xdr:from>
      <xdr:col>36</xdr:col>
      <xdr:colOff>11905</xdr:colOff>
      <xdr:row>12</xdr:row>
      <xdr:rowOff>154781</xdr:rowOff>
    </xdr:from>
    <xdr:ext cx="6296025" cy="400050"/>
    <xdr:pic>
      <xdr:nvPicPr>
        <xdr:cNvPr id="1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21957505" y="2440781"/>
          <a:ext cx="6296025" cy="400050"/>
        </a:xfrm>
        <a:prstGeom prst="rect">
          <a:avLst/>
        </a:prstGeom>
        <a:noFill/>
      </xdr:spPr>
    </xdr:pic>
    <xdr:clientData/>
  </xdr:oneCellAnchor>
  <xdr:oneCellAnchor>
    <xdr:from>
      <xdr:col>35</xdr:col>
      <xdr:colOff>607217</xdr:colOff>
      <xdr:row>17</xdr:row>
      <xdr:rowOff>166689</xdr:rowOff>
    </xdr:from>
    <xdr:ext cx="6312695" cy="933719"/>
    <xdr:pic>
      <xdr:nvPicPr>
        <xdr:cNvPr id="1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21943217" y="3405189"/>
          <a:ext cx="6312695" cy="933719"/>
        </a:xfrm>
        <a:prstGeom prst="rect">
          <a:avLst/>
        </a:prstGeom>
        <a:noFill/>
      </xdr:spPr>
    </xdr:pic>
    <xdr:clientData/>
  </xdr:oneCellAnchor>
  <xdr:oneCellAnchor>
    <xdr:from>
      <xdr:col>46</xdr:col>
      <xdr:colOff>595312</xdr:colOff>
      <xdr:row>0</xdr:row>
      <xdr:rowOff>59532</xdr:rowOff>
    </xdr:from>
    <xdr:ext cx="9729788" cy="4377320"/>
    <xdr:pic>
      <xdr:nvPicPr>
        <xdr:cNvPr id="1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28636912" y="59532"/>
          <a:ext cx="9729788" cy="4377320"/>
        </a:xfrm>
        <a:prstGeom prst="rect">
          <a:avLst/>
        </a:prstGeom>
        <a:noFill/>
      </xdr:spPr>
    </xdr:pic>
    <xdr:clientData/>
  </xdr:oneCellAnchor>
  <xdr:oneCellAnchor>
    <xdr:from>
      <xdr:col>49</xdr:col>
      <xdr:colOff>35732</xdr:colOff>
      <xdr:row>29</xdr:row>
      <xdr:rowOff>11920</xdr:rowOff>
    </xdr:from>
    <xdr:ext cx="6045993" cy="3523928"/>
    <xdr:pic>
      <xdr:nvPicPr>
        <xdr:cNvPr id="1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29906132" y="5536420"/>
          <a:ext cx="6045993" cy="3523928"/>
        </a:xfrm>
        <a:prstGeom prst="rect">
          <a:avLst/>
        </a:prstGeom>
        <a:noFill/>
      </xdr:spPr>
    </xdr:pic>
    <xdr:clientData/>
  </xdr:oneCellAnchor>
  <xdr:oneCellAnchor>
    <xdr:from>
      <xdr:col>49</xdr:col>
      <xdr:colOff>11919</xdr:colOff>
      <xdr:row>26</xdr:row>
      <xdr:rowOff>107170</xdr:rowOff>
    </xdr:from>
    <xdr:ext cx="5876924" cy="419100"/>
    <xdr:pic>
      <xdr:nvPicPr>
        <xdr:cNvPr id="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29882319" y="5060170"/>
          <a:ext cx="5876924" cy="419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12</xdr:col>
      <xdr:colOff>367770</xdr:colOff>
      <xdr:row>16</xdr:row>
      <xdr:rowOff>84675</xdr:rowOff>
    </xdr:from>
    <xdr:ext cx="6908005" cy="3009900"/>
    <xdr:pic>
      <xdr:nvPicPr>
        <xdr:cNvPr id="2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7682970" y="3132675"/>
          <a:ext cx="6908005" cy="3009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0</xdr:col>
      <xdr:colOff>142875</xdr:colOff>
      <xdr:row>62</xdr:row>
      <xdr:rowOff>0</xdr:rowOff>
    </xdr:from>
    <xdr:ext cx="3134949" cy="3821906"/>
    <xdr:pic>
      <xdr:nvPicPr>
        <xdr:cNvPr id="22" name="Imagem 21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1811000"/>
          <a:ext cx="3134949" cy="3821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64</xdr:col>
      <xdr:colOff>23812</xdr:colOff>
      <xdr:row>0</xdr:row>
      <xdr:rowOff>130970</xdr:rowOff>
    </xdr:from>
    <xdr:to>
      <xdr:col>73</xdr:col>
      <xdr:colOff>507955</xdr:colOff>
      <xdr:row>38</xdr:row>
      <xdr:rowOff>0</xdr:rowOff>
    </xdr:to>
    <xdr:pic>
      <xdr:nvPicPr>
        <xdr:cNvPr id="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39038212" y="130970"/>
          <a:ext cx="5970543" cy="7108030"/>
        </a:xfrm>
        <a:prstGeom prst="rect">
          <a:avLst/>
        </a:prstGeom>
        <a:noFill/>
      </xdr:spPr>
    </xdr:pic>
    <xdr:clientData/>
  </xdr:twoCellAnchor>
  <xdr:oneCellAnchor>
    <xdr:from>
      <xdr:col>12</xdr:col>
      <xdr:colOff>595312</xdr:colOff>
      <xdr:row>66</xdr:row>
      <xdr:rowOff>142871</xdr:rowOff>
    </xdr:from>
    <xdr:ext cx="5869781" cy="10868025"/>
    <xdr:pic>
      <xdr:nvPicPr>
        <xdr:cNvPr id="24" name="Imagem 23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0512" y="12715871"/>
          <a:ext cx="5869781" cy="1086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16</xdr:col>
      <xdr:colOff>384024</xdr:colOff>
      <xdr:row>100</xdr:row>
      <xdr:rowOff>49131</xdr:rowOff>
    </xdr:from>
    <xdr:to>
      <xdr:col>22</xdr:col>
      <xdr:colOff>299357</xdr:colOff>
      <xdr:row>101</xdr:row>
      <xdr:rowOff>54428</xdr:rowOff>
    </xdr:to>
    <xdr:sp macro="" textlink="">
      <xdr:nvSpPr>
        <xdr:cNvPr id="25" name="Retângulo 24"/>
        <xdr:cNvSpPr/>
      </xdr:nvSpPr>
      <xdr:spPr>
        <a:xfrm>
          <a:off x="10181167" y="19099131"/>
          <a:ext cx="3589261" cy="195797"/>
        </a:xfrm>
        <a:prstGeom prst="rect">
          <a:avLst/>
        </a:prstGeom>
        <a:noFill/>
        <a:ln w="53975"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16</xdr:row>
      <xdr:rowOff>128587</xdr:rowOff>
    </xdr:from>
    <xdr:ext cx="1609725" cy="3952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/>
            <xdr:cNvSpPr txBox="1"/>
          </xdr:nvSpPr>
          <xdr:spPr>
            <a:xfrm>
              <a:off x="3000375" y="3462337"/>
              <a:ext cx="1609725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𝑇𝐸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. 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/>
            <xdr:cNvSpPr txBox="1"/>
          </xdr:nvSpPr>
          <xdr:spPr>
            <a:xfrm>
              <a:off x="3000375" y="3462337"/>
              <a:ext cx="1609725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𝑇𝐸=  (𝑄 . 𝐶)/〖10〗^6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1219200</xdr:colOff>
      <xdr:row>24</xdr:row>
      <xdr:rowOff>128587</xdr:rowOff>
    </xdr:from>
    <xdr:ext cx="1609725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/>
            <xdr:cNvSpPr txBox="1"/>
          </xdr:nvSpPr>
          <xdr:spPr>
            <a:xfrm>
              <a:off x="4076700" y="4986337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𝑇𝐸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(1−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𝐸𝑅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" name="CaixaDeTexto 6"/>
            <xdr:cNvSpPr txBox="1"/>
          </xdr:nvSpPr>
          <xdr:spPr>
            <a:xfrm>
              <a:off x="4076700" y="4986337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𝑇𝐸=𝐴 𝑥 𝐸𝐹 𝑥 (1−𝐸𝑅/100)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653761</xdr:colOff>
      <xdr:row>26</xdr:row>
      <xdr:rowOff>156296</xdr:rowOff>
    </xdr:from>
    <xdr:ext cx="3222914" cy="6605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2339686" y="4537796"/>
              <a:ext cx="3222914" cy="6605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𝑇𝐸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d>
                          <m:d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0,0016</m:t>
                            </m:r>
                          </m:e>
                        </m:d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f>
                          <m:f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𝑈</m:t>
                                        </m:r>
                                      </m:num>
                                      <m:den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2,2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1,3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𝑀</m:t>
                                        </m:r>
                                      </m:num>
                                      <m:den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1,4</m:t>
                                </m:r>
                              </m:sup>
                            </m:sSup>
                          </m:den>
                        </m:f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.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. (1−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𝐸𝑅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339686" y="4537796"/>
              <a:ext cx="3222914" cy="6605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𝑇𝐸=(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𝑘(0,0016)  (𝑈/2,2)^1,3/(𝑀/2)^1,4 )</a:t>
              </a:r>
              <a:r>
                <a:rPr lang="pt-BR" sz="1100" b="0" i="0">
                  <a:latin typeface="Cambria Math" panose="02040503050406030204" pitchFamily="18" charset="0"/>
                </a:rPr>
                <a:t>. 𝑄 . (1−𝐸𝑅/100)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38</xdr:row>
      <xdr:rowOff>90487</xdr:rowOff>
    </xdr:from>
    <xdr:ext cx="1609725" cy="3204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2095500" y="54763987"/>
              <a:ext cx="1609725" cy="320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𝑇𝐸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.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. 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𝐸𝑅</m:t>
                            </m:r>
                          </m:num>
                          <m:den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.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𝑄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2095500" y="54763987"/>
              <a:ext cx="1609725" cy="320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𝑇𝐸=𝐴 . 𝐸𝐹 . (1−𝐸𝑅/100). 𝑄</a:t>
              </a:r>
              <a:endParaRPr lang="pt-BR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arao\Desktop\Gabriel\Projetos\Inventario_RGV\Memorial_C&#225;lculo\Serra_Betume_Andamento\Memorial_Serra%20Betum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ientes\Vale\PRJ1301096-Estudo%20QAr%20RGV\Invent&#225;rio\Memorial%20de%20C&#225;lculo\Lhoist_Andamento\Memorial_Lho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o"/>
      <sheetName val="FE Maq e Equip"/>
      <sheetName val="FE Combustao"/>
      <sheetName val="FE Drum Mix "/>
      <sheetName val="FE-Transf"/>
      <sheetName val="FE-Transfer"/>
      <sheetName val="Dados"/>
      <sheetName val="Emissão Maq e Equip"/>
      <sheetName val="Emissão Chaminés"/>
      <sheetName val="Emissão Transf"/>
      <sheetName val="Resumo"/>
    </sheetNames>
    <sheetDataSet>
      <sheetData sheetId="0"/>
      <sheetData sheetId="1">
        <row r="4">
          <cell r="B4" t="str">
            <v>Rubber Tired Loaders - 25</v>
          </cell>
          <cell r="C4">
            <v>4.1647481574952775E-3</v>
          </cell>
          <cell r="D4">
            <v>6.5318933034944765E-2</v>
          </cell>
          <cell r="E4">
            <v>9.7431139391112798E-5</v>
          </cell>
          <cell r="F4">
            <v>3.2117661168667613E-2</v>
          </cell>
          <cell r="G4">
            <v>1.0013560541894806E-2</v>
          </cell>
          <cell r="H4">
            <v>7.6789363702976381</v>
          </cell>
          <cell r="I4">
            <v>9.0350737078986789E-4</v>
          </cell>
        </row>
        <row r="5">
          <cell r="B5" t="str">
            <v>Rubber Tired Loaders - 50</v>
          </cell>
          <cell r="C5">
            <v>1.9389461005136124E-2</v>
          </cell>
          <cell r="D5">
            <v>0.15850781980120351</v>
          </cell>
          <cell r="E5">
            <v>1.8265581631205882E-4</v>
          </cell>
          <cell r="F5">
            <v>0.19953638186759515</v>
          </cell>
          <cell r="G5">
            <v>8.7889870552575564E-2</v>
          </cell>
          <cell r="H5">
            <v>14.129238189499569</v>
          </cell>
          <cell r="I5">
            <v>7.9301638618412291E-3</v>
          </cell>
        </row>
        <row r="6">
          <cell r="B6" t="str">
            <v>Rubber Tired Loaders - 120</v>
          </cell>
          <cell r="C6">
            <v>3.5159649405128737E-2</v>
          </cell>
          <cell r="D6">
            <v>0.39013010201093185</v>
          </cell>
          <cell r="E6">
            <v>3.1347091665644508E-4</v>
          </cell>
          <cell r="F6">
            <v>0.2004419223709539</v>
          </cell>
          <cell r="G6">
            <v>6.7138814469940591E-2</v>
          </cell>
          <cell r="H6">
            <v>26.722695910514073</v>
          </cell>
          <cell r="I6">
            <v>6.0578280967871325E-3</v>
          </cell>
        </row>
        <row r="7">
          <cell r="B7" t="str">
            <v>Rubber Tired Loaders - 175</v>
          </cell>
          <cell r="C7">
            <v>3.4873730864910753E-2</v>
          </cell>
          <cell r="D7">
            <v>0.62819014565488085</v>
          </cell>
          <cell r="E7">
            <v>5.4259968788077681E-4</v>
          </cell>
          <cell r="F7">
            <v>0.29143683660988179</v>
          </cell>
          <cell r="G7">
            <v>7.9806989940830519E-2</v>
          </cell>
          <cell r="H7">
            <v>48.223729179933819</v>
          </cell>
          <cell r="I7">
            <v>7.2008552575325378E-3</v>
          </cell>
        </row>
        <row r="8">
          <cell r="B8" t="str">
            <v>Rubber Tired Loaders - 250</v>
          </cell>
          <cell r="C8">
            <v>3.101083119228833E-2</v>
          </cell>
          <cell r="D8">
            <v>0.83698143551687265</v>
          </cell>
          <cell r="E8">
            <v>7.6033040375300068E-4</v>
          </cell>
          <cell r="F8">
            <v>0.22495851814724077</v>
          </cell>
          <cell r="G8">
            <v>8.0781384871570633E-2</v>
          </cell>
          <cell r="H8">
            <v>67.57462749683539</v>
          </cell>
          <cell r="I8">
            <v>7.2887737155482657E-3</v>
          </cell>
        </row>
        <row r="9">
          <cell r="B9" t="str">
            <v>Rubber Tired Loaders - 500</v>
          </cell>
          <cell r="C9">
            <v>4.4312637095619792E-2</v>
          </cell>
          <cell r="D9">
            <v>1.1811178567160983</v>
          </cell>
          <cell r="E9">
            <v>1.0551972934755545E-3</v>
          </cell>
          <cell r="F9">
            <v>0.44023160723795168</v>
          </cell>
          <cell r="G9">
            <v>0.11468313954524458</v>
          </cell>
          <cell r="H9">
            <v>107.50511325477065</v>
          </cell>
          <cell r="I9">
            <v>1.0347677695252593E-2</v>
          </cell>
        </row>
        <row r="10">
          <cell r="B10" t="str">
            <v>Rubber Tired Loaders - 750</v>
          </cell>
          <cell r="C10">
            <v>9.1699292295937748E-2</v>
          </cell>
          <cell r="D10">
            <v>2.4816495823931239</v>
          </cell>
          <cell r="E10">
            <v>2.2143711863278365E-3</v>
          </cell>
          <cell r="F10">
            <v>0.8977989810489746</v>
          </cell>
          <cell r="G10">
            <v>0.2376690359121682</v>
          </cell>
          <cell r="H10">
            <v>220.23193257962103</v>
          </cell>
          <cell r="I10">
            <v>2.1444490325478866E-2</v>
          </cell>
        </row>
        <row r="11">
          <cell r="B11" t="str">
            <v>Rubber Tired Loaders - 1000</v>
          </cell>
          <cell r="C11">
            <v>0.11281698418835924</v>
          </cell>
          <cell r="D11">
            <v>3.6320533542247149</v>
          </cell>
          <cell r="E11">
            <v>2.708513011176045E-3</v>
          </cell>
          <cell r="F11">
            <v>1.2834306373108464</v>
          </cell>
          <cell r="G11">
            <v>0.33188731556128104</v>
          </cell>
          <cell r="H11">
            <v>269.37717766866973</v>
          </cell>
          <cell r="I11">
            <v>2.9945664738985911E-2</v>
          </cell>
        </row>
      </sheetData>
      <sheetData sheetId="2"/>
      <sheetData sheetId="3"/>
      <sheetData sheetId="4">
        <row r="5">
          <cell r="I5">
            <v>1.5E-3</v>
          </cell>
        </row>
      </sheetData>
      <sheetData sheetId="5">
        <row r="4">
          <cell r="C4">
            <v>0.35</v>
          </cell>
        </row>
      </sheetData>
      <sheetData sheetId="6">
        <row r="23">
          <cell r="B23">
            <v>35271.83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Lime Manufacturing"/>
      <sheetName val="FE-Transferências"/>
      <sheetName val="FE-Britagem e Peneiram"/>
      <sheetName val="Controles"/>
      <sheetName val="Monitoramento"/>
      <sheetName val="Dados"/>
      <sheetName val="Infos COV"/>
      <sheetName val="Monitoramento-Isocinético"/>
      <sheetName val="Monitoramento-Contínuo"/>
      <sheetName val="Vento"/>
      <sheetName val="Emissão Chaminés"/>
      <sheetName val="Emissão Transferências"/>
      <sheetName val="Resumo-Emissõ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650">
          <cell r="B8650">
            <v>4.1937865160171146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G28" sqref="G28"/>
    </sheetView>
  </sheetViews>
  <sheetFormatPr defaultRowHeight="15" customHeight="1" x14ac:dyDescent="0.25"/>
  <cols>
    <col min="1" max="1" width="27.28515625" customWidth="1"/>
    <col min="2" max="2" width="17.5703125" customWidth="1"/>
    <col min="3" max="4" width="10.7109375" customWidth="1"/>
    <col min="5" max="5" width="14.42578125" customWidth="1"/>
    <col min="8" max="10" width="15.7109375" customWidth="1"/>
    <col min="11" max="11" width="21.85546875" customWidth="1"/>
    <col min="12" max="12" width="17" customWidth="1"/>
    <col min="13" max="13" width="17.5703125" customWidth="1"/>
    <col min="14" max="15" width="15.7109375" customWidth="1"/>
  </cols>
  <sheetData>
    <row r="1" spans="1:15" ht="15" customHeight="1" x14ac:dyDescent="0.25">
      <c r="A1" s="4" t="s">
        <v>242</v>
      </c>
      <c r="H1" s="4" t="s">
        <v>338</v>
      </c>
    </row>
    <row r="2" spans="1:15" ht="15" customHeight="1" x14ac:dyDescent="0.25">
      <c r="A2" s="142" t="s">
        <v>392</v>
      </c>
      <c r="B2" s="143"/>
      <c r="C2" s="143"/>
      <c r="D2" s="144"/>
      <c r="H2" s="138" t="s">
        <v>339</v>
      </c>
      <c r="I2" s="139"/>
      <c r="J2" s="139"/>
      <c r="K2" s="139"/>
      <c r="L2" s="139"/>
      <c r="M2" s="139"/>
    </row>
    <row r="3" spans="1:15" ht="27" customHeight="1" x14ac:dyDescent="0.25">
      <c r="A3" s="147" t="s">
        <v>202</v>
      </c>
      <c r="B3" s="147" t="s">
        <v>361</v>
      </c>
      <c r="C3" s="147" t="s">
        <v>393</v>
      </c>
      <c r="D3" s="147" t="s">
        <v>394</v>
      </c>
      <c r="H3" s="75" t="s">
        <v>340</v>
      </c>
      <c r="I3" s="75" t="s">
        <v>341</v>
      </c>
      <c r="J3" s="75" t="s">
        <v>342</v>
      </c>
      <c r="K3" s="75" t="s">
        <v>343</v>
      </c>
      <c r="L3" s="75" t="s">
        <v>344</v>
      </c>
      <c r="M3" s="75" t="s">
        <v>345</v>
      </c>
    </row>
    <row r="4" spans="1:15" ht="15" customHeight="1" x14ac:dyDescent="0.25">
      <c r="A4" s="147"/>
      <c r="B4" s="147"/>
      <c r="C4" s="147"/>
      <c r="D4" s="147"/>
      <c r="H4" s="30" t="s">
        <v>346</v>
      </c>
      <c r="I4" s="30" t="s">
        <v>347</v>
      </c>
      <c r="J4" s="30" t="s">
        <v>348</v>
      </c>
      <c r="K4" s="95"/>
      <c r="L4" s="92">
        <v>1</v>
      </c>
      <c r="M4" s="92" t="s">
        <v>17</v>
      </c>
    </row>
    <row r="5" spans="1:15" ht="21.75" customHeight="1" x14ac:dyDescent="0.25">
      <c r="A5" s="148" t="s">
        <v>240</v>
      </c>
      <c r="B5" s="148"/>
      <c r="C5" s="148"/>
      <c r="D5" s="148"/>
      <c r="H5" s="30" t="s">
        <v>349</v>
      </c>
      <c r="I5" s="30" t="s">
        <v>347</v>
      </c>
      <c r="J5" s="30" t="s">
        <v>350</v>
      </c>
      <c r="K5" s="95" t="s">
        <v>351</v>
      </c>
      <c r="L5" s="92">
        <v>1</v>
      </c>
      <c r="M5" s="92">
        <v>0.1</v>
      </c>
    </row>
    <row r="6" spans="1:15" ht="15" customHeight="1" x14ac:dyDescent="0.25">
      <c r="A6" s="4" t="s">
        <v>395</v>
      </c>
      <c r="B6" s="145" t="s">
        <v>398</v>
      </c>
      <c r="C6" s="145"/>
      <c r="D6" s="145"/>
      <c r="H6" s="30" t="s">
        <v>352</v>
      </c>
      <c r="I6" s="30" t="s">
        <v>353</v>
      </c>
      <c r="J6" s="30" t="s">
        <v>348</v>
      </c>
      <c r="K6" s="95"/>
      <c r="L6" s="92">
        <v>0.1</v>
      </c>
      <c r="M6" s="92" t="s">
        <v>17</v>
      </c>
    </row>
    <row r="7" spans="1:15" ht="24" customHeight="1" x14ac:dyDescent="0.25">
      <c r="A7" s="4" t="s">
        <v>396</v>
      </c>
      <c r="B7" s="4"/>
      <c r="C7" s="78">
        <v>0.15</v>
      </c>
      <c r="D7" s="78" t="s">
        <v>397</v>
      </c>
      <c r="H7" s="110" t="s">
        <v>354</v>
      </c>
      <c r="I7" s="30" t="s">
        <v>353</v>
      </c>
      <c r="J7" s="30" t="s">
        <v>350</v>
      </c>
      <c r="K7" s="95" t="s">
        <v>355</v>
      </c>
      <c r="L7" s="93">
        <v>0.1</v>
      </c>
      <c r="M7" s="92">
        <v>0.01</v>
      </c>
    </row>
    <row r="8" spans="1:15" ht="15" customHeight="1" x14ac:dyDescent="0.25">
      <c r="A8" s="4"/>
      <c r="B8" s="4"/>
      <c r="C8" s="4"/>
      <c r="D8" s="4"/>
      <c r="H8" s="30" t="s">
        <v>356</v>
      </c>
      <c r="I8" s="30" t="s">
        <v>357</v>
      </c>
      <c r="J8" s="30" t="s">
        <v>348</v>
      </c>
      <c r="K8" s="95"/>
      <c r="L8" s="92">
        <v>0.01</v>
      </c>
      <c r="M8" s="92" t="s">
        <v>17</v>
      </c>
    </row>
    <row r="9" spans="1:15" ht="15" customHeight="1" x14ac:dyDescent="0.25">
      <c r="A9" s="4"/>
      <c r="B9" s="4"/>
      <c r="C9" s="4"/>
      <c r="D9" s="4"/>
      <c r="H9" s="4" t="s">
        <v>358</v>
      </c>
      <c r="I9" s="4"/>
      <c r="J9" s="4"/>
      <c r="K9" s="111"/>
      <c r="L9" s="111"/>
    </row>
    <row r="10" spans="1:15" ht="15" customHeight="1" x14ac:dyDescent="0.25">
      <c r="A10" s="4"/>
      <c r="B10" s="4"/>
      <c r="C10" s="4"/>
      <c r="D10" s="4"/>
    </row>
    <row r="12" spans="1:15" ht="15" customHeight="1" x14ac:dyDescent="0.25">
      <c r="H12" s="4" t="s">
        <v>242</v>
      </c>
    </row>
    <row r="13" spans="1:15" ht="15" customHeight="1" x14ac:dyDescent="0.25">
      <c r="A13" s="147" t="s">
        <v>234</v>
      </c>
      <c r="B13" s="147"/>
      <c r="C13" s="147"/>
      <c r="D13" s="147"/>
      <c r="E13" s="147"/>
      <c r="H13" s="138" t="s">
        <v>371</v>
      </c>
      <c r="I13" s="139"/>
      <c r="J13" s="139"/>
      <c r="K13" s="139"/>
      <c r="L13" s="139"/>
      <c r="M13" s="139"/>
      <c r="N13" s="139"/>
      <c r="O13" s="139"/>
    </row>
    <row r="14" spans="1:15" ht="23.25" customHeight="1" x14ac:dyDescent="0.25">
      <c r="A14" s="147" t="s">
        <v>202</v>
      </c>
      <c r="B14" s="147" t="s">
        <v>208</v>
      </c>
      <c r="C14" s="147" t="s">
        <v>235</v>
      </c>
      <c r="D14" s="147" t="s">
        <v>236</v>
      </c>
      <c r="E14" s="75" t="s">
        <v>237</v>
      </c>
      <c r="H14" s="140" t="s">
        <v>359</v>
      </c>
      <c r="I14" s="142" t="s">
        <v>360</v>
      </c>
      <c r="J14" s="143"/>
      <c r="K14" s="143"/>
      <c r="L14" s="143"/>
      <c r="M14" s="143"/>
      <c r="N14" s="135" t="s">
        <v>361</v>
      </c>
      <c r="O14" s="135" t="s">
        <v>208</v>
      </c>
    </row>
    <row r="15" spans="1:15" ht="15" customHeight="1" x14ac:dyDescent="0.25">
      <c r="A15" s="147"/>
      <c r="B15" s="147"/>
      <c r="C15" s="147"/>
      <c r="D15" s="147"/>
      <c r="E15" s="75" t="s">
        <v>238</v>
      </c>
      <c r="H15" s="141"/>
      <c r="I15" s="75" t="s">
        <v>362</v>
      </c>
      <c r="J15" s="75" t="s">
        <v>363</v>
      </c>
      <c r="K15" s="75" t="s">
        <v>364</v>
      </c>
      <c r="L15" s="75" t="s">
        <v>365</v>
      </c>
      <c r="M15" s="75" t="s">
        <v>366</v>
      </c>
      <c r="N15" s="136"/>
      <c r="O15" s="136"/>
    </row>
    <row r="16" spans="1:15" ht="15" customHeight="1" x14ac:dyDescent="0.25">
      <c r="A16" s="145" t="s">
        <v>240</v>
      </c>
      <c r="B16" s="145"/>
      <c r="C16" s="145"/>
      <c r="D16" s="145"/>
      <c r="E16" s="145"/>
      <c r="H16" s="137" t="s">
        <v>367</v>
      </c>
      <c r="I16" s="137"/>
      <c r="J16" s="137"/>
      <c r="K16" s="137"/>
      <c r="L16" s="137"/>
      <c r="M16" s="137"/>
      <c r="N16" s="137"/>
      <c r="O16" s="137"/>
    </row>
    <row r="17" spans="1:15" ht="15" customHeight="1" x14ac:dyDescent="0.25">
      <c r="A17" s="145" t="s">
        <v>241</v>
      </c>
      <c r="B17" s="146" t="s">
        <v>239</v>
      </c>
      <c r="C17" s="74">
        <v>0.5</v>
      </c>
      <c r="D17" s="74">
        <v>4</v>
      </c>
      <c r="E17" s="74">
        <v>0.01</v>
      </c>
      <c r="H17" s="112" t="s">
        <v>368</v>
      </c>
      <c r="I17" s="74">
        <v>13</v>
      </c>
      <c r="J17" s="74">
        <v>8.5</v>
      </c>
      <c r="K17" s="92">
        <v>6.5</v>
      </c>
      <c r="L17" s="92">
        <v>4</v>
      </c>
      <c r="M17" s="92">
        <v>2.2999999999999998</v>
      </c>
      <c r="N17" s="11" t="s">
        <v>369</v>
      </c>
      <c r="O17" s="11" t="s">
        <v>239</v>
      </c>
    </row>
    <row r="18" spans="1:15" ht="15" customHeight="1" x14ac:dyDescent="0.25">
      <c r="A18" s="145"/>
      <c r="B18" s="146"/>
      <c r="C18" s="74">
        <v>1</v>
      </c>
      <c r="D18" s="74">
        <v>15</v>
      </c>
      <c r="E18" s="74">
        <v>0.05</v>
      </c>
      <c r="H18" s="113" t="s">
        <v>370</v>
      </c>
      <c r="I18" s="11">
        <v>4.4000000000000004</v>
      </c>
      <c r="J18" s="11">
        <v>2.9</v>
      </c>
      <c r="K18" s="7">
        <v>2.2000000000000002</v>
      </c>
      <c r="L18" s="11">
        <v>1.4</v>
      </c>
      <c r="M18" s="7">
        <v>0.8</v>
      </c>
      <c r="N18" s="11" t="s">
        <v>369</v>
      </c>
      <c r="O18" s="11" t="s">
        <v>239</v>
      </c>
    </row>
    <row r="19" spans="1:15" ht="15" customHeight="1" x14ac:dyDescent="0.25">
      <c r="A19" s="145"/>
      <c r="B19" s="146"/>
      <c r="C19" s="94">
        <v>2.5</v>
      </c>
      <c r="D19" s="94">
        <v>23</v>
      </c>
      <c r="E19" s="74">
        <v>7.0000000000000007E-2</v>
      </c>
    </row>
    <row r="20" spans="1:15" ht="15" customHeight="1" x14ac:dyDescent="0.25">
      <c r="A20" s="145"/>
      <c r="B20" s="146"/>
      <c r="C20" s="74">
        <v>5</v>
      </c>
      <c r="D20" s="74">
        <v>35</v>
      </c>
      <c r="E20" s="74">
        <v>0.11</v>
      </c>
    </row>
    <row r="21" spans="1:15" ht="15" customHeight="1" x14ac:dyDescent="0.25">
      <c r="A21" s="145"/>
      <c r="B21" s="146"/>
      <c r="C21" s="94">
        <v>10</v>
      </c>
      <c r="D21" s="94">
        <v>51</v>
      </c>
      <c r="E21" s="74">
        <v>0.15</v>
      </c>
    </row>
    <row r="22" spans="1:15" ht="15" customHeight="1" x14ac:dyDescent="0.25">
      <c r="A22" s="145"/>
      <c r="B22" s="146"/>
      <c r="C22" s="74">
        <v>15</v>
      </c>
      <c r="D22" s="74">
        <v>61</v>
      </c>
      <c r="E22" s="74">
        <v>0.18</v>
      </c>
    </row>
    <row r="23" spans="1:15" ht="15" customHeight="1" x14ac:dyDescent="0.25">
      <c r="A23" s="145"/>
      <c r="B23" s="146"/>
      <c r="C23" s="74" t="s">
        <v>17</v>
      </c>
      <c r="D23" s="74">
        <v>100</v>
      </c>
      <c r="E23" s="74">
        <v>0.3</v>
      </c>
    </row>
    <row r="24" spans="1:15" ht="15" customHeight="1" x14ac:dyDescent="0.25">
      <c r="A24" s="145" t="s">
        <v>399</v>
      </c>
      <c r="B24" s="146" t="s">
        <v>239</v>
      </c>
      <c r="C24" s="78">
        <v>0.5</v>
      </c>
      <c r="D24" s="78">
        <v>7</v>
      </c>
      <c r="E24" s="78">
        <v>0.04</v>
      </c>
    </row>
    <row r="25" spans="1:15" ht="15" customHeight="1" x14ac:dyDescent="0.25">
      <c r="A25" s="145"/>
      <c r="B25" s="146"/>
      <c r="C25" s="78">
        <v>1</v>
      </c>
      <c r="D25" s="78">
        <v>9</v>
      </c>
      <c r="E25" s="78">
        <v>0.06</v>
      </c>
    </row>
    <row r="26" spans="1:15" ht="15" customHeight="1" x14ac:dyDescent="0.25">
      <c r="A26" s="145"/>
      <c r="B26" s="146"/>
      <c r="C26" s="94">
        <v>2.5</v>
      </c>
      <c r="D26" s="94">
        <v>15</v>
      </c>
      <c r="E26" s="78">
        <v>0.1</v>
      </c>
    </row>
    <row r="27" spans="1:15" ht="15" customHeight="1" x14ac:dyDescent="0.25">
      <c r="A27" s="145"/>
      <c r="B27" s="146"/>
      <c r="C27" s="78">
        <v>5</v>
      </c>
      <c r="D27" s="78">
        <v>20</v>
      </c>
      <c r="E27" s="78">
        <v>0.13</v>
      </c>
    </row>
    <row r="28" spans="1:15" ht="15" customHeight="1" x14ac:dyDescent="0.25">
      <c r="A28" s="145"/>
      <c r="B28" s="146"/>
      <c r="C28" s="94">
        <v>10</v>
      </c>
      <c r="D28" s="94">
        <v>24</v>
      </c>
      <c r="E28" s="78">
        <v>0.16</v>
      </c>
    </row>
    <row r="29" spans="1:15" ht="15" customHeight="1" x14ac:dyDescent="0.25">
      <c r="A29" s="145"/>
      <c r="B29" s="146"/>
      <c r="C29" s="78">
        <v>15</v>
      </c>
      <c r="D29" s="78">
        <v>26</v>
      </c>
      <c r="E29" s="78">
        <v>0.17</v>
      </c>
    </row>
    <row r="30" spans="1:15" ht="15" customHeight="1" x14ac:dyDescent="0.25">
      <c r="A30" s="145"/>
      <c r="B30" s="146"/>
      <c r="C30" s="78" t="s">
        <v>17</v>
      </c>
      <c r="D30" s="78">
        <v>100</v>
      </c>
      <c r="E30" s="78">
        <v>0.65</v>
      </c>
    </row>
  </sheetData>
  <sheetProtection password="B056" sheet="1" objects="1" scenarios="1"/>
  <mergeCells count="24">
    <mergeCell ref="B24:B30"/>
    <mergeCell ref="A24:A30"/>
    <mergeCell ref="A3:A4"/>
    <mergeCell ref="B3:B4"/>
    <mergeCell ref="C3:C4"/>
    <mergeCell ref="A2:D2"/>
    <mergeCell ref="A16:E16"/>
    <mergeCell ref="A17:A23"/>
    <mergeCell ref="B17:B23"/>
    <mergeCell ref="A13:E13"/>
    <mergeCell ref="A14:A15"/>
    <mergeCell ref="B14:B15"/>
    <mergeCell ref="C14:C15"/>
    <mergeCell ref="D14:D15"/>
    <mergeCell ref="A5:D5"/>
    <mergeCell ref="B6:D6"/>
    <mergeCell ref="D3:D4"/>
    <mergeCell ref="O14:O15"/>
    <mergeCell ref="H16:O16"/>
    <mergeCell ref="H2:M2"/>
    <mergeCell ref="H13:O13"/>
    <mergeCell ref="H14:H15"/>
    <mergeCell ref="I14:M14"/>
    <mergeCell ref="N14:N15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zoomScaleNormal="100" workbookViewId="0">
      <selection activeCell="G27" sqref="G27"/>
    </sheetView>
  </sheetViews>
  <sheetFormatPr defaultRowHeight="15" x14ac:dyDescent="0.25"/>
  <cols>
    <col min="1" max="1" width="25.28515625" customWidth="1"/>
    <col min="2" max="2" width="17" customWidth="1"/>
    <col min="3" max="3" width="16.5703125" customWidth="1"/>
    <col min="4" max="4" width="32.42578125" bestFit="1" customWidth="1"/>
    <col min="5" max="5" width="13.85546875" customWidth="1"/>
    <col min="6" max="6" width="11.7109375" customWidth="1"/>
    <col min="7" max="7" width="11.28515625" customWidth="1"/>
    <col min="8" max="8" width="13" customWidth="1"/>
    <col min="9" max="14" width="10.7109375" customWidth="1"/>
  </cols>
  <sheetData>
    <row r="1" spans="1:14" x14ac:dyDescent="0.25">
      <c r="A1" s="54" t="s">
        <v>195</v>
      </c>
      <c r="B1" s="55">
        <v>24</v>
      </c>
    </row>
    <row r="2" spans="1:14" x14ac:dyDescent="0.25">
      <c r="A2" s="4" t="s">
        <v>249</v>
      </c>
      <c r="B2" s="98">
        <f>[2]Vento!B8650</f>
        <v>4.1937865160171146</v>
      </c>
    </row>
    <row r="4" spans="1:14" x14ac:dyDescent="0.25">
      <c r="A4" s="35" t="s">
        <v>376</v>
      </c>
    </row>
    <row r="5" spans="1:14" ht="15" customHeight="1" x14ac:dyDescent="0.25">
      <c r="A5" s="231" t="s">
        <v>104</v>
      </c>
      <c r="B5" s="232" t="s">
        <v>188</v>
      </c>
      <c r="C5" s="221" t="s">
        <v>247</v>
      </c>
      <c r="D5" s="232" t="s">
        <v>189</v>
      </c>
      <c r="E5" s="221" t="s">
        <v>248</v>
      </c>
      <c r="F5" s="198" t="s">
        <v>416</v>
      </c>
      <c r="G5" s="198" t="s">
        <v>417</v>
      </c>
      <c r="H5" s="234" t="s">
        <v>246</v>
      </c>
      <c r="I5" s="225" t="s">
        <v>245</v>
      </c>
      <c r="J5" s="226"/>
      <c r="K5" s="227"/>
      <c r="L5" s="225" t="s">
        <v>109</v>
      </c>
      <c r="M5" s="226"/>
      <c r="N5" s="227"/>
    </row>
    <row r="6" spans="1:14" x14ac:dyDescent="0.25">
      <c r="A6" s="231"/>
      <c r="B6" s="233"/>
      <c r="C6" s="222"/>
      <c r="D6" s="233"/>
      <c r="E6" s="222"/>
      <c r="F6" s="198"/>
      <c r="G6" s="198"/>
      <c r="H6" s="234"/>
      <c r="I6" s="60" t="s">
        <v>212</v>
      </c>
      <c r="J6" s="60" t="s">
        <v>213</v>
      </c>
      <c r="K6" s="60" t="s">
        <v>214</v>
      </c>
      <c r="L6" s="60" t="s">
        <v>212</v>
      </c>
      <c r="M6" s="60" t="s">
        <v>213</v>
      </c>
      <c r="N6" s="60" t="s">
        <v>214</v>
      </c>
    </row>
    <row r="7" spans="1:14" x14ac:dyDescent="0.25">
      <c r="A7" s="4" t="s">
        <v>321</v>
      </c>
      <c r="B7" s="74" t="s">
        <v>322</v>
      </c>
      <c r="C7" s="100">
        <f>'FE-Transferências'!L6</f>
        <v>4.8</v>
      </c>
      <c r="D7" s="74" t="s">
        <v>250</v>
      </c>
      <c r="E7" s="65">
        <v>70</v>
      </c>
      <c r="F7" s="228">
        <v>-20.400051000000001</v>
      </c>
      <c r="G7" s="228">
        <v>-40.369484999999997</v>
      </c>
      <c r="H7" s="101">
        <f>Dados!D101/(365*24)</f>
        <v>12.189677168949771</v>
      </c>
      <c r="I7" s="99">
        <f>('FE-Transferências'!$A$4*0.0016*(($B$2/2.2)^1.3)/(($C7/2)^1.4))</f>
        <v>8.0407154561724329E-4</v>
      </c>
      <c r="J7" s="99">
        <f>('FE-Transferências'!$C$4*0.0016*(($B$2/2.2)^1.3)/(($C7/2)^1.4))</f>
        <v>3.8030410941356093E-4</v>
      </c>
      <c r="K7" s="99">
        <f>('FE-Transferências'!$E$4*0.0016*(($B$2/2.2)^1.3)/(($C7/2)^1.4))</f>
        <v>5.7588907996910663E-5</v>
      </c>
      <c r="L7" s="15">
        <f>I7*$H7*(1-E7/100)</f>
        <v>2.9404117685437998E-3</v>
      </c>
      <c r="M7" s="15">
        <f>J7*$H7*(1-E7/100)</f>
        <v>1.3907352959328782E-3</v>
      </c>
      <c r="N7" s="15">
        <f>K7*$H7*(1-E7/100)</f>
        <v>2.105970590984073E-4</v>
      </c>
    </row>
    <row r="8" spans="1:14" x14ac:dyDescent="0.25">
      <c r="A8" s="4" t="s">
        <v>319</v>
      </c>
      <c r="B8" s="74" t="s">
        <v>318</v>
      </c>
      <c r="C8" s="100">
        <v>5.6</v>
      </c>
      <c r="D8" s="74" t="s">
        <v>17</v>
      </c>
      <c r="E8" s="65">
        <v>0</v>
      </c>
      <c r="F8" s="229"/>
      <c r="G8" s="229"/>
      <c r="H8" s="101">
        <f>Dados!C116/(365*24)</f>
        <v>32.496272831050234</v>
      </c>
      <c r="I8" s="99">
        <f>('FE-Transferências'!$A$4*0.0016*(($B$2/2.2)^1.3)/(($C8/2)^1.4))</f>
        <v>6.4799131957684914E-4</v>
      </c>
      <c r="J8" s="99">
        <f>('FE-Transferências'!$C$4*0.0016*(($B$2/2.2)^1.3)/(($C8/2)^1.4))</f>
        <v>3.0648238088094209E-4</v>
      </c>
      <c r="K8" s="99">
        <f>('FE-Transferências'!$E$4*0.0016*(($B$2/2.2)^1.3)/(($C8/2)^1.4))</f>
        <v>4.6410189104828379E-5</v>
      </c>
      <c r="L8" s="15">
        <f t="shared" ref="L8:L9" si="0">I8*$H8*(1-E8/100)</f>
        <v>2.1057302713121551E-2</v>
      </c>
      <c r="M8" s="15">
        <f t="shared" ref="M8:M9" si="1">J8*$H8*(1-E8/100)</f>
        <v>9.9595350670169478E-3</v>
      </c>
      <c r="N8" s="15">
        <f t="shared" ref="N8:N20" si="2">K8*$H8*(1-E8/100)</f>
        <v>1.5081581672911381E-3</v>
      </c>
    </row>
    <row r="9" spans="1:14" x14ac:dyDescent="0.25">
      <c r="A9" s="4" t="s">
        <v>320</v>
      </c>
      <c r="B9" s="74" t="s">
        <v>318</v>
      </c>
      <c r="C9" s="100">
        <v>5.6</v>
      </c>
      <c r="D9" s="74" t="s">
        <v>17</v>
      </c>
      <c r="E9" s="65">
        <v>0</v>
      </c>
      <c r="F9" s="229"/>
      <c r="G9" s="229"/>
      <c r="H9" s="101">
        <f>Dados!D116/(365*24)</f>
        <v>31.284766438356165</v>
      </c>
      <c r="I9" s="99">
        <f>('FE-Transferências'!$A$4*0.0016*(($B$2/2.2)^1.3)/(($C9/2)^1.4))</f>
        <v>6.4799131957684914E-4</v>
      </c>
      <c r="J9" s="99">
        <f>('FE-Transferências'!$C$4*0.0016*(($B$2/2.2)^1.3)/(($C9/2)^1.4))</f>
        <v>3.0648238088094209E-4</v>
      </c>
      <c r="K9" s="99">
        <f>('FE-Transferências'!$E$4*0.0016*(($B$2/2.2)^1.3)/(($C9/2)^1.4))</f>
        <v>4.6410189104828379E-5</v>
      </c>
      <c r="L9" s="15">
        <f t="shared" si="0"/>
        <v>2.0272257087043933E-2</v>
      </c>
      <c r="M9" s="15">
        <f t="shared" si="1"/>
        <v>9.5882297033315876E-3</v>
      </c>
      <c r="N9" s="15">
        <f t="shared" si="2"/>
        <v>1.4519319265044977E-3</v>
      </c>
    </row>
    <row r="10" spans="1:14" x14ac:dyDescent="0.25">
      <c r="A10" s="4" t="s">
        <v>319</v>
      </c>
      <c r="B10" s="74" t="s">
        <v>324</v>
      </c>
      <c r="C10" s="100">
        <v>1</v>
      </c>
      <c r="D10" s="74" t="s">
        <v>17</v>
      </c>
      <c r="E10" s="65">
        <v>0</v>
      </c>
      <c r="F10" s="229"/>
      <c r="G10" s="229"/>
      <c r="H10" s="102">
        <f>Dados!C86/(365*24)</f>
        <v>2.0439146118721458</v>
      </c>
      <c r="I10" s="99">
        <f>('FE-Transferências'!$A$4*0.0016*(($B$2/2.2)^1.3)/(($C10/2)^1.4))</f>
        <v>7.2282377015546288E-3</v>
      </c>
      <c r="J10" s="99">
        <f>('FE-Transferências'!$C$4*0.0016*(($B$2/2.2)^1.3)/(($C10/2)^1.4))</f>
        <v>3.418761075059621E-3</v>
      </c>
      <c r="K10" s="99">
        <f>('FE-Transferências'!$E$4*0.0016*(($B$2/2.2)^1.3)/(($C10/2)^1.4))</f>
        <v>5.176981056518856E-4</v>
      </c>
      <c r="L10" s="15">
        <f t="shared" ref="L10:L11" si="3">I10*$H10*(1-E10/100)</f>
        <v>1.4773900656292641E-2</v>
      </c>
      <c r="M10" s="15">
        <f t="shared" ref="M10:M11" si="4">J10*$H10*(1-E10/100)</f>
        <v>6.9876557158140857E-3</v>
      </c>
      <c r="N10" s="15">
        <f t="shared" si="2"/>
        <v>1.058130722680419E-3</v>
      </c>
    </row>
    <row r="11" spans="1:14" x14ac:dyDescent="0.25">
      <c r="A11" s="4" t="s">
        <v>320</v>
      </c>
      <c r="B11" s="74" t="s">
        <v>324</v>
      </c>
      <c r="C11" s="100">
        <v>1</v>
      </c>
      <c r="D11" s="74" t="s">
        <v>17</v>
      </c>
      <c r="E11" s="65">
        <v>0</v>
      </c>
      <c r="F11" s="229"/>
      <c r="G11" s="229"/>
      <c r="H11" s="102">
        <f>Dados!D86/(365*24)</f>
        <v>2.0565869863013706</v>
      </c>
      <c r="I11" s="99">
        <f>('FE-Transferências'!$A$4*0.0016*(($B$2/2.2)^1.3)/(($C11/2)^1.4))</f>
        <v>7.2282377015546288E-3</v>
      </c>
      <c r="J11" s="99">
        <f>('FE-Transferências'!$C$4*0.0016*(($B$2/2.2)^1.3)/(($C11/2)^1.4))</f>
        <v>3.418761075059621E-3</v>
      </c>
      <c r="K11" s="99">
        <f>('FE-Transferências'!$E$4*0.0016*(($B$2/2.2)^1.3)/(($C11/2)^1.4))</f>
        <v>5.176981056518856E-4</v>
      </c>
      <c r="L11" s="15">
        <f t="shared" si="3"/>
        <v>1.4865499590910179E-2</v>
      </c>
      <c r="M11" s="15">
        <f t="shared" si="4"/>
        <v>7.0309795362413002E-3</v>
      </c>
      <c r="N11" s="15">
        <f t="shared" si="2"/>
        <v>1.06469118691654E-3</v>
      </c>
    </row>
    <row r="12" spans="1:14" x14ac:dyDescent="0.25">
      <c r="A12" s="4" t="s">
        <v>320</v>
      </c>
      <c r="B12" s="74" t="s">
        <v>334</v>
      </c>
      <c r="C12" s="100">
        <f>'FE-Transferências'!L21</f>
        <v>7.4</v>
      </c>
      <c r="D12" s="74" t="s">
        <v>17</v>
      </c>
      <c r="E12" s="65">
        <v>0</v>
      </c>
      <c r="F12" s="229"/>
      <c r="G12" s="229"/>
      <c r="H12" s="102">
        <f>Dados!D131/(365*24)</f>
        <v>1.6133561643835618E-2</v>
      </c>
      <c r="I12" s="99">
        <f>('FE-Transferências'!$A$4*0.0016*(($B$2/2.2)^1.3)/(($C12/2)^1.4))</f>
        <v>4.3863978330987145E-4</v>
      </c>
      <c r="J12" s="99">
        <f>('FE-Transferências'!$C$4*0.0016*(($B$2/2.2)^1.3)/(($C12/2)^1.4))</f>
        <v>2.0746476237629049E-4</v>
      </c>
      <c r="K12" s="99">
        <f>('FE-Transferências'!$E$4*0.0016*(($B$2/2.2)^1.3)/(($C12/2)^1.4))</f>
        <v>3.1416092588409709E-5</v>
      </c>
      <c r="L12" s="109">
        <f t="shared" ref="L12:L15" si="5">I12*$H12*(1-E12/100)</f>
        <v>7.0768219834685087E-6</v>
      </c>
      <c r="M12" s="109">
        <f t="shared" ref="M12:M15" si="6">J12*$H12*(1-E12/100)</f>
        <v>3.3471455327215913E-6</v>
      </c>
      <c r="N12" s="109">
        <f t="shared" si="2"/>
        <v>5.068534663835553E-7</v>
      </c>
    </row>
    <row r="13" spans="1:14" x14ac:dyDescent="0.25">
      <c r="A13" s="4" t="s">
        <v>323</v>
      </c>
      <c r="B13" s="74" t="s">
        <v>318</v>
      </c>
      <c r="C13" s="100">
        <v>5.6</v>
      </c>
      <c r="D13" s="74" t="s">
        <v>17</v>
      </c>
      <c r="E13" s="65">
        <v>0</v>
      </c>
      <c r="F13" s="229"/>
      <c r="G13" s="229"/>
      <c r="H13" s="102">
        <f>Dados!D116/(365*24)</f>
        <v>31.284766438356165</v>
      </c>
      <c r="I13" s="99">
        <f>('FE-Transferências'!$A$4*0.0016*(($B$2/2.2)^1.3)/(($C13/2)^1.4))</f>
        <v>6.4799131957684914E-4</v>
      </c>
      <c r="J13" s="99">
        <f>('FE-Transferências'!$C$4*0.0016*(($B$2/2.2)^1.3)/(($C13/2)^1.4))</f>
        <v>3.0648238088094209E-4</v>
      </c>
      <c r="K13" s="99">
        <f>('FE-Transferências'!$E$4*0.0016*(($B$2/2.2)^1.3)/(($C13/2)^1.4))</f>
        <v>4.6410189104828379E-5</v>
      </c>
      <c r="L13" s="15">
        <f t="shared" si="5"/>
        <v>2.0272257087043933E-2</v>
      </c>
      <c r="M13" s="15">
        <f t="shared" si="6"/>
        <v>9.5882297033315876E-3</v>
      </c>
      <c r="N13" s="15">
        <f t="shared" si="2"/>
        <v>1.4519319265044977E-3</v>
      </c>
    </row>
    <row r="14" spans="1:14" x14ac:dyDescent="0.25">
      <c r="A14" s="4" t="s">
        <v>323</v>
      </c>
      <c r="B14" s="74" t="s">
        <v>324</v>
      </c>
      <c r="C14" s="100">
        <v>1</v>
      </c>
      <c r="D14" s="74" t="s">
        <v>17</v>
      </c>
      <c r="E14" s="65">
        <v>0</v>
      </c>
      <c r="F14" s="229"/>
      <c r="G14" s="229"/>
      <c r="H14" s="102">
        <f>Dados!D86/(365*24)</f>
        <v>2.0565869863013706</v>
      </c>
      <c r="I14" s="99">
        <f>('FE-Transferências'!$A$4*0.0016*(($B$2/2.2)^1.3)/(($C14/2)^1.4))</f>
        <v>7.2282377015546288E-3</v>
      </c>
      <c r="J14" s="99">
        <f>('FE-Transferências'!$C$4*0.0016*(($B$2/2.2)^1.3)/(($C14/2)^1.4))</f>
        <v>3.418761075059621E-3</v>
      </c>
      <c r="K14" s="99">
        <f>('FE-Transferências'!$E$4*0.0016*(($B$2/2.2)^1.3)/(($C14/2)^1.4))</f>
        <v>5.176981056518856E-4</v>
      </c>
      <c r="L14" s="15">
        <f t="shared" si="5"/>
        <v>1.4865499590910179E-2</v>
      </c>
      <c r="M14" s="15">
        <f t="shared" si="6"/>
        <v>7.0309795362413002E-3</v>
      </c>
      <c r="N14" s="15">
        <f t="shared" si="2"/>
        <v>1.06469118691654E-3</v>
      </c>
    </row>
    <row r="15" spans="1:14" x14ac:dyDescent="0.25">
      <c r="A15" s="4" t="s">
        <v>323</v>
      </c>
      <c r="B15" s="74" t="s">
        <v>334</v>
      </c>
      <c r="C15" s="100">
        <f>'FE-Transferências'!L21</f>
        <v>7.4</v>
      </c>
      <c r="D15" s="74" t="s">
        <v>17</v>
      </c>
      <c r="E15" s="65">
        <v>0</v>
      </c>
      <c r="F15" s="229"/>
      <c r="G15" s="229"/>
      <c r="H15" s="102">
        <f>Dados!D131/(365*24)</f>
        <v>1.6133561643835618E-2</v>
      </c>
      <c r="I15" s="99">
        <f>('FE-Transferências'!$A$4*0.0016*(($B$2/2.2)^1.3)/(($C15/2)^1.4))</f>
        <v>4.3863978330987145E-4</v>
      </c>
      <c r="J15" s="99">
        <f>('FE-Transferências'!$C$4*0.0016*(($B$2/2.2)^1.3)/(($C15/2)^1.4))</f>
        <v>2.0746476237629049E-4</v>
      </c>
      <c r="K15" s="99">
        <f>('FE-Transferências'!$E$4*0.0016*(($B$2/2.2)^1.3)/(($C15/2)^1.4))</f>
        <v>3.1416092588409709E-5</v>
      </c>
      <c r="L15" s="109">
        <f t="shared" si="5"/>
        <v>7.0768219834685087E-6</v>
      </c>
      <c r="M15" s="109">
        <f t="shared" si="6"/>
        <v>3.3471455327215913E-6</v>
      </c>
      <c r="N15" s="109">
        <f t="shared" si="2"/>
        <v>5.068534663835553E-7</v>
      </c>
    </row>
    <row r="16" spans="1:14" x14ac:dyDescent="0.25">
      <c r="A16" s="4" t="s">
        <v>319</v>
      </c>
      <c r="B16" s="74" t="s">
        <v>337</v>
      </c>
      <c r="C16" s="100" t="s">
        <v>17</v>
      </c>
      <c r="D16" s="74" t="s">
        <v>17</v>
      </c>
      <c r="E16" s="65">
        <v>0</v>
      </c>
      <c r="F16" s="229"/>
      <c r="G16" s="229"/>
      <c r="H16" s="102">
        <f>Dados!C146/(365*24)</f>
        <v>1.040851598173516</v>
      </c>
      <c r="I16" s="99">
        <f>'FE-Iron and Steel'!L7</f>
        <v>0.1</v>
      </c>
      <c r="J16" s="99">
        <f>'FE-Iron and Steel'!K18/1000</f>
        <v>2.2000000000000001E-3</v>
      </c>
      <c r="K16" s="99">
        <f>'FE-Iron and Steel'!M18/1000</f>
        <v>8.0000000000000004E-4</v>
      </c>
      <c r="L16" s="15">
        <f>I16*$H16*(1-E16/100)</f>
        <v>0.10408515981735161</v>
      </c>
      <c r="M16" s="15">
        <f t="shared" ref="M16" si="7">J16*$H16*(1-E16/100)</f>
        <v>2.2898735159817352E-3</v>
      </c>
      <c r="N16" s="15">
        <f t="shared" si="2"/>
        <v>8.3268127853881283E-4</v>
      </c>
    </row>
    <row r="17" spans="1:15" x14ac:dyDescent="0.25">
      <c r="A17" s="4" t="s">
        <v>320</v>
      </c>
      <c r="B17" s="74" t="s">
        <v>337</v>
      </c>
      <c r="C17" s="100" t="s">
        <v>17</v>
      </c>
      <c r="D17" s="74" t="s">
        <v>17</v>
      </c>
      <c r="E17" s="65">
        <v>0</v>
      </c>
      <c r="F17" s="229"/>
      <c r="G17" s="229"/>
      <c r="H17" s="114">
        <f>Dados!D146/(365*24)</f>
        <v>1.064824200913242</v>
      </c>
      <c r="I17" s="99">
        <f>'FE-Iron and Steel'!L7</f>
        <v>0.1</v>
      </c>
      <c r="J17" s="99">
        <f>'FE-Iron and Steel'!K18/1000</f>
        <v>2.2000000000000001E-3</v>
      </c>
      <c r="K17" s="99">
        <f>'FE-Iron and Steel'!M18/1000</f>
        <v>8.0000000000000004E-4</v>
      </c>
      <c r="L17" s="15">
        <f t="shared" ref="L17:L18" si="8">I17*$H17*(1-E17/100)</f>
        <v>0.10648242009132421</v>
      </c>
      <c r="M17" s="15">
        <f t="shared" ref="M17:M18" si="9">J17*$H17*(1-E17/100)</f>
        <v>2.3426132420091327E-3</v>
      </c>
      <c r="N17" s="15">
        <f t="shared" si="2"/>
        <v>8.5185936073059367E-4</v>
      </c>
    </row>
    <row r="18" spans="1:15" x14ac:dyDescent="0.25">
      <c r="A18" s="4" t="s">
        <v>319</v>
      </c>
      <c r="B18" s="74" t="s">
        <v>337</v>
      </c>
      <c r="C18" s="100" t="s">
        <v>17</v>
      </c>
      <c r="D18" s="74" t="s">
        <v>17</v>
      </c>
      <c r="E18" s="65">
        <v>0</v>
      </c>
      <c r="F18" s="229"/>
      <c r="G18" s="229"/>
      <c r="H18" s="102">
        <f>Dados!D146/(365*24)</f>
        <v>1.064824200913242</v>
      </c>
      <c r="I18" s="99">
        <f>'FE-Iron and Steel'!L7</f>
        <v>0.1</v>
      </c>
      <c r="J18" s="99">
        <f>'FE-Iron and Steel'!K18/1000</f>
        <v>2.2000000000000001E-3</v>
      </c>
      <c r="K18" s="99">
        <f>'FE-Iron and Steel'!M18/1000</f>
        <v>8.0000000000000004E-4</v>
      </c>
      <c r="L18" s="15">
        <f t="shared" si="8"/>
        <v>0.10648242009132421</v>
      </c>
      <c r="M18" s="15">
        <f t="shared" si="9"/>
        <v>2.3426132420091327E-3</v>
      </c>
      <c r="N18" s="15">
        <f t="shared" si="2"/>
        <v>8.5185936073059367E-4</v>
      </c>
    </row>
    <row r="19" spans="1:15" x14ac:dyDescent="0.25">
      <c r="A19" s="4" t="s">
        <v>375</v>
      </c>
      <c r="B19" s="74" t="s">
        <v>374</v>
      </c>
      <c r="C19" s="41">
        <v>7.6</v>
      </c>
      <c r="D19" s="74" t="s">
        <v>17</v>
      </c>
      <c r="E19" s="65">
        <v>0</v>
      </c>
      <c r="F19" s="229"/>
      <c r="G19" s="229"/>
      <c r="H19" s="115">
        <f>Dados!E71/(365*24)</f>
        <v>5.9811643835616442E-2</v>
      </c>
      <c r="I19" s="99">
        <f>('FE-Transferências'!$A$4*0.0016*(($B$2/2.2)^1.3)/(($C19/2)^1.4))</f>
        <v>4.225648774807563E-4</v>
      </c>
      <c r="J19" s="99">
        <f>('FE-Transferências'!$C$4*0.0016*(($B$2/2.2)^1.3)/(($C19/2)^1.4))</f>
        <v>1.9986176637603337E-4</v>
      </c>
      <c r="K19" s="99">
        <f>('FE-Transferências'!$E$4*0.0016*(($B$2/2.2)^1.3)/(($C19/2)^1.4))</f>
        <v>3.0264781765513629E-5</v>
      </c>
      <c r="L19" s="66">
        <f t="shared" ref="L19" si="10">I19*$H19*(1-E19/100)</f>
        <v>2.5274299949319894E-5</v>
      </c>
      <c r="M19" s="66">
        <f t="shared" ref="M19" si="11">J19*$H19*(1-E19/100)</f>
        <v>1.1954060786840489E-5</v>
      </c>
      <c r="N19" s="15">
        <f t="shared" si="2"/>
        <v>1.8101863477215602E-6</v>
      </c>
    </row>
    <row r="20" spans="1:15" x14ac:dyDescent="0.25">
      <c r="A20" s="4" t="s">
        <v>389</v>
      </c>
      <c r="B20" s="78" t="s">
        <v>377</v>
      </c>
      <c r="C20" s="41">
        <f>'FE-Transferências'!L7</f>
        <v>0.92</v>
      </c>
      <c r="D20" s="78" t="s">
        <v>17</v>
      </c>
      <c r="E20" s="116">
        <v>0</v>
      </c>
      <c r="F20" s="230"/>
      <c r="G20" s="230"/>
      <c r="H20" s="115">
        <f>Dados!B159/(365*24)</f>
        <v>0.80163635003424671</v>
      </c>
      <c r="I20" s="99">
        <f>('FE-Transferências'!$A$4*0.0016*(($B$2/2.2)^1.3)/(($C20/2)^1.4))</f>
        <v>8.1232434243623426E-3</v>
      </c>
      <c r="J20" s="99">
        <f>('FE-Transferências'!$C$4*0.0016*(($B$2/2.2)^1.3)/(($C20/2)^1.4))</f>
        <v>3.8420745926038102E-3</v>
      </c>
      <c r="K20" s="99">
        <f>('FE-Transferências'!$E$4*0.0016*(($B$2/2.2)^1.3)/(($C20/2)^1.4))</f>
        <v>5.8179986688000564E-4</v>
      </c>
      <c r="L20" s="66">
        <f t="shared" ref="L20" si="12">I20*$H20*(1-E20/100)</f>
        <v>6.5118872091455239E-3</v>
      </c>
      <c r="M20" s="66">
        <f t="shared" ref="M20" si="13">J20*$H20*(1-E20/100)</f>
        <v>3.0799466529742338E-3</v>
      </c>
      <c r="N20" s="15">
        <f t="shared" si="2"/>
        <v>4.6639192173609834E-4</v>
      </c>
    </row>
    <row r="21" spans="1:15" x14ac:dyDescent="0.25">
      <c r="A21" s="223" t="s">
        <v>196</v>
      </c>
      <c r="B21" s="223"/>
      <c r="C21" s="223"/>
      <c r="D21" s="223"/>
      <c r="E21" s="223"/>
      <c r="F21" s="223"/>
      <c r="G21" s="223"/>
      <c r="H21" s="223"/>
      <c r="I21" s="223"/>
      <c r="J21" s="223"/>
      <c r="K21" s="224"/>
      <c r="L21" s="67">
        <f>SUM(L7:L20)</f>
        <v>0.43264844364692795</v>
      </c>
      <c r="M21" s="77">
        <f>SUM(M7:M20)</f>
        <v>6.1650039562736209E-2</v>
      </c>
      <c r="N21" s="44">
        <f>SUM(N7:N20)</f>
        <v>1.0815747990928626E-2</v>
      </c>
      <c r="O21" s="68"/>
    </row>
    <row r="22" spans="1:15" x14ac:dyDescent="0.25">
      <c r="A22" s="4" t="s">
        <v>335</v>
      </c>
      <c r="C22" s="45"/>
      <c r="G22" s="45"/>
      <c r="H22" s="45"/>
    </row>
    <row r="23" spans="1:15" x14ac:dyDescent="0.25">
      <c r="A23" s="4" t="s">
        <v>336</v>
      </c>
    </row>
    <row r="24" spans="1:15" x14ac:dyDescent="0.25">
      <c r="A24" s="4" t="s">
        <v>391</v>
      </c>
    </row>
    <row r="25" spans="1:15" x14ac:dyDescent="0.25">
      <c r="A25" s="4" t="s">
        <v>390</v>
      </c>
    </row>
    <row r="27" spans="1:15" x14ac:dyDescent="0.25">
      <c r="A27" s="150" t="s">
        <v>102</v>
      </c>
      <c r="B27" s="150"/>
      <c r="C27" s="150"/>
      <c r="D27" s="150"/>
      <c r="E27" s="2"/>
    </row>
    <row r="28" spans="1:15" x14ac:dyDescent="0.25">
      <c r="A28" s="150"/>
      <c r="B28" s="150"/>
      <c r="C28" s="150"/>
      <c r="D28" s="150"/>
    </row>
    <row r="29" spans="1:15" x14ac:dyDescent="0.25">
      <c r="A29" s="150"/>
      <c r="B29" s="150"/>
      <c r="C29" s="150"/>
      <c r="D29" s="150"/>
      <c r="E29" s="45"/>
    </row>
    <row r="30" spans="1:15" x14ac:dyDescent="0.25">
      <c r="A30" s="150"/>
      <c r="B30" s="150"/>
      <c r="C30" s="150"/>
      <c r="D30" s="150"/>
    </row>
    <row r="31" spans="1:15" x14ac:dyDescent="0.25">
      <c r="A31" s="150"/>
      <c r="B31" s="150"/>
      <c r="C31" s="150"/>
      <c r="D31" s="150"/>
    </row>
    <row r="32" spans="1:15" ht="15" customHeight="1" x14ac:dyDescent="0.25">
      <c r="A32" s="150"/>
      <c r="B32" s="152" t="s">
        <v>372</v>
      </c>
      <c r="C32" s="152"/>
      <c r="D32" s="152"/>
    </row>
    <row r="33" spans="1:4" x14ac:dyDescent="0.25">
      <c r="A33" s="150"/>
      <c r="B33" s="152"/>
      <c r="C33" s="152"/>
      <c r="D33" s="152"/>
    </row>
    <row r="34" spans="1:4" x14ac:dyDescent="0.25">
      <c r="A34" s="150"/>
      <c r="B34" s="152"/>
      <c r="C34" s="152"/>
      <c r="D34" s="152"/>
    </row>
    <row r="35" spans="1:4" x14ac:dyDescent="0.25">
      <c r="A35" s="150"/>
      <c r="B35" s="152"/>
      <c r="C35" s="152"/>
      <c r="D35" s="152"/>
    </row>
    <row r="36" spans="1:4" x14ac:dyDescent="0.25">
      <c r="A36" s="150"/>
      <c r="B36" s="152"/>
      <c r="C36" s="152"/>
      <c r="D36" s="152"/>
    </row>
    <row r="37" spans="1:4" x14ac:dyDescent="0.25">
      <c r="A37" s="150"/>
      <c r="B37" s="152"/>
      <c r="C37" s="152"/>
      <c r="D37" s="152"/>
    </row>
    <row r="38" spans="1:4" x14ac:dyDescent="0.25">
      <c r="A38" s="4"/>
      <c r="B38" s="4"/>
      <c r="C38" s="4"/>
    </row>
    <row r="39" spans="1:4" x14ac:dyDescent="0.25">
      <c r="A39" s="150" t="s">
        <v>102</v>
      </c>
      <c r="B39" s="150"/>
      <c r="C39" s="150"/>
    </row>
    <row r="40" spans="1:4" x14ac:dyDescent="0.25">
      <c r="A40" s="150"/>
      <c r="B40" s="150"/>
      <c r="C40" s="150"/>
    </row>
    <row r="41" spans="1:4" x14ac:dyDescent="0.25">
      <c r="A41" s="150"/>
      <c r="B41" s="150"/>
      <c r="C41" s="150"/>
    </row>
    <row r="42" spans="1:4" ht="15" customHeight="1" x14ac:dyDescent="0.25">
      <c r="A42" s="150"/>
      <c r="B42" s="217" t="s">
        <v>373</v>
      </c>
      <c r="C42" s="217"/>
    </row>
    <row r="43" spans="1:4" x14ac:dyDescent="0.25">
      <c r="A43" s="150"/>
      <c r="B43" s="217"/>
      <c r="C43" s="217"/>
    </row>
    <row r="44" spans="1:4" x14ac:dyDescent="0.25">
      <c r="A44" s="150"/>
      <c r="B44" s="217"/>
      <c r="C44" s="217"/>
    </row>
    <row r="45" spans="1:4" x14ac:dyDescent="0.25">
      <c r="A45" s="150"/>
      <c r="B45" s="217"/>
      <c r="C45" s="217"/>
    </row>
  </sheetData>
  <sheetProtection password="B056" sheet="1" objects="1" scenarios="1"/>
  <mergeCells count="19">
    <mergeCell ref="L5:N5"/>
    <mergeCell ref="A5:A6"/>
    <mergeCell ref="D5:D6"/>
    <mergeCell ref="E5:E6"/>
    <mergeCell ref="F5:F6"/>
    <mergeCell ref="G5:G6"/>
    <mergeCell ref="H5:H6"/>
    <mergeCell ref="B5:B6"/>
    <mergeCell ref="A21:K21"/>
    <mergeCell ref="A27:A37"/>
    <mergeCell ref="C5:C6"/>
    <mergeCell ref="I5:K5"/>
    <mergeCell ref="F7:F20"/>
    <mergeCell ref="G7:G20"/>
    <mergeCell ref="A39:A45"/>
    <mergeCell ref="B39:C41"/>
    <mergeCell ref="B42:C45"/>
    <mergeCell ref="B27:D31"/>
    <mergeCell ref="B32:D3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workbookViewId="0">
      <selection activeCell="L24" sqref="L24"/>
    </sheetView>
  </sheetViews>
  <sheetFormatPr defaultRowHeight="15" customHeight="1" x14ac:dyDescent="0.25"/>
  <cols>
    <col min="1" max="1" width="33.85546875" customWidth="1"/>
    <col min="2" max="2" width="10.7109375" customWidth="1"/>
    <col min="3" max="3" width="13" customWidth="1"/>
    <col min="4" max="10" width="10.7109375" customWidth="1"/>
  </cols>
  <sheetData>
    <row r="1" spans="1:10" ht="15" customHeight="1" x14ac:dyDescent="0.25">
      <c r="A1" s="54" t="s">
        <v>244</v>
      </c>
      <c r="B1" s="32">
        <f>Dados!B17/(365*24)</f>
        <v>8.6740194063926932</v>
      </c>
      <c r="C1" s="32"/>
    </row>
    <row r="3" spans="1:10" s="4" customFormat="1" ht="15" customHeight="1" x14ac:dyDescent="0.25">
      <c r="A3" s="35" t="s">
        <v>376</v>
      </c>
      <c r="B3" s="74"/>
      <c r="C3" s="117"/>
      <c r="D3" s="74"/>
      <c r="E3" s="74"/>
      <c r="F3" s="78"/>
      <c r="G3" s="78"/>
    </row>
    <row r="4" spans="1:10" s="4" customFormat="1" ht="22.5" customHeight="1" x14ac:dyDescent="0.25">
      <c r="A4" s="237" t="s">
        <v>104</v>
      </c>
      <c r="B4" s="198" t="s">
        <v>416</v>
      </c>
      <c r="C4" s="198" t="s">
        <v>417</v>
      </c>
      <c r="D4" s="218" t="s">
        <v>190</v>
      </c>
      <c r="E4" s="118" t="s">
        <v>245</v>
      </c>
      <c r="F4" s="208" t="s">
        <v>233</v>
      </c>
      <c r="G4" s="209"/>
      <c r="H4" s="235" t="s">
        <v>109</v>
      </c>
      <c r="I4" s="236"/>
      <c r="J4" s="236"/>
    </row>
    <row r="5" spans="1:10" s="4" customFormat="1" ht="15" customHeight="1" x14ac:dyDescent="0.25">
      <c r="A5" s="238"/>
      <c r="B5" s="198"/>
      <c r="C5" s="198"/>
      <c r="D5" s="218"/>
      <c r="E5" s="76" t="s">
        <v>110</v>
      </c>
      <c r="F5" s="79" t="s">
        <v>114</v>
      </c>
      <c r="G5" s="79" t="s">
        <v>192</v>
      </c>
      <c r="H5" s="76" t="s">
        <v>110</v>
      </c>
      <c r="I5" s="76" t="s">
        <v>114</v>
      </c>
      <c r="J5" s="76" t="s">
        <v>192</v>
      </c>
    </row>
    <row r="6" spans="1:10" ht="15" customHeight="1" x14ac:dyDescent="0.25">
      <c r="A6" s="4" t="s">
        <v>400</v>
      </c>
      <c r="B6" s="89">
        <v>-20.400537</v>
      </c>
      <c r="C6" s="89">
        <v>-40.368993000000003</v>
      </c>
      <c r="D6" s="98">
        <v>2</v>
      </c>
      <c r="E6" s="74">
        <f>'FE-Iron and Steel'!C7</f>
        <v>0.15</v>
      </c>
      <c r="F6" s="32">
        <f>'FE-Iron and Steel'!D28/100</f>
        <v>0.24</v>
      </c>
      <c r="G6" s="32">
        <f>'FE-Iron and Steel'!D26/100</f>
        <v>0.15</v>
      </c>
      <c r="H6" s="32">
        <f>B1*E6</f>
        <v>1.3011029109589038</v>
      </c>
      <c r="I6" s="32">
        <f>H6*F6</f>
        <v>0.31226469863013689</v>
      </c>
      <c r="J6" s="32">
        <f>H6*G6</f>
        <v>0.19516543664383557</v>
      </c>
    </row>
    <row r="7" spans="1:10" ht="15" customHeight="1" x14ac:dyDescent="0.25">
      <c r="A7" s="190" t="s">
        <v>196</v>
      </c>
      <c r="B7" s="190"/>
      <c r="C7" s="190"/>
      <c r="D7" s="190"/>
      <c r="E7" s="190"/>
      <c r="F7" s="190"/>
      <c r="G7" s="190"/>
      <c r="H7" s="20">
        <f>SUM(H6:H6)</f>
        <v>1.3011029109589038</v>
      </c>
      <c r="I7" s="20">
        <f>SUM(I6:I6)</f>
        <v>0.31226469863013689</v>
      </c>
      <c r="J7" s="20">
        <f>SUM(J6:J6)</f>
        <v>0.19516543664383557</v>
      </c>
    </row>
  </sheetData>
  <sheetProtection password="B056" sheet="1" objects="1" scenarios="1"/>
  <mergeCells count="7">
    <mergeCell ref="A7:G7"/>
    <mergeCell ref="C4:C5"/>
    <mergeCell ref="H4:J4"/>
    <mergeCell ref="A4:A5"/>
    <mergeCell ref="B4:B5"/>
    <mergeCell ref="D4:D5"/>
    <mergeCell ref="F4:G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"/>
  <sheetViews>
    <sheetView topLeftCell="F1" zoomScaleNormal="100" workbookViewId="0">
      <selection activeCell="S26" sqref="S26"/>
    </sheetView>
  </sheetViews>
  <sheetFormatPr defaultRowHeight="15" x14ac:dyDescent="0.25"/>
  <cols>
    <col min="1" max="1" width="23.85546875" customWidth="1"/>
    <col min="2" max="3" width="17" customWidth="1"/>
    <col min="4" max="4" width="13.7109375" customWidth="1"/>
    <col min="5" max="5" width="26.85546875" customWidth="1"/>
    <col min="6" max="9" width="13.7109375" customWidth="1"/>
    <col min="10" max="21" width="10.7109375" customWidth="1"/>
  </cols>
  <sheetData>
    <row r="1" spans="1:21" x14ac:dyDescent="0.25">
      <c r="A1" s="35" t="s">
        <v>164</v>
      </c>
    </row>
    <row r="3" spans="1:21" x14ac:dyDescent="0.25">
      <c r="A3" s="237" t="s">
        <v>104</v>
      </c>
      <c r="B3" s="237" t="s">
        <v>22</v>
      </c>
      <c r="C3" s="237" t="s">
        <v>24</v>
      </c>
      <c r="D3" s="237" t="s">
        <v>105</v>
      </c>
      <c r="E3" s="237" t="s">
        <v>106</v>
      </c>
      <c r="F3" s="198" t="s">
        <v>416</v>
      </c>
      <c r="G3" s="198" t="s">
        <v>417</v>
      </c>
      <c r="H3" s="237" t="s">
        <v>26</v>
      </c>
      <c r="I3" s="237" t="s">
        <v>107</v>
      </c>
      <c r="J3" s="239" t="s">
        <v>108</v>
      </c>
      <c r="K3" s="240"/>
      <c r="L3" s="240"/>
      <c r="M3" s="240"/>
      <c r="N3" s="241"/>
      <c r="O3" s="239" t="s">
        <v>109</v>
      </c>
      <c r="P3" s="240"/>
      <c r="Q3" s="240"/>
      <c r="R3" s="240"/>
      <c r="S3" s="240"/>
      <c r="T3" s="240"/>
      <c r="U3" s="240"/>
    </row>
    <row r="4" spans="1:21" x14ac:dyDescent="0.25">
      <c r="A4" s="238"/>
      <c r="B4" s="238"/>
      <c r="C4" s="238"/>
      <c r="D4" s="238"/>
      <c r="E4" s="238"/>
      <c r="F4" s="198"/>
      <c r="G4" s="198"/>
      <c r="H4" s="238"/>
      <c r="I4" s="238"/>
      <c r="J4" s="18" t="s">
        <v>110</v>
      </c>
      <c r="K4" s="18" t="s">
        <v>111</v>
      </c>
      <c r="L4" s="18" t="s">
        <v>112</v>
      </c>
      <c r="M4" s="18" t="s">
        <v>113</v>
      </c>
      <c r="N4" s="18" t="s">
        <v>415</v>
      </c>
      <c r="O4" s="18" t="s">
        <v>110</v>
      </c>
      <c r="P4" s="18" t="s">
        <v>114</v>
      </c>
      <c r="Q4" s="18" t="s">
        <v>115</v>
      </c>
      <c r="R4" s="18" t="s">
        <v>111</v>
      </c>
      <c r="S4" s="18" t="s">
        <v>112</v>
      </c>
      <c r="T4" s="18" t="s">
        <v>113</v>
      </c>
      <c r="U4" s="18" t="s">
        <v>415</v>
      </c>
    </row>
    <row r="5" spans="1:21" x14ac:dyDescent="0.25">
      <c r="A5" s="38" t="str">
        <f>Dados!A22</f>
        <v>Pá Caregadeira</v>
      </c>
      <c r="B5" s="39" t="str">
        <f>Dados!B22</f>
        <v>Case</v>
      </c>
      <c r="C5" s="39" t="str">
        <f>Dados!C22</f>
        <v>621 D</v>
      </c>
      <c r="D5" s="74">
        <v>132</v>
      </c>
      <c r="E5" s="4" t="s">
        <v>97</v>
      </c>
      <c r="F5" s="74">
        <v>-20.401109999999999</v>
      </c>
      <c r="G5" s="87">
        <v>-40.369168000000002</v>
      </c>
      <c r="H5" s="3">
        <f>Dados!D22</f>
        <v>1</v>
      </c>
      <c r="I5" s="3">
        <f>Dados!E22</f>
        <v>14</v>
      </c>
      <c r="J5" s="86">
        <f>(INDEX(FE_Maq_Equip,MATCH($E5,Pot_Equip,0),2))</f>
        <v>3.4873730864910753E-2</v>
      </c>
      <c r="K5" s="86">
        <f>(INDEX(FE_Maq_Equip,MATCH($E5,Pot_Equip,0),3))</f>
        <v>0.62819014565488085</v>
      </c>
      <c r="L5" s="86">
        <f>(INDEX(FE_Maq_Equip,MATCH($E5,Pot_Equip,0),4))</f>
        <v>5.4259968788077681E-4</v>
      </c>
      <c r="M5" s="86">
        <f>(INDEX(FE_Maq_Equip,MATCH($E5,Pot_Equip,0),5))</f>
        <v>0.29143683660988179</v>
      </c>
      <c r="N5" s="86">
        <f>(INDEX(FE_Maq_Equip,MATCH($E5,Pot_Equip,0),6))</f>
        <v>7.9806989940830519E-2</v>
      </c>
      <c r="O5" s="86">
        <f>J5*H5*I5/24</f>
        <v>2.034300967119794E-2</v>
      </c>
      <c r="P5" s="86">
        <f>O5</f>
        <v>2.034300967119794E-2</v>
      </c>
      <c r="Q5" s="86">
        <f>O5</f>
        <v>2.034300967119794E-2</v>
      </c>
      <c r="R5" s="86">
        <f>K5*H5*I5/24</f>
        <v>0.36644425163201383</v>
      </c>
      <c r="S5" s="86">
        <f>L5*H5*I5/24</f>
        <v>3.1651648459711979E-4</v>
      </c>
      <c r="T5" s="86">
        <f>M5*H5*I5/24</f>
        <v>0.17000482135576436</v>
      </c>
      <c r="U5" s="86">
        <f>N5*H5*I5/24</f>
        <v>4.6554077465484477E-2</v>
      </c>
    </row>
    <row r="6" spans="1:21" x14ac:dyDescent="0.25">
      <c r="A6" s="38" t="str">
        <f>Dados!A23</f>
        <v>Pá Caregadeira</v>
      </c>
      <c r="B6" s="39" t="str">
        <f>Dados!B23</f>
        <v>Case</v>
      </c>
      <c r="C6" s="39" t="str">
        <f>Dados!C23</f>
        <v>W20 E</v>
      </c>
      <c r="D6" s="74">
        <v>152</v>
      </c>
      <c r="E6" s="4" t="s">
        <v>97</v>
      </c>
      <c r="F6" s="74">
        <v>-20.401109999999999</v>
      </c>
      <c r="G6" s="87">
        <v>-40.369168000000002</v>
      </c>
      <c r="H6" s="3">
        <f>Dados!D23</f>
        <v>2</v>
      </c>
      <c r="I6" s="3">
        <f>Dados!E23</f>
        <v>9</v>
      </c>
      <c r="J6" s="86">
        <f>(INDEX(FE_Maq_Equip,MATCH($E6,Pot_Equip,0),2))</f>
        <v>3.4873730864910753E-2</v>
      </c>
      <c r="K6" s="86">
        <f>(INDEX(FE_Maq_Equip,MATCH($E6,Pot_Equip,0),3))</f>
        <v>0.62819014565488085</v>
      </c>
      <c r="L6" s="86">
        <f>(INDEX(FE_Maq_Equip,MATCH($E6,Pot_Equip,0),4))</f>
        <v>5.4259968788077681E-4</v>
      </c>
      <c r="M6" s="86">
        <f>(INDEX(FE_Maq_Equip,MATCH($E6,Pot_Equip,0),5))</f>
        <v>0.29143683660988179</v>
      </c>
      <c r="N6" s="86">
        <f>(INDEX(FE_Maq_Equip,MATCH($E6,Pot_Equip,0),6))</f>
        <v>7.9806989940830519E-2</v>
      </c>
      <c r="O6" s="86">
        <f>J6*H6*I6/24</f>
        <v>2.6155298148683063E-2</v>
      </c>
      <c r="P6" s="86">
        <f>O6</f>
        <v>2.6155298148683063E-2</v>
      </c>
      <c r="Q6" s="86">
        <f>O6</f>
        <v>2.6155298148683063E-2</v>
      </c>
      <c r="R6" s="86">
        <f>K6*H6*I6/24</f>
        <v>0.47114260924116064</v>
      </c>
      <c r="S6" s="86">
        <f>L6*H6*I6/24</f>
        <v>4.0694976591058261E-4</v>
      </c>
      <c r="T6" s="86">
        <f>M6*H6*I6/24</f>
        <v>0.21857762745741136</v>
      </c>
      <c r="U6" s="86">
        <f>N6*H6*I6/24</f>
        <v>5.9855242455622883E-2</v>
      </c>
    </row>
    <row r="7" spans="1:21" x14ac:dyDescent="0.25">
      <c r="A7" s="190" t="s">
        <v>18</v>
      </c>
      <c r="B7" s="190"/>
      <c r="C7" s="190"/>
      <c r="D7" s="190"/>
      <c r="E7" s="190"/>
      <c r="F7" s="190"/>
      <c r="G7" s="190"/>
      <c r="H7" s="190"/>
      <c r="I7" s="190"/>
      <c r="J7" s="19"/>
      <c r="K7" s="19"/>
      <c r="L7" s="19"/>
      <c r="M7" s="19"/>
      <c r="N7" s="19"/>
      <c r="O7" s="20">
        <f>SUM(O5:O6)</f>
        <v>4.6498307819880999E-2</v>
      </c>
      <c r="P7" s="20">
        <f>SUM(P5:P6)</f>
        <v>4.6498307819880999E-2</v>
      </c>
      <c r="Q7" s="20">
        <f t="shared" ref="Q7:U7" si="0">SUM(Q5:Q6)</f>
        <v>4.6498307819880999E-2</v>
      </c>
      <c r="R7" s="20">
        <f t="shared" si="0"/>
        <v>0.83758686087317447</v>
      </c>
      <c r="S7" s="44">
        <f>SUM(S5:S6)</f>
        <v>7.2346625050770234E-4</v>
      </c>
      <c r="T7" s="20">
        <f>SUM(T5:T6)</f>
        <v>0.38858244881317572</v>
      </c>
      <c r="U7" s="20">
        <f t="shared" si="0"/>
        <v>0.10640931992110736</v>
      </c>
    </row>
  </sheetData>
  <sheetProtection password="B056" sheet="1" objects="1" scenarios="1"/>
  <mergeCells count="12">
    <mergeCell ref="I3:I4"/>
    <mergeCell ref="J3:N3"/>
    <mergeCell ref="O3:U3"/>
    <mergeCell ref="A7:I7"/>
    <mergeCell ref="B3:B4"/>
    <mergeCell ref="C3:C4"/>
    <mergeCell ref="A3:A4"/>
    <mergeCell ref="D3:D4"/>
    <mergeCell ref="E3:E4"/>
    <mergeCell ref="F3:F4"/>
    <mergeCell ref="G3:G4"/>
    <mergeCell ref="H3:H4"/>
  </mergeCells>
  <dataValidations disablePrompts="1" count="1">
    <dataValidation type="list" allowBlank="1" showInputMessage="1" showErrorMessage="1" sqref="E5:E6">
      <formula1>Pot_Equip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3"/>
  <sheetViews>
    <sheetView zoomScaleNormal="100" workbookViewId="0">
      <selection activeCell="L25" sqref="L25"/>
    </sheetView>
  </sheetViews>
  <sheetFormatPr defaultRowHeight="15" x14ac:dyDescent="0.25"/>
  <cols>
    <col min="1" max="1" width="19.140625" customWidth="1"/>
    <col min="2" max="5" width="13.85546875" customWidth="1"/>
    <col min="6" max="6" width="14.28515625" customWidth="1"/>
    <col min="7" max="7" width="10.42578125" customWidth="1"/>
    <col min="8" max="9" width="14.85546875" customWidth="1"/>
    <col min="10" max="12" width="12.7109375" customWidth="1"/>
  </cols>
  <sheetData>
    <row r="1" spans="1:26" x14ac:dyDescent="0.25">
      <c r="A1" s="4" t="s">
        <v>403</v>
      </c>
      <c r="B1" s="90">
        <f>Dados!B27</f>
        <v>2077</v>
      </c>
    </row>
    <row r="2" spans="1:26" x14ac:dyDescent="0.25">
      <c r="A2" s="4" t="s">
        <v>401</v>
      </c>
      <c r="B2" s="129">
        <f>Dados!B29</f>
        <v>16</v>
      </c>
    </row>
    <row r="3" spans="1:26" x14ac:dyDescent="0.25">
      <c r="A3" s="4" t="s">
        <v>402</v>
      </c>
      <c r="B3" s="127">
        <v>6</v>
      </c>
    </row>
    <row r="5" spans="1:26" x14ac:dyDescent="0.25">
      <c r="A5" s="35" t="s">
        <v>376</v>
      </c>
    </row>
    <row r="6" spans="1:26" ht="15" customHeight="1" x14ac:dyDescent="0.25">
      <c r="A6" s="234" t="s">
        <v>158</v>
      </c>
      <c r="B6" s="234" t="s">
        <v>66</v>
      </c>
      <c r="C6" s="198" t="s">
        <v>416</v>
      </c>
      <c r="D6" s="198" t="s">
        <v>417</v>
      </c>
      <c r="E6" s="234" t="s">
        <v>406</v>
      </c>
      <c r="F6" s="234" t="s">
        <v>405</v>
      </c>
      <c r="G6" s="234" t="s">
        <v>404</v>
      </c>
      <c r="H6" s="221" t="s">
        <v>159</v>
      </c>
      <c r="I6" s="221" t="s">
        <v>407</v>
      </c>
      <c r="J6" s="242" t="s">
        <v>408</v>
      </c>
      <c r="K6" s="243"/>
      <c r="L6" s="243"/>
      <c r="M6" s="234" t="s">
        <v>160</v>
      </c>
      <c r="N6" s="234"/>
      <c r="O6" s="234"/>
      <c r="P6" s="234"/>
      <c r="Q6" s="234"/>
      <c r="R6" s="234"/>
      <c r="S6" s="234"/>
      <c r="T6" s="231" t="s">
        <v>109</v>
      </c>
      <c r="U6" s="231"/>
      <c r="V6" s="231"/>
      <c r="W6" s="231"/>
      <c r="X6" s="231"/>
      <c r="Y6" s="231"/>
      <c r="Z6" s="231"/>
    </row>
    <row r="7" spans="1:26" x14ac:dyDescent="0.25">
      <c r="A7" s="234"/>
      <c r="B7" s="234"/>
      <c r="C7" s="198"/>
      <c r="D7" s="198"/>
      <c r="E7" s="234"/>
      <c r="F7" s="234"/>
      <c r="G7" s="234"/>
      <c r="H7" s="222"/>
      <c r="I7" s="222"/>
      <c r="J7" s="36" t="s">
        <v>110</v>
      </c>
      <c r="K7" s="36" t="s">
        <v>114</v>
      </c>
      <c r="L7" s="37" t="s">
        <v>115</v>
      </c>
      <c r="M7" s="36" t="s">
        <v>110</v>
      </c>
      <c r="N7" s="36" t="s">
        <v>114</v>
      </c>
      <c r="O7" s="36" t="s">
        <v>115</v>
      </c>
      <c r="P7" s="36" t="s">
        <v>111</v>
      </c>
      <c r="Q7" s="36" t="s">
        <v>112</v>
      </c>
      <c r="R7" s="36" t="s">
        <v>113</v>
      </c>
      <c r="S7" s="132" t="s">
        <v>415</v>
      </c>
      <c r="T7" s="36" t="s">
        <v>110</v>
      </c>
      <c r="U7" s="36" t="s">
        <v>114</v>
      </c>
      <c r="V7" s="36" t="s">
        <v>115</v>
      </c>
      <c r="W7" s="36" t="s">
        <v>111</v>
      </c>
      <c r="X7" s="36" t="s">
        <v>112</v>
      </c>
      <c r="Y7" s="36" t="s">
        <v>113</v>
      </c>
      <c r="Z7" s="36" t="s">
        <v>415</v>
      </c>
    </row>
    <row r="8" spans="1:26" s="43" customFormat="1" x14ac:dyDescent="0.25">
      <c r="A8" s="38" t="s">
        <v>161</v>
      </c>
      <c r="B8" s="39" t="s">
        <v>162</v>
      </c>
      <c r="C8" s="39">
        <v>-20.399474000000001</v>
      </c>
      <c r="D8" s="39">
        <v>-40.369737000000001</v>
      </c>
      <c r="E8" s="39">
        <v>85.7</v>
      </c>
      <c r="F8" s="40">
        <f>Dados!$B$27/(30*24)</f>
        <v>2.8847222222222224</v>
      </c>
      <c r="G8" s="41">
        <f t="shared" ref="G8:G13" si="0">2*(E8*F8/1000)</f>
        <v>0.49444138888888894</v>
      </c>
      <c r="H8" s="39" t="s">
        <v>65</v>
      </c>
      <c r="I8" s="39">
        <v>55</v>
      </c>
      <c r="J8" s="23">
        <f>('FE-Vias'!$D$6*((B3/12)^'FE-Vias'!$D$7)*((B2/3)^'FE-Vias'!$D$8)*'FE-Vias'!$B$9/1000)*'FE-Vias'!$G$16</f>
        <v>1.3507947657182175</v>
      </c>
      <c r="K8" s="23">
        <f>('FE-Vias'!$C$6*((B3/12)^'FE-Vias'!$C$7)*((B2/3)^'FE-Vias'!$C$8)*'FE-Vias'!$B$9/1000)*'FE-Vias'!$G$16</f>
        <v>0.3599801461816684</v>
      </c>
      <c r="L8" s="23">
        <f>('FE-Vias'!$B$6*((B3/12)^'FE-Vias'!$B$7)*((B2/3)^'FE-Vias'!$B$8)*'FE-Vias'!$B$9/1000)*'FE-Vias'!$G$16</f>
        <v>3.5998014618166839E-2</v>
      </c>
      <c r="M8" s="66">
        <f>'FE-Vias'!$B$24/1000</f>
        <v>1.7489827604766657E-4</v>
      </c>
      <c r="N8" s="66">
        <f>'FE-Vias'!$C$24/1000</f>
        <v>1.7489827604766657E-4</v>
      </c>
      <c r="O8" s="66">
        <f>'FE-Vias'!$D$24/1000</f>
        <v>1.7489827604766657E-4</v>
      </c>
      <c r="P8" s="66">
        <f>'FE-Vias'!$E$24/1000</f>
        <v>5.4345140567386742E-3</v>
      </c>
      <c r="Q8" s="109">
        <f>'FE-Vias'!$F$24/1000</f>
        <v>2.1032135261668511E-4</v>
      </c>
      <c r="R8" s="66">
        <f>'FE-Vias'!$G$24/1000</f>
        <v>1.0383730075038094E-3</v>
      </c>
      <c r="S8" s="66">
        <f>'FE-Vias'!$H$24/1000</f>
        <v>2.4766340643796463E-4</v>
      </c>
      <c r="T8" s="49">
        <f t="shared" ref="T8:T13" si="1">(J8*G8*(1-I8/100))+(M8*G8)</f>
        <v>0.30063645497602387</v>
      </c>
      <c r="U8" s="42">
        <f t="shared" ref="U8:U13" si="2">(K8*G8*(1-I8/100))+(N8*G8)</f>
        <v>8.0181564499243491E-2</v>
      </c>
      <c r="V8" s="42">
        <f t="shared" ref="V8:V13" si="3">(L8*G8*(1-I8/100))+(O8*G8)</f>
        <v>8.0959857017953024E-3</v>
      </c>
      <c r="W8" s="42">
        <f t="shared" ref="W8:W13" si="4">P8*G8</f>
        <v>2.6870486781500605E-3</v>
      </c>
      <c r="X8" s="42">
        <f t="shared" ref="X8:X13" si="5">Q8*G8</f>
        <v>1.0399158170078354E-4</v>
      </c>
      <c r="Y8" s="42">
        <f t="shared" ref="Y8:Y13" si="6">R8*G8</f>
        <v>5.1341459201491627E-4</v>
      </c>
      <c r="Z8" s="42">
        <f t="shared" ref="Z8:Z13" si="7">S8*G8</f>
        <v>1.2245503865614062E-4</v>
      </c>
    </row>
    <row r="9" spans="1:26" s="43" customFormat="1" x14ac:dyDescent="0.25">
      <c r="A9" s="38" t="s">
        <v>163</v>
      </c>
      <c r="B9" s="39" t="s">
        <v>162</v>
      </c>
      <c r="C9" s="39">
        <v>-20.399711</v>
      </c>
      <c r="D9" s="39">
        <v>-40.368957000000002</v>
      </c>
      <c r="E9" s="39">
        <v>172</v>
      </c>
      <c r="F9" s="40">
        <f>F8/3</f>
        <v>0.96157407407407414</v>
      </c>
      <c r="G9" s="41">
        <f t="shared" si="0"/>
        <v>0.33078148148148145</v>
      </c>
      <c r="H9" s="39" t="s">
        <v>65</v>
      </c>
      <c r="I9" s="39">
        <v>55</v>
      </c>
      <c r="J9" s="23">
        <f>('FE-Vias'!$D$6*((B3/12)^'FE-Vias'!$D$7)*((B2/3)^'FE-Vias'!$D$8)*'FE-Vias'!$B$9/1000)*'FE-Vias'!$G$16</f>
        <v>1.3507947657182175</v>
      </c>
      <c r="K9" s="23">
        <f>('FE-Vias'!$C$6*((B3/12)^'FE-Vias'!$C$7)*((B2/3)^'FE-Vias'!$C$8)*'FE-Vias'!$B$9/1000)*'FE-Vias'!$G$16</f>
        <v>0.3599801461816684</v>
      </c>
      <c r="L9" s="23">
        <f>('FE-Vias'!$B$6*((B3/12)^'FE-Vias'!$B$7)*((B2/3)^'FE-Vias'!$B$8)*'FE-Vias'!$B$9/1000)*'FE-Vias'!$G$16</f>
        <v>3.5998014618166839E-2</v>
      </c>
      <c r="M9" s="66">
        <f>'FE-Vias'!$B$24/1000</f>
        <v>1.7489827604766657E-4</v>
      </c>
      <c r="N9" s="66">
        <f>'FE-Vias'!$C$24/1000</f>
        <v>1.7489827604766657E-4</v>
      </c>
      <c r="O9" s="66">
        <f>'FE-Vias'!$D$24/1000</f>
        <v>1.7489827604766657E-4</v>
      </c>
      <c r="P9" s="66">
        <f>'FE-Vias'!$E$24/1000</f>
        <v>5.4345140567386742E-3</v>
      </c>
      <c r="Q9" s="109">
        <f>'FE-Vias'!$F$24/1000</f>
        <v>2.1032135261668511E-4</v>
      </c>
      <c r="R9" s="66">
        <f>'FE-Vias'!$G$24/1000</f>
        <v>1.0383730075038094E-3</v>
      </c>
      <c r="S9" s="66">
        <f>'FE-Vias'!$H$24/1000</f>
        <v>2.4766340643796463E-4</v>
      </c>
      <c r="T9" s="49">
        <f t="shared" si="1"/>
        <v>0.20112590531262578</v>
      </c>
      <c r="U9" s="42">
        <f t="shared" si="2"/>
        <v>5.3641497836911238E-2</v>
      </c>
      <c r="V9" s="42">
        <f t="shared" si="3"/>
        <v>5.4162175834647679E-3</v>
      </c>
      <c r="W9" s="42">
        <f t="shared" si="4"/>
        <v>1.7976366108199543E-3</v>
      </c>
      <c r="X9" s="42">
        <f t="shared" si="5"/>
        <v>6.957040860573616E-5</v>
      </c>
      <c r="Y9" s="42">
        <f t="shared" si="6"/>
        <v>3.4347456175249155E-4</v>
      </c>
      <c r="Z9" s="42">
        <f t="shared" si="7"/>
        <v>8.1922468490300217E-5</v>
      </c>
    </row>
    <row r="10" spans="1:26" s="43" customFormat="1" x14ac:dyDescent="0.25">
      <c r="A10" s="38" t="s">
        <v>412</v>
      </c>
      <c r="B10" s="39" t="s">
        <v>162</v>
      </c>
      <c r="C10" s="39">
        <v>-20.400254</v>
      </c>
      <c r="D10" s="39">
        <v>-40.369216000000002</v>
      </c>
      <c r="E10" s="39">
        <v>22.4</v>
      </c>
      <c r="F10" s="40">
        <f>F9*0.2</f>
        <v>0.19231481481481483</v>
      </c>
      <c r="G10" s="41">
        <f t="shared" si="0"/>
        <v>8.6157037037037035E-3</v>
      </c>
      <c r="H10" s="39" t="s">
        <v>65</v>
      </c>
      <c r="I10" s="39">
        <v>55</v>
      </c>
      <c r="J10" s="23">
        <f>('FE-Vias'!$D$6*((B3/12)^'FE-Vias'!$D$7)*((B2/3)^'FE-Vias'!$D$8)*'FE-Vias'!$B$9/1000)*'FE-Vias'!$G$16</f>
        <v>1.3507947657182175</v>
      </c>
      <c r="K10" s="23">
        <f>('FE-Vias'!$C$6*((B3/12)^'FE-Vias'!$C$7)*((B2/3)^'FE-Vias'!$C$8)*'FE-Vias'!$B$9/1000)*'FE-Vias'!$G$16</f>
        <v>0.3599801461816684</v>
      </c>
      <c r="L10" s="23">
        <f>('FE-Vias'!$B$6*((B3/12)^'FE-Vias'!$B$7)*((B2/3)^'FE-Vias'!$B$8)*'FE-Vias'!$B$9/1000)*'FE-Vias'!$G$16</f>
        <v>3.5998014618166839E-2</v>
      </c>
      <c r="M10" s="66">
        <f>'FE-Vias'!$B$24/1000</f>
        <v>1.7489827604766657E-4</v>
      </c>
      <c r="N10" s="66">
        <f>'FE-Vias'!$C$24/1000</f>
        <v>1.7489827604766657E-4</v>
      </c>
      <c r="O10" s="66">
        <f>'FE-Vias'!$D$24/1000</f>
        <v>1.7489827604766657E-4</v>
      </c>
      <c r="P10" s="66">
        <f>'FE-Vias'!$E$24/1000</f>
        <v>5.4345140567386742E-3</v>
      </c>
      <c r="Q10" s="109">
        <f>'FE-Vias'!$F$24/1000</f>
        <v>2.1032135261668511E-4</v>
      </c>
      <c r="R10" s="66">
        <f>'FE-Vias'!$G$24/1000</f>
        <v>1.0383730075038094E-3</v>
      </c>
      <c r="S10" s="66">
        <f>'FE-Vias'!$H$24/1000</f>
        <v>2.4766340643796463E-4</v>
      </c>
      <c r="T10" s="49">
        <f t="shared" si="1"/>
        <v>5.2386282313986246E-3</v>
      </c>
      <c r="U10" s="42">
        <f t="shared" si="2"/>
        <v>1.3971738971474558E-3</v>
      </c>
      <c r="V10" s="42">
        <f t="shared" si="3"/>
        <v>1.4107357426698929E-4</v>
      </c>
      <c r="W10" s="42">
        <f t="shared" si="4"/>
        <v>4.6822162886473237E-5</v>
      </c>
      <c r="X10" s="42">
        <f t="shared" si="5"/>
        <v>1.8120664567075466E-6</v>
      </c>
      <c r="Y10" s="42">
        <f t="shared" si="6"/>
        <v>8.9463141665765247E-6</v>
      </c>
      <c r="Z10" s="42">
        <f t="shared" si="7"/>
        <v>2.1337945281194476E-6</v>
      </c>
    </row>
    <row r="11" spans="1:26" s="43" customFormat="1" x14ac:dyDescent="0.25">
      <c r="A11" s="38" t="s">
        <v>177</v>
      </c>
      <c r="B11" s="39" t="s">
        <v>162</v>
      </c>
      <c r="C11" s="39">
        <v>-20.399711</v>
      </c>
      <c r="D11" s="39">
        <v>-40.368957000000002</v>
      </c>
      <c r="E11" s="39">
        <v>131</v>
      </c>
      <c r="F11" s="40">
        <f>F8-F9</f>
        <v>1.9231481481481483</v>
      </c>
      <c r="G11" s="41">
        <f t="shared" si="0"/>
        <v>0.50386481481481482</v>
      </c>
      <c r="H11" s="39" t="s">
        <v>65</v>
      </c>
      <c r="I11" s="39">
        <v>55</v>
      </c>
      <c r="J11" s="23">
        <f>('FE-Vias'!$D$6*((B3/12)^'FE-Vias'!$D$7)*((B2/3)^'FE-Vias'!$D$8)*'FE-Vias'!$B$9/1000)*'FE-Vias'!$G$16</f>
        <v>1.3507947657182175</v>
      </c>
      <c r="K11" s="23">
        <f>('FE-Vias'!$C$6*((B3/12)^'FE-Vias'!$C$7)*((B2/3)^'FE-Vias'!$C$8)*'FE-Vias'!$B$9/1000)*'FE-Vias'!$G$16</f>
        <v>0.3599801461816684</v>
      </c>
      <c r="L11" s="23">
        <f>('FE-Vias'!$B$6*((B3/12)^'FE-Vias'!$B$7)*((B2/3)^'FE-Vias'!$B$8)*'FE-Vias'!$B$9/1000)*'FE-Vias'!$G$16</f>
        <v>3.5998014618166839E-2</v>
      </c>
      <c r="M11" s="66">
        <f>'FE-Vias'!$B$24/1000</f>
        <v>1.7489827604766657E-4</v>
      </c>
      <c r="N11" s="66">
        <f>'FE-Vias'!$C$24/1000</f>
        <v>1.7489827604766657E-4</v>
      </c>
      <c r="O11" s="66">
        <f>'FE-Vias'!$D$24/1000</f>
        <v>1.7489827604766657E-4</v>
      </c>
      <c r="P11" s="66">
        <f>'FE-Vias'!$E$24/1000</f>
        <v>5.4345140567386742E-3</v>
      </c>
      <c r="Q11" s="109">
        <f>'FE-Vias'!$F$24/1000</f>
        <v>2.1032135261668511E-4</v>
      </c>
      <c r="R11" s="66">
        <f>'FE-Vias'!$G$24/1000</f>
        <v>1.0383730075038094E-3</v>
      </c>
      <c r="S11" s="66">
        <f>'FE-Vias'!$H$24/1000</f>
        <v>2.4766340643796463E-4</v>
      </c>
      <c r="T11" s="49">
        <f t="shared" si="1"/>
        <v>0.30636620460411601</v>
      </c>
      <c r="U11" s="42">
        <f t="shared" si="2"/>
        <v>8.1709723449248525E-2</v>
      </c>
      <c r="V11" s="42">
        <f t="shared" si="3"/>
        <v>8.2502849236498199E-3</v>
      </c>
      <c r="W11" s="42">
        <f t="shared" si="4"/>
        <v>2.7382604188071402E-3</v>
      </c>
      <c r="X11" s="42">
        <f t="shared" si="5"/>
        <v>1.0597352938780742E-4</v>
      </c>
      <c r="Y11" s="42">
        <f t="shared" si="6"/>
        <v>5.2319962313460925E-4</v>
      </c>
      <c r="Z11" s="42">
        <f t="shared" si="7"/>
        <v>1.2478887642127128E-4</v>
      </c>
    </row>
    <row r="12" spans="1:26" s="43" customFormat="1" x14ac:dyDescent="0.25">
      <c r="A12" s="38" t="s">
        <v>410</v>
      </c>
      <c r="B12" s="39" t="s">
        <v>162</v>
      </c>
      <c r="C12" s="39">
        <v>-20.399345</v>
      </c>
      <c r="D12" s="39">
        <v>-40.367781000000001</v>
      </c>
      <c r="E12" s="39">
        <v>25.4</v>
      </c>
      <c r="F12" s="40">
        <f>F11/2</f>
        <v>0.96157407407407414</v>
      </c>
      <c r="G12" s="41">
        <f t="shared" si="0"/>
        <v>4.8847962962962961E-2</v>
      </c>
      <c r="H12" s="39" t="s">
        <v>65</v>
      </c>
      <c r="I12" s="39">
        <v>55</v>
      </c>
      <c r="J12" s="23">
        <f>('FE-Vias'!$D$6*((B3/12)^'FE-Vias'!$D$7)*((B2/3)^'FE-Vias'!$D$8)*'FE-Vias'!$B$9/1000)*'FE-Vias'!$G$16</f>
        <v>1.3507947657182175</v>
      </c>
      <c r="K12" s="23">
        <f>('FE-Vias'!$C$6*((B3/12)^'FE-Vias'!$C$7)*((B2/3)^'FE-Vias'!$C$8)*'FE-Vias'!$B$9/1000)*'FE-Vias'!$G$16</f>
        <v>0.3599801461816684</v>
      </c>
      <c r="L12" s="23">
        <f>('FE-Vias'!$B$6*((B3/12)^'FE-Vias'!$B$7)*((B2/3)^'FE-Vias'!$B$8)*'FE-Vias'!$B$9/1000)*'FE-Vias'!$G$16</f>
        <v>3.5998014618166839E-2</v>
      </c>
      <c r="M12" s="66">
        <f>'FE-Vias'!$B$24/1000</f>
        <v>1.7489827604766657E-4</v>
      </c>
      <c r="N12" s="66">
        <f>'FE-Vias'!$C$24/1000</f>
        <v>1.7489827604766657E-4</v>
      </c>
      <c r="O12" s="66">
        <f>'FE-Vias'!$D$24/1000</f>
        <v>1.7489827604766657E-4</v>
      </c>
      <c r="P12" s="66">
        <f>'FE-Vias'!$E$24/1000</f>
        <v>5.4345140567386742E-3</v>
      </c>
      <c r="Q12" s="109">
        <f>'FE-Vias'!$F$24/1000</f>
        <v>2.1032135261668511E-4</v>
      </c>
      <c r="R12" s="66">
        <f>'FE-Vias'!$G$24/1000</f>
        <v>1.0383730075038094E-3</v>
      </c>
      <c r="S12" s="66">
        <f>'FE-Vias'!$H$24/1000</f>
        <v>2.4766340643796463E-4</v>
      </c>
      <c r="T12" s="49">
        <f t="shared" si="1"/>
        <v>2.9701151133376132E-2</v>
      </c>
      <c r="U12" s="42">
        <f t="shared" si="2"/>
        <v>7.9214770061485206E-3</v>
      </c>
      <c r="V12" s="42">
        <f t="shared" si="3"/>
        <v>7.9983678267444831E-4</v>
      </c>
      <c r="W12" s="42">
        <f t="shared" si="4"/>
        <v>2.6546494136527233E-4</v>
      </c>
      <c r="X12" s="42">
        <f t="shared" si="5"/>
        <v>1.0273769642940108E-5</v>
      </c>
      <c r="Y12" s="42">
        <f t="shared" si="6"/>
        <v>5.0722406212286545E-5</v>
      </c>
      <c r="Z12" s="42">
        <f t="shared" si="7"/>
        <v>1.2097852904962938E-5</v>
      </c>
    </row>
    <row r="13" spans="1:26" s="43" customFormat="1" x14ac:dyDescent="0.25">
      <c r="A13" s="38" t="s">
        <v>409</v>
      </c>
      <c r="B13" s="39" t="s">
        <v>162</v>
      </c>
      <c r="C13" s="39">
        <v>-20.399345</v>
      </c>
      <c r="D13" s="39">
        <v>-40.367781000000001</v>
      </c>
      <c r="E13" s="39">
        <v>94.4</v>
      </c>
      <c r="F13" s="40">
        <f>F11/2</f>
        <v>0.96157407407407414</v>
      </c>
      <c r="G13" s="41">
        <f t="shared" si="0"/>
        <v>0.1815451851851852</v>
      </c>
      <c r="H13" s="39" t="s">
        <v>65</v>
      </c>
      <c r="I13" s="39">
        <v>55</v>
      </c>
      <c r="J13" s="23">
        <f>('FE-Vias'!$D$6*((B3/12)^'FE-Vias'!$D$7)*((B2/3)^'FE-Vias'!$D$8)*'FE-Vias'!$B$9/1000)*'FE-Vias'!$G$16</f>
        <v>1.3507947657182175</v>
      </c>
      <c r="K13" s="23">
        <f>('FE-Vias'!$C$6*((B3/12)^'FE-Vias'!$C$7)*((B2/3)^'FE-Vias'!$C$8)*'FE-Vias'!$B$9/1000)*'FE-Vias'!$G$16</f>
        <v>0.3599801461816684</v>
      </c>
      <c r="L13" s="23">
        <f>('FE-Vias'!$B$6*((B3/12)^'FE-Vias'!$B$7)*((B2/3)^'FE-Vias'!$B$8)*'FE-Vias'!$B$9/1000)*'FE-Vias'!$G$16</f>
        <v>3.5998014618166839E-2</v>
      </c>
      <c r="M13" s="66">
        <f>'FE-Vias'!$B$24/1000</f>
        <v>1.7489827604766657E-4</v>
      </c>
      <c r="N13" s="66">
        <f>'FE-Vias'!$C$24/1000</f>
        <v>1.7489827604766657E-4</v>
      </c>
      <c r="O13" s="66">
        <f>'FE-Vias'!$D$24/1000</f>
        <v>1.7489827604766657E-4</v>
      </c>
      <c r="P13" s="66">
        <f>'FE-Vias'!$E$24/1000</f>
        <v>5.4345140567386742E-3</v>
      </c>
      <c r="Q13" s="109">
        <f>'FE-Vias'!$F$24/1000</f>
        <v>2.1032135261668511E-4</v>
      </c>
      <c r="R13" s="66">
        <f>'FE-Vias'!$G$24/1000</f>
        <v>1.0383730075038094E-3</v>
      </c>
      <c r="S13" s="66">
        <f>'FE-Vias'!$H$24/1000</f>
        <v>2.4766340643796463E-4</v>
      </c>
      <c r="T13" s="49">
        <f t="shared" si="1"/>
        <v>0.11038538059018534</v>
      </c>
      <c r="U13" s="42">
        <f t="shared" si="2"/>
        <v>2.9440449975607106E-2</v>
      </c>
      <c r="V13" s="42">
        <f t="shared" si="3"/>
        <v>2.9726217434829895E-3</v>
      </c>
      <c r="W13" s="42">
        <f t="shared" si="4"/>
        <v>9.866098608221146E-4</v>
      </c>
      <c r="X13" s="42">
        <f t="shared" si="5"/>
        <v>3.8182828909194737E-5</v>
      </c>
      <c r="Y13" s="42">
        <f t="shared" si="6"/>
        <v>1.8851161993857678E-4</v>
      </c>
      <c r="Z13" s="42">
        <f t="shared" si="7"/>
        <v>4.4962098985374077E-5</v>
      </c>
    </row>
    <row r="14" spans="1:26" x14ac:dyDescent="0.25">
      <c r="A14" s="190" t="s">
        <v>196</v>
      </c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44">
        <f t="shared" ref="T14:Z14" si="8">SUM(T8:T13)</f>
        <v>0.95345372484772573</v>
      </c>
      <c r="U14" s="44">
        <f t="shared" si="8"/>
        <v>0.25429188666430635</v>
      </c>
      <c r="V14" s="44">
        <f t="shared" si="8"/>
        <v>2.5676020309334316E-2</v>
      </c>
      <c r="W14" s="44">
        <f t="shared" si="8"/>
        <v>8.5218426728510162E-3</v>
      </c>
      <c r="X14" s="44">
        <f t="shared" si="8"/>
        <v>3.2980418470316954E-4</v>
      </c>
      <c r="Y14" s="44">
        <f t="shared" si="8"/>
        <v>1.6282691172194569E-3</v>
      </c>
      <c r="Z14" s="44">
        <f t="shared" si="8"/>
        <v>3.8836012998616856E-4</v>
      </c>
    </row>
    <row r="15" spans="1:26" x14ac:dyDescent="0.25">
      <c r="H15" s="45"/>
    </row>
    <row r="16" spans="1:26" x14ac:dyDescent="0.25">
      <c r="B16" s="46"/>
    </row>
    <row r="23" spans="5:5" x14ac:dyDescent="0.25">
      <c r="E23" s="130" t="s">
        <v>411</v>
      </c>
    </row>
  </sheetData>
  <sheetProtection password="B056" sheet="1" objects="1" scenarios="1"/>
  <mergeCells count="13">
    <mergeCell ref="T6:Z6"/>
    <mergeCell ref="A14:S14"/>
    <mergeCell ref="F6:F7"/>
    <mergeCell ref="G6:G7"/>
    <mergeCell ref="H6:H7"/>
    <mergeCell ref="A6:A7"/>
    <mergeCell ref="B6:B7"/>
    <mergeCell ref="C6:C7"/>
    <mergeCell ref="D6:D7"/>
    <mergeCell ref="E6:E7"/>
    <mergeCell ref="I6:I7"/>
    <mergeCell ref="J6:L6"/>
    <mergeCell ref="M6:S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E19" sqref="E19"/>
    </sheetView>
  </sheetViews>
  <sheetFormatPr defaultRowHeight="15" x14ac:dyDescent="0.25"/>
  <cols>
    <col min="1" max="1" width="21.42578125" customWidth="1"/>
  </cols>
  <sheetData>
    <row r="1" spans="1:8" x14ac:dyDescent="0.25">
      <c r="A1" s="244" t="s">
        <v>197</v>
      </c>
      <c r="B1" s="239" t="s">
        <v>109</v>
      </c>
      <c r="C1" s="240"/>
      <c r="D1" s="240"/>
      <c r="E1" s="240"/>
      <c r="F1" s="240"/>
      <c r="G1" s="240"/>
      <c r="H1" s="240"/>
    </row>
    <row r="2" spans="1:8" x14ac:dyDescent="0.25">
      <c r="A2" s="244"/>
      <c r="B2" s="18" t="s">
        <v>110</v>
      </c>
      <c r="C2" s="18" t="s">
        <v>114</v>
      </c>
      <c r="D2" s="18" t="s">
        <v>115</v>
      </c>
      <c r="E2" s="18" t="s">
        <v>111</v>
      </c>
      <c r="F2" s="18" t="s">
        <v>112</v>
      </c>
      <c r="G2" s="18" t="s">
        <v>113</v>
      </c>
      <c r="H2" s="18" t="s">
        <v>415</v>
      </c>
    </row>
    <row r="3" spans="1:8" x14ac:dyDescent="0.25">
      <c r="A3" s="4" t="s">
        <v>30</v>
      </c>
      <c r="B3" s="58">
        <f>'Emissão Chaminés'!S15</f>
        <v>4.1277337041613107</v>
      </c>
      <c r="C3" s="58">
        <f>'Emissão Chaminés'!T15</f>
        <v>3.1000264848880468</v>
      </c>
      <c r="D3" s="58">
        <f>'Emissão Chaminés'!U15</f>
        <v>1.1542074599088792</v>
      </c>
      <c r="E3" s="58">
        <f>'Emissão Chaminés'!V15</f>
        <v>6.9392155251141549E-2</v>
      </c>
      <c r="F3" s="58">
        <f>'Emissão Chaminés'!W15</f>
        <v>6.5922547488584463E-2</v>
      </c>
      <c r="G3" s="58">
        <f>'Emissão Chaminés'!X15</f>
        <v>0.23419852397260271</v>
      </c>
      <c r="H3" s="123" t="s">
        <v>17</v>
      </c>
    </row>
    <row r="4" spans="1:8" x14ac:dyDescent="0.25">
      <c r="A4" s="4" t="s">
        <v>198</v>
      </c>
      <c r="B4" s="32">
        <f>'Emissão Transferências'!L21</f>
        <v>0.43264844364692795</v>
      </c>
      <c r="C4" s="32">
        <f>'Emissão Transferências'!M21</f>
        <v>6.1650039562736209E-2</v>
      </c>
      <c r="D4" s="128">
        <f>'Emissão Transferências'!N21</f>
        <v>1.0815747990928626E-2</v>
      </c>
      <c r="E4" s="123" t="s">
        <v>17</v>
      </c>
      <c r="F4" s="123" t="s">
        <v>17</v>
      </c>
      <c r="G4" s="123" t="s">
        <v>17</v>
      </c>
      <c r="H4" s="123" t="s">
        <v>17</v>
      </c>
    </row>
    <row r="5" spans="1:8" x14ac:dyDescent="0.25">
      <c r="A5" s="4" t="s">
        <v>414</v>
      </c>
      <c r="B5" s="58">
        <v>0.42469736621078313</v>
      </c>
      <c r="C5" s="58">
        <v>0.21234868310539157</v>
      </c>
      <c r="D5" s="58">
        <v>3.1852302465808738E-2</v>
      </c>
      <c r="E5" s="5" t="s">
        <v>17</v>
      </c>
      <c r="F5" s="123" t="s">
        <v>17</v>
      </c>
      <c r="G5" s="123" t="s">
        <v>17</v>
      </c>
      <c r="H5" s="123" t="s">
        <v>17</v>
      </c>
    </row>
    <row r="6" spans="1:8" x14ac:dyDescent="0.25">
      <c r="A6" s="4" t="s">
        <v>413</v>
      </c>
      <c r="B6" s="58">
        <f>'Emissão Fugitiva'!H7</f>
        <v>1.3011029109589038</v>
      </c>
      <c r="C6" s="58">
        <f>'Emissão Fugitiva'!I7</f>
        <v>0.31226469863013689</v>
      </c>
      <c r="D6" s="58">
        <f>'Emissão Fugitiva'!J7</f>
        <v>0.19516543664383557</v>
      </c>
      <c r="E6" s="123" t="s">
        <v>17</v>
      </c>
      <c r="F6" s="123" t="s">
        <v>17</v>
      </c>
      <c r="G6" s="123" t="s">
        <v>17</v>
      </c>
      <c r="H6" s="123" t="s">
        <v>17</v>
      </c>
    </row>
    <row r="7" spans="1:8" x14ac:dyDescent="0.25">
      <c r="A7" s="4" t="s">
        <v>19</v>
      </c>
      <c r="B7" s="32">
        <f>'Emissão Maq e Equip'!O7</f>
        <v>4.6498307819880999E-2</v>
      </c>
      <c r="C7" s="32">
        <f>'Emissão Maq e Equip'!P7</f>
        <v>4.6498307819880999E-2</v>
      </c>
      <c r="D7" s="32">
        <f>'Emissão Maq e Equip'!Q7</f>
        <v>4.6498307819880999E-2</v>
      </c>
      <c r="E7" s="32">
        <f>'Emissão Maq e Equip'!R7</f>
        <v>0.83758686087317447</v>
      </c>
      <c r="F7" s="128">
        <f>'Emissão Maq e Equip'!S7</f>
        <v>7.2346625050770234E-4</v>
      </c>
      <c r="G7" s="32">
        <f>'Emissão Maq e Equip'!T7</f>
        <v>0.38858244881317572</v>
      </c>
      <c r="H7" s="32">
        <f>'Emissão Maq e Equip'!U7</f>
        <v>0.10640931992110736</v>
      </c>
    </row>
    <row r="8" spans="1:8" x14ac:dyDescent="0.25">
      <c r="A8" s="4" t="s">
        <v>199</v>
      </c>
      <c r="B8" s="58">
        <f>'Emissão Vias '!T14</f>
        <v>0.95345372484772573</v>
      </c>
      <c r="C8" s="58">
        <f>'Emissão Vias '!U14</f>
        <v>0.25429188666430635</v>
      </c>
      <c r="D8" s="58">
        <f>'Emissão Vias '!V14</f>
        <v>2.5676020309334316E-2</v>
      </c>
      <c r="E8" s="58">
        <f>'Emissão Vias '!W14</f>
        <v>8.5218426728510162E-3</v>
      </c>
      <c r="F8" s="128">
        <f>'Emissão Vias '!X14</f>
        <v>3.2980418470316954E-4</v>
      </c>
      <c r="G8" s="128">
        <f>'Emissão Vias '!Y14</f>
        <v>1.6282691172194569E-3</v>
      </c>
      <c r="H8" s="128">
        <f>'Emissão Vias '!Z14</f>
        <v>3.8836012998616856E-4</v>
      </c>
    </row>
    <row r="9" spans="1:8" x14ac:dyDescent="0.25">
      <c r="A9" s="57" t="s">
        <v>196</v>
      </c>
      <c r="B9" s="44">
        <f t="shared" ref="B9:G9" si="0">SUM(B3:B8)</f>
        <v>7.2861344576455327</v>
      </c>
      <c r="C9" s="44">
        <f t="shared" si="0"/>
        <v>3.9870801006704983</v>
      </c>
      <c r="D9" s="44">
        <f t="shared" si="0"/>
        <v>1.4642152751386674</v>
      </c>
      <c r="E9" s="44">
        <f t="shared" si="0"/>
        <v>0.91550085879716703</v>
      </c>
      <c r="F9" s="44">
        <f t="shared" si="0"/>
        <v>6.6975817923795339E-2</v>
      </c>
      <c r="G9" s="44">
        <f t="shared" si="0"/>
        <v>0.62440924190299796</v>
      </c>
      <c r="H9" s="44">
        <f t="shared" ref="H9" si="1">SUM(H3:H8)</f>
        <v>0.10679768005109352</v>
      </c>
    </row>
    <row r="11" spans="1:8" x14ac:dyDescent="0.25">
      <c r="A11" s="4" t="s">
        <v>423</v>
      </c>
    </row>
  </sheetData>
  <sheetProtection password="B056" sheet="1" objects="1" scenarios="1"/>
  <mergeCells count="2">
    <mergeCell ref="A1:A2"/>
    <mergeCell ref="B1:H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zoomScaleNormal="100" workbookViewId="0">
      <selection activeCell="E25" sqref="E25"/>
    </sheetView>
  </sheetViews>
  <sheetFormatPr defaultRowHeight="15" x14ac:dyDescent="0.25"/>
  <cols>
    <col min="1" max="5" width="14.28515625" customWidth="1"/>
    <col min="6" max="6" width="13.5703125" customWidth="1"/>
    <col min="7" max="7" width="24.85546875" customWidth="1"/>
    <col min="8" max="8" width="20" customWidth="1"/>
    <col min="9" max="12" width="10.7109375" customWidth="1"/>
  </cols>
  <sheetData>
    <row r="1" spans="1:12" x14ac:dyDescent="0.25">
      <c r="A1" s="4" t="s">
        <v>211</v>
      </c>
      <c r="B1" s="2"/>
      <c r="C1" s="2"/>
      <c r="D1" s="2"/>
      <c r="E1" s="2"/>
      <c r="F1" s="2"/>
      <c r="G1" s="153" t="s">
        <v>251</v>
      </c>
      <c r="H1" s="154"/>
      <c r="I1" s="154"/>
      <c r="J1" s="154"/>
      <c r="K1" s="154"/>
      <c r="L1" s="155"/>
    </row>
    <row r="2" spans="1:12" ht="15" customHeight="1" x14ac:dyDescent="0.25">
      <c r="A2" s="153" t="s">
        <v>201</v>
      </c>
      <c r="B2" s="154"/>
      <c r="C2" s="154"/>
      <c r="D2" s="154"/>
      <c r="E2" s="155"/>
      <c r="F2" s="2"/>
      <c r="G2" s="156" t="s">
        <v>252</v>
      </c>
      <c r="H2" s="156" t="s">
        <v>188</v>
      </c>
      <c r="I2" s="157" t="s">
        <v>253</v>
      </c>
      <c r="J2" s="157"/>
      <c r="K2" s="157" t="s">
        <v>254</v>
      </c>
      <c r="L2" s="157"/>
    </row>
    <row r="3" spans="1:12" ht="15" customHeight="1" x14ac:dyDescent="0.25">
      <c r="A3" s="59" t="s">
        <v>203</v>
      </c>
      <c r="B3" s="59" t="s">
        <v>204</v>
      </c>
      <c r="C3" s="59" t="s">
        <v>205</v>
      </c>
      <c r="D3" s="59" t="s">
        <v>206</v>
      </c>
      <c r="E3" s="59" t="s">
        <v>207</v>
      </c>
      <c r="F3" s="2"/>
      <c r="G3" s="156"/>
      <c r="H3" s="156"/>
      <c r="I3" s="70" t="s">
        <v>255</v>
      </c>
      <c r="J3" s="70" t="s">
        <v>256</v>
      </c>
      <c r="K3" s="70" t="s">
        <v>255</v>
      </c>
      <c r="L3" s="70" t="s">
        <v>256</v>
      </c>
    </row>
    <row r="4" spans="1:12" ht="24" customHeight="1" x14ac:dyDescent="0.25">
      <c r="A4" s="61">
        <v>0.74</v>
      </c>
      <c r="B4" s="22">
        <v>0.48</v>
      </c>
      <c r="C4" s="61">
        <v>0.35</v>
      </c>
      <c r="D4" s="22">
        <v>0.2</v>
      </c>
      <c r="E4" s="61">
        <v>5.2999999999999999E-2</v>
      </c>
      <c r="F4" s="2"/>
      <c r="G4" s="149" t="s">
        <v>257</v>
      </c>
      <c r="H4" s="63" t="s">
        <v>258</v>
      </c>
      <c r="I4" s="64" t="s">
        <v>259</v>
      </c>
      <c r="J4" s="64">
        <v>4.3</v>
      </c>
      <c r="K4" s="64" t="s">
        <v>260</v>
      </c>
      <c r="L4" s="64">
        <v>2.2000000000000002</v>
      </c>
    </row>
    <row r="5" spans="1:12" x14ac:dyDescent="0.25">
      <c r="A5" s="2"/>
      <c r="B5" s="2"/>
      <c r="C5" s="2"/>
      <c r="D5" s="2"/>
      <c r="E5" s="2"/>
      <c r="F5" s="2"/>
      <c r="G5" s="149"/>
      <c r="H5" s="63" t="s">
        <v>261</v>
      </c>
      <c r="I5" s="64" t="s">
        <v>262</v>
      </c>
      <c r="J5" s="64">
        <v>9.5</v>
      </c>
      <c r="K5" s="64" t="s">
        <v>263</v>
      </c>
      <c r="L5" s="64">
        <v>5.4</v>
      </c>
    </row>
    <row r="6" spans="1:12" ht="15" customHeight="1" x14ac:dyDescent="0.25">
      <c r="A6" s="150" t="s">
        <v>102</v>
      </c>
      <c r="B6" s="151"/>
      <c r="C6" s="151"/>
      <c r="D6" s="151"/>
      <c r="E6" s="151"/>
      <c r="F6" s="2"/>
      <c r="G6" s="149"/>
      <c r="H6" s="63" t="s">
        <v>264</v>
      </c>
      <c r="I6" s="64" t="s">
        <v>265</v>
      </c>
      <c r="J6" s="64">
        <v>4.5999999999999996</v>
      </c>
      <c r="K6" s="64" t="s">
        <v>266</v>
      </c>
      <c r="L6" s="64">
        <v>4.8</v>
      </c>
    </row>
    <row r="7" spans="1:12" x14ac:dyDescent="0.25">
      <c r="A7" s="150"/>
      <c r="B7" s="151"/>
      <c r="C7" s="151"/>
      <c r="D7" s="151"/>
      <c r="E7" s="151"/>
      <c r="F7" s="2"/>
      <c r="G7" s="149"/>
      <c r="H7" s="63" t="s">
        <v>267</v>
      </c>
      <c r="I7" s="64" t="s">
        <v>268</v>
      </c>
      <c r="J7" s="64">
        <v>5.3</v>
      </c>
      <c r="K7" s="64" t="s">
        <v>269</v>
      </c>
      <c r="L7" s="64">
        <v>0.92</v>
      </c>
    </row>
    <row r="8" spans="1:12" x14ac:dyDescent="0.25">
      <c r="A8" s="150"/>
      <c r="B8" s="151"/>
      <c r="C8" s="151"/>
      <c r="D8" s="151"/>
      <c r="E8" s="151"/>
      <c r="F8" s="2"/>
      <c r="G8" s="149"/>
      <c r="H8" s="63" t="s">
        <v>270</v>
      </c>
      <c r="I8" s="64" t="s">
        <v>271</v>
      </c>
      <c r="J8" s="64">
        <v>13</v>
      </c>
      <c r="K8" s="64" t="s">
        <v>17</v>
      </c>
      <c r="L8" s="64">
        <v>7</v>
      </c>
    </row>
    <row r="9" spans="1:12" ht="15" customHeight="1" x14ac:dyDescent="0.25">
      <c r="A9" s="150"/>
      <c r="B9" s="151"/>
      <c r="C9" s="151"/>
      <c r="D9" s="151"/>
      <c r="E9" s="151"/>
      <c r="F9" s="2"/>
      <c r="G9" s="149"/>
      <c r="H9" s="63" t="s">
        <v>272</v>
      </c>
      <c r="I9" s="64" t="s">
        <v>273</v>
      </c>
      <c r="J9" s="64">
        <v>4.9000000000000004</v>
      </c>
      <c r="K9" s="64" t="s">
        <v>274</v>
      </c>
      <c r="L9" s="64">
        <v>7.8</v>
      </c>
    </row>
    <row r="10" spans="1:12" x14ac:dyDescent="0.25">
      <c r="A10" s="150"/>
      <c r="B10" s="151"/>
      <c r="C10" s="151"/>
      <c r="D10" s="151"/>
      <c r="E10" s="151"/>
      <c r="F10" s="2"/>
      <c r="G10" s="149"/>
      <c r="H10" s="63" t="s">
        <v>275</v>
      </c>
      <c r="I10" s="64" t="s">
        <v>17</v>
      </c>
      <c r="J10" s="64">
        <v>15</v>
      </c>
      <c r="K10" s="64" t="s">
        <v>17</v>
      </c>
      <c r="L10" s="64">
        <v>6.6</v>
      </c>
    </row>
    <row r="11" spans="1:12" ht="15" customHeight="1" x14ac:dyDescent="0.25">
      <c r="A11" s="150"/>
      <c r="B11" s="152" t="s">
        <v>210</v>
      </c>
      <c r="C11" s="152"/>
      <c r="D11" s="152"/>
      <c r="E11" s="152"/>
      <c r="F11" s="2"/>
      <c r="G11" s="149"/>
      <c r="H11" s="63" t="s">
        <v>276</v>
      </c>
      <c r="I11" s="64" t="s">
        <v>17</v>
      </c>
      <c r="J11" s="64">
        <v>0.7</v>
      </c>
      <c r="K11" s="64" t="s">
        <v>17</v>
      </c>
      <c r="L11" s="64" t="s">
        <v>17</v>
      </c>
    </row>
    <row r="12" spans="1:12" x14ac:dyDescent="0.25">
      <c r="A12" s="150"/>
      <c r="B12" s="152"/>
      <c r="C12" s="152"/>
      <c r="D12" s="152"/>
      <c r="E12" s="152"/>
      <c r="F12" s="2"/>
      <c r="G12" s="149"/>
      <c r="H12" s="63" t="s">
        <v>277</v>
      </c>
      <c r="I12" s="64" t="s">
        <v>278</v>
      </c>
      <c r="J12" s="64">
        <v>1</v>
      </c>
      <c r="K12" s="64" t="s">
        <v>209</v>
      </c>
      <c r="L12" s="64">
        <v>0.2</v>
      </c>
    </row>
    <row r="13" spans="1:12" x14ac:dyDescent="0.25">
      <c r="A13" s="150"/>
      <c r="B13" s="152"/>
      <c r="C13" s="152"/>
      <c r="D13" s="152"/>
      <c r="E13" s="152"/>
      <c r="F13" s="2"/>
      <c r="G13" s="149" t="s">
        <v>279</v>
      </c>
      <c r="H13" s="63" t="s">
        <v>280</v>
      </c>
      <c r="I13" s="64" t="s">
        <v>281</v>
      </c>
      <c r="J13" s="64">
        <v>1.6</v>
      </c>
      <c r="K13" s="64" t="s">
        <v>282</v>
      </c>
      <c r="L13" s="64">
        <v>0.7</v>
      </c>
    </row>
    <row r="14" spans="1:12" x14ac:dyDescent="0.25">
      <c r="A14" s="150"/>
      <c r="B14" s="152"/>
      <c r="C14" s="152"/>
      <c r="D14" s="152"/>
      <c r="E14" s="152"/>
      <c r="F14" s="2"/>
      <c r="G14" s="149"/>
      <c r="H14" s="63" t="s">
        <v>283</v>
      </c>
      <c r="I14" s="64" t="s">
        <v>284</v>
      </c>
      <c r="J14" s="64">
        <v>3.9</v>
      </c>
      <c r="K14" s="64" t="s">
        <v>285</v>
      </c>
      <c r="L14" s="64">
        <v>2.1</v>
      </c>
    </row>
    <row r="15" spans="1:12" x14ac:dyDescent="0.25">
      <c r="A15" s="150"/>
      <c r="B15" s="152"/>
      <c r="C15" s="152"/>
      <c r="D15" s="152"/>
      <c r="E15" s="152"/>
      <c r="F15" s="2"/>
      <c r="G15" s="149" t="s">
        <v>286</v>
      </c>
      <c r="H15" s="63" t="s">
        <v>287</v>
      </c>
      <c r="I15" s="64" t="s">
        <v>288</v>
      </c>
      <c r="J15" s="64">
        <v>3.4</v>
      </c>
      <c r="K15" s="64" t="s">
        <v>289</v>
      </c>
      <c r="L15" s="64">
        <v>0.9</v>
      </c>
    </row>
    <row r="16" spans="1:12" x14ac:dyDescent="0.25">
      <c r="A16" s="4"/>
      <c r="B16" s="2"/>
      <c r="C16" s="2"/>
      <c r="D16" s="2"/>
      <c r="E16" s="2"/>
      <c r="F16" s="2"/>
      <c r="G16" s="149"/>
      <c r="H16" s="63" t="s">
        <v>290</v>
      </c>
      <c r="I16" s="64" t="s">
        <v>209</v>
      </c>
      <c r="J16" s="64">
        <v>11</v>
      </c>
      <c r="K16" s="64" t="s">
        <v>17</v>
      </c>
      <c r="L16" s="64">
        <v>0.4</v>
      </c>
    </row>
    <row r="17" spans="1:12" x14ac:dyDescent="0.25">
      <c r="A17" s="2"/>
      <c r="B17" s="2"/>
      <c r="C17" s="2"/>
      <c r="D17" s="2"/>
      <c r="E17" s="2"/>
      <c r="F17" s="2"/>
      <c r="G17" s="149" t="s">
        <v>291</v>
      </c>
      <c r="H17" s="63" t="s">
        <v>264</v>
      </c>
      <c r="I17" s="64" t="s">
        <v>292</v>
      </c>
      <c r="J17" s="64">
        <v>6.2</v>
      </c>
      <c r="K17" s="64" t="s">
        <v>293</v>
      </c>
      <c r="L17" s="64">
        <v>6.9</v>
      </c>
    </row>
    <row r="18" spans="1:12" x14ac:dyDescent="0.25">
      <c r="G18" s="149"/>
      <c r="H18" s="63" t="s">
        <v>294</v>
      </c>
      <c r="I18" s="64" t="s">
        <v>295</v>
      </c>
      <c r="J18" s="64">
        <v>7.5</v>
      </c>
      <c r="K18" s="64" t="s">
        <v>17</v>
      </c>
      <c r="L18" s="64" t="s">
        <v>17</v>
      </c>
    </row>
    <row r="19" spans="1:12" x14ac:dyDescent="0.25">
      <c r="G19" s="149"/>
      <c r="H19" s="63" t="s">
        <v>296</v>
      </c>
      <c r="I19" s="64" t="s">
        <v>297</v>
      </c>
      <c r="J19" s="64">
        <v>15</v>
      </c>
      <c r="K19" s="64" t="s">
        <v>298</v>
      </c>
      <c r="L19" s="64">
        <v>3.4</v>
      </c>
    </row>
    <row r="20" spans="1:12" x14ac:dyDescent="0.25">
      <c r="G20" s="63" t="s">
        <v>299</v>
      </c>
      <c r="H20" s="63" t="s">
        <v>300</v>
      </c>
      <c r="I20" s="64" t="s">
        <v>301</v>
      </c>
      <c r="J20" s="64">
        <v>2.2000000000000002</v>
      </c>
      <c r="K20" s="64" t="s">
        <v>302</v>
      </c>
      <c r="L20" s="64">
        <v>4.5</v>
      </c>
    </row>
    <row r="21" spans="1:12" x14ac:dyDescent="0.25">
      <c r="G21" s="149" t="s">
        <v>303</v>
      </c>
      <c r="H21" s="63" t="s">
        <v>304</v>
      </c>
      <c r="I21" s="64" t="s">
        <v>17</v>
      </c>
      <c r="J21" s="64">
        <v>2.6</v>
      </c>
      <c r="K21" s="64" t="s">
        <v>17</v>
      </c>
      <c r="L21" s="64">
        <v>7.4</v>
      </c>
    </row>
    <row r="22" spans="1:12" x14ac:dyDescent="0.25">
      <c r="G22" s="149"/>
      <c r="H22" s="63" t="s">
        <v>267</v>
      </c>
      <c r="I22" s="64" t="s">
        <v>305</v>
      </c>
      <c r="J22" s="64">
        <v>3.8</v>
      </c>
      <c r="K22" s="64" t="s">
        <v>306</v>
      </c>
      <c r="L22" s="64">
        <v>3.6</v>
      </c>
    </row>
    <row r="23" spans="1:12" x14ac:dyDescent="0.25">
      <c r="G23" s="149"/>
      <c r="H23" s="63" t="s">
        <v>307</v>
      </c>
      <c r="I23" s="64" t="s">
        <v>308</v>
      </c>
      <c r="J23" s="64">
        <v>9</v>
      </c>
      <c r="K23" s="64" t="s">
        <v>309</v>
      </c>
      <c r="L23" s="64">
        <v>12</v>
      </c>
    </row>
    <row r="24" spans="1:12" x14ac:dyDescent="0.25">
      <c r="G24" s="149"/>
      <c r="H24" s="63" t="s">
        <v>310</v>
      </c>
      <c r="I24" s="64" t="s">
        <v>17</v>
      </c>
      <c r="J24" s="64">
        <v>9.1999999999999993</v>
      </c>
      <c r="K24" s="64" t="s">
        <v>17</v>
      </c>
      <c r="L24" s="64">
        <v>14</v>
      </c>
    </row>
    <row r="25" spans="1:12" x14ac:dyDescent="0.25">
      <c r="G25" s="149"/>
      <c r="H25" s="63" t="s">
        <v>311</v>
      </c>
      <c r="I25" s="64" t="s">
        <v>312</v>
      </c>
      <c r="J25" s="64">
        <v>6</v>
      </c>
      <c r="K25" s="64" t="s">
        <v>313</v>
      </c>
      <c r="L25" s="64">
        <v>10</v>
      </c>
    </row>
    <row r="26" spans="1:12" x14ac:dyDescent="0.25">
      <c r="G26" s="149"/>
      <c r="H26" s="63" t="s">
        <v>314</v>
      </c>
      <c r="I26" s="64" t="s">
        <v>315</v>
      </c>
      <c r="J26" s="64">
        <v>80</v>
      </c>
      <c r="K26" s="64" t="s">
        <v>316</v>
      </c>
      <c r="L26" s="64">
        <v>27</v>
      </c>
    </row>
    <row r="27" spans="1:12" x14ac:dyDescent="0.25">
      <c r="G27" s="149"/>
      <c r="H27" s="63" t="s">
        <v>317</v>
      </c>
      <c r="I27" s="64" t="s">
        <v>17</v>
      </c>
      <c r="J27" s="64">
        <v>12</v>
      </c>
      <c r="K27" s="64" t="s">
        <v>17</v>
      </c>
      <c r="L27" s="64">
        <v>11</v>
      </c>
    </row>
  </sheetData>
  <sheetProtection password="B056" sheet="1" objects="1" scenarios="1"/>
  <mergeCells count="14">
    <mergeCell ref="A2:E2"/>
    <mergeCell ref="G1:L1"/>
    <mergeCell ref="G2:G3"/>
    <mergeCell ref="H2:H3"/>
    <mergeCell ref="I2:J2"/>
    <mergeCell ref="K2:L2"/>
    <mergeCell ref="G17:G19"/>
    <mergeCell ref="G21:G27"/>
    <mergeCell ref="A6:A15"/>
    <mergeCell ref="B6:E10"/>
    <mergeCell ref="B11:E15"/>
    <mergeCell ref="G4:G12"/>
    <mergeCell ref="G13:G14"/>
    <mergeCell ref="G15:G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11" sqref="C11"/>
    </sheetView>
  </sheetViews>
  <sheetFormatPr defaultRowHeight="15" x14ac:dyDescent="0.25"/>
  <cols>
    <col min="1" max="1" width="19.140625" customWidth="1"/>
    <col min="3" max="3" width="15.42578125" bestFit="1" customWidth="1"/>
    <col min="4" max="4" width="13.42578125" customWidth="1"/>
    <col min="5" max="5" width="11.28515625" customWidth="1"/>
  </cols>
  <sheetData>
    <row r="1" spans="1:8" x14ac:dyDescent="0.25">
      <c r="A1" s="2" t="s">
        <v>215</v>
      </c>
    </row>
    <row r="2" spans="1:8" x14ac:dyDescent="0.25">
      <c r="A2" s="161" t="s">
        <v>217</v>
      </c>
      <c r="B2" s="162"/>
      <c r="C2" s="162"/>
      <c r="D2" s="162"/>
      <c r="E2" s="162"/>
      <c r="F2" s="162"/>
      <c r="G2" s="162"/>
      <c r="H2" s="162"/>
    </row>
    <row r="3" spans="1:8" x14ac:dyDescent="0.25">
      <c r="A3" s="162"/>
      <c r="B3" s="162"/>
      <c r="C3" s="162"/>
      <c r="D3" s="162"/>
      <c r="E3" s="162"/>
      <c r="F3" s="162"/>
      <c r="G3" s="162"/>
      <c r="H3" s="162"/>
    </row>
    <row r="4" spans="1:8" ht="26.25" customHeight="1" x14ac:dyDescent="0.25">
      <c r="A4" s="69" t="s">
        <v>219</v>
      </c>
      <c r="B4" s="163" t="s">
        <v>218</v>
      </c>
      <c r="C4" s="163"/>
      <c r="D4" s="163"/>
      <c r="E4" s="163"/>
      <c r="F4" s="163"/>
      <c r="G4" s="163"/>
      <c r="H4" s="163"/>
    </row>
    <row r="5" spans="1:8" x14ac:dyDescent="0.25">
      <c r="A5" s="69" t="s">
        <v>220</v>
      </c>
      <c r="B5" s="158" t="s">
        <v>221</v>
      </c>
      <c r="C5" s="159"/>
      <c r="D5" s="159"/>
      <c r="E5" s="159"/>
      <c r="F5" s="159"/>
      <c r="G5" s="159"/>
      <c r="H5" s="160"/>
    </row>
    <row r="6" spans="1:8" x14ac:dyDescent="0.25">
      <c r="A6" s="69" t="s">
        <v>222</v>
      </c>
      <c r="B6" s="158" t="s">
        <v>223</v>
      </c>
      <c r="C6" s="159"/>
      <c r="D6" s="159"/>
      <c r="E6" s="159"/>
      <c r="F6" s="159"/>
      <c r="G6" s="159"/>
      <c r="H6" s="160"/>
    </row>
    <row r="7" spans="1:8" ht="23.25" customHeight="1" x14ac:dyDescent="0.25">
      <c r="A7" s="163" t="s">
        <v>224</v>
      </c>
      <c r="B7" s="156" t="s">
        <v>226</v>
      </c>
      <c r="C7" s="156" t="s">
        <v>227</v>
      </c>
      <c r="D7" s="147" t="s">
        <v>232</v>
      </c>
      <c r="E7" s="156"/>
      <c r="F7" s="156" t="s">
        <v>230</v>
      </c>
      <c r="G7" s="156"/>
      <c r="H7" s="156"/>
    </row>
    <row r="8" spans="1:8" x14ac:dyDescent="0.25">
      <c r="A8" s="163"/>
      <c r="B8" s="156"/>
      <c r="C8" s="156"/>
      <c r="D8" s="70" t="s">
        <v>228</v>
      </c>
      <c r="E8" s="70" t="s">
        <v>229</v>
      </c>
      <c r="F8" s="156"/>
      <c r="G8" s="156"/>
      <c r="H8" s="156"/>
    </row>
    <row r="9" spans="1:8" x14ac:dyDescent="0.25">
      <c r="A9" s="71" t="s">
        <v>154</v>
      </c>
      <c r="B9" s="5">
        <v>8</v>
      </c>
      <c r="C9" s="11" t="s">
        <v>231</v>
      </c>
      <c r="D9" s="5">
        <v>2</v>
      </c>
      <c r="E9" s="5">
        <v>30</v>
      </c>
      <c r="F9" s="146" t="s">
        <v>216</v>
      </c>
      <c r="G9" s="146"/>
      <c r="H9" s="146"/>
    </row>
    <row r="10" spans="1:8" x14ac:dyDescent="0.25">
      <c r="A10" s="72" t="s">
        <v>113</v>
      </c>
      <c r="B10" s="5">
        <v>27</v>
      </c>
      <c r="C10" s="11" t="s">
        <v>231</v>
      </c>
      <c r="D10" s="5">
        <v>22</v>
      </c>
      <c r="E10" s="5">
        <v>36</v>
      </c>
      <c r="F10" s="146" t="s">
        <v>216</v>
      </c>
      <c r="G10" s="146"/>
      <c r="H10" s="146"/>
    </row>
    <row r="11" spans="1:8" x14ac:dyDescent="0.25">
      <c r="A11" s="72" t="s">
        <v>225</v>
      </c>
      <c r="B11" s="5">
        <v>38</v>
      </c>
      <c r="C11" s="11" t="s">
        <v>231</v>
      </c>
      <c r="D11" s="5">
        <v>7</v>
      </c>
      <c r="E11" s="5">
        <v>194</v>
      </c>
      <c r="F11" s="146" t="s">
        <v>216</v>
      </c>
      <c r="G11" s="146"/>
      <c r="H11" s="146"/>
    </row>
  </sheetData>
  <sheetProtection password="B056" sheet="1" objects="1" scenarios="1"/>
  <mergeCells count="12">
    <mergeCell ref="A2:H3"/>
    <mergeCell ref="B4:H4"/>
    <mergeCell ref="A7:A8"/>
    <mergeCell ref="B7:B8"/>
    <mergeCell ref="C7:C8"/>
    <mergeCell ref="D7:E7"/>
    <mergeCell ref="F7:H8"/>
    <mergeCell ref="F9:H9"/>
    <mergeCell ref="F10:H10"/>
    <mergeCell ref="F11:H11"/>
    <mergeCell ref="B5:H5"/>
    <mergeCell ref="B6:H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defaultRowHeight="15" x14ac:dyDescent="0.25"/>
  <cols>
    <col min="1" max="1" width="34.7109375" customWidth="1"/>
    <col min="2" max="2" width="40.85546875" bestFit="1" customWidth="1"/>
    <col min="3" max="7" width="11.7109375" bestFit="1" customWidth="1"/>
    <col min="8" max="8" width="13.5703125" bestFit="1" customWidth="1"/>
    <col min="9" max="9" width="11.7109375" bestFit="1" customWidth="1"/>
  </cols>
  <sheetData>
    <row r="1" spans="1:14" x14ac:dyDescent="0.25">
      <c r="A1" s="4" t="s">
        <v>82</v>
      </c>
      <c r="B1" s="2"/>
      <c r="C1" s="2"/>
      <c r="D1" s="2"/>
      <c r="E1" s="2"/>
      <c r="F1" s="2"/>
      <c r="G1" s="2"/>
      <c r="H1" s="2"/>
      <c r="I1" s="2"/>
      <c r="J1" s="2"/>
    </row>
    <row r="2" spans="1:14" x14ac:dyDescent="0.25">
      <c r="A2" s="4" t="s">
        <v>83</v>
      </c>
      <c r="B2" s="2">
        <v>2007</v>
      </c>
      <c r="C2" s="2"/>
      <c r="D2" s="2"/>
      <c r="E2" s="2"/>
      <c r="F2" s="2"/>
      <c r="G2" s="2"/>
      <c r="H2" s="2"/>
      <c r="I2" s="2"/>
      <c r="J2" s="2"/>
    </row>
    <row r="3" spans="1:14" x14ac:dyDescent="0.25">
      <c r="A3" s="14" t="s">
        <v>84</v>
      </c>
      <c r="B3" s="14" t="s">
        <v>85</v>
      </c>
      <c r="C3" s="14" t="s">
        <v>86</v>
      </c>
      <c r="D3" s="14" t="s">
        <v>87</v>
      </c>
      <c r="E3" s="14" t="s">
        <v>88</v>
      </c>
      <c r="F3" s="14" t="s">
        <v>89</v>
      </c>
      <c r="G3" s="14" t="s">
        <v>90</v>
      </c>
      <c r="H3" s="14" t="s">
        <v>91</v>
      </c>
      <c r="I3" s="14" t="s">
        <v>92</v>
      </c>
      <c r="J3" s="2"/>
    </row>
    <row r="4" spans="1:14" ht="15" customHeight="1" x14ac:dyDescent="0.25">
      <c r="A4" s="164" t="s">
        <v>93</v>
      </c>
      <c r="B4" s="15" t="s">
        <v>94</v>
      </c>
      <c r="C4" s="16">
        <v>4.1647481574952775E-3</v>
      </c>
      <c r="D4" s="16">
        <v>6.5318933034944765E-2</v>
      </c>
      <c r="E4" s="16">
        <v>9.7431139391112798E-5</v>
      </c>
      <c r="F4" s="16">
        <v>3.2117661168667613E-2</v>
      </c>
      <c r="G4" s="16">
        <v>1.0013560541894806E-2</v>
      </c>
      <c r="H4" s="16">
        <v>7.6789363702976381</v>
      </c>
      <c r="I4" s="16">
        <v>9.0350737078986789E-4</v>
      </c>
      <c r="J4" s="2"/>
      <c r="N4" s="17"/>
    </row>
    <row r="5" spans="1:14" x14ac:dyDescent="0.25">
      <c r="A5" s="165"/>
      <c r="B5" s="15" t="s">
        <v>95</v>
      </c>
      <c r="C5" s="16">
        <v>1.9389461005136124E-2</v>
      </c>
      <c r="D5" s="16">
        <v>0.15850781980120351</v>
      </c>
      <c r="E5" s="16">
        <v>1.8265581631205882E-4</v>
      </c>
      <c r="F5" s="16">
        <v>0.19953638186759515</v>
      </c>
      <c r="G5" s="16">
        <v>8.7889870552575564E-2</v>
      </c>
      <c r="H5" s="16">
        <v>14.129238189499569</v>
      </c>
      <c r="I5" s="16">
        <v>7.9301638618412291E-3</v>
      </c>
      <c r="J5" s="2"/>
      <c r="N5" s="17"/>
    </row>
    <row r="6" spans="1:14" x14ac:dyDescent="0.25">
      <c r="A6" s="165"/>
      <c r="B6" s="15" t="s">
        <v>96</v>
      </c>
      <c r="C6" s="16">
        <v>3.5159649405128737E-2</v>
      </c>
      <c r="D6" s="16">
        <v>0.39013010201093185</v>
      </c>
      <c r="E6" s="16">
        <v>3.1347091665644508E-4</v>
      </c>
      <c r="F6" s="16">
        <v>0.2004419223709539</v>
      </c>
      <c r="G6" s="16">
        <v>6.7138814469940591E-2</v>
      </c>
      <c r="H6" s="16">
        <v>26.722695910514073</v>
      </c>
      <c r="I6" s="16">
        <v>6.0578280967871325E-3</v>
      </c>
      <c r="J6" s="2"/>
      <c r="K6" s="17"/>
      <c r="N6" s="17"/>
    </row>
    <row r="7" spans="1:14" x14ac:dyDescent="0.25">
      <c r="A7" s="165"/>
      <c r="B7" s="15" t="s">
        <v>97</v>
      </c>
      <c r="C7" s="16">
        <v>3.4873730864910753E-2</v>
      </c>
      <c r="D7" s="16">
        <v>0.62819014565488085</v>
      </c>
      <c r="E7" s="16">
        <v>5.4259968788077681E-4</v>
      </c>
      <c r="F7" s="16">
        <v>0.29143683660988179</v>
      </c>
      <c r="G7" s="16">
        <v>7.9806989940830519E-2</v>
      </c>
      <c r="H7" s="16">
        <v>48.223729179933819</v>
      </c>
      <c r="I7" s="16">
        <v>7.2008552575325378E-3</v>
      </c>
      <c r="J7" s="2"/>
      <c r="N7" s="17"/>
    </row>
    <row r="8" spans="1:14" x14ac:dyDescent="0.25">
      <c r="A8" s="165"/>
      <c r="B8" s="15" t="s">
        <v>98</v>
      </c>
      <c r="C8" s="16">
        <v>3.101083119228833E-2</v>
      </c>
      <c r="D8" s="16">
        <v>0.83698143551687265</v>
      </c>
      <c r="E8" s="16">
        <v>7.6033040375300068E-4</v>
      </c>
      <c r="F8" s="16">
        <v>0.22495851814724077</v>
      </c>
      <c r="G8" s="16">
        <v>8.0781384871570633E-2</v>
      </c>
      <c r="H8" s="16">
        <v>67.57462749683539</v>
      </c>
      <c r="I8" s="16">
        <v>7.2887737155482657E-3</v>
      </c>
      <c r="J8" s="2"/>
      <c r="N8" s="17"/>
    </row>
    <row r="9" spans="1:14" x14ac:dyDescent="0.25">
      <c r="A9" s="165"/>
      <c r="B9" s="15" t="s">
        <v>99</v>
      </c>
      <c r="C9" s="16">
        <v>4.4312637095619792E-2</v>
      </c>
      <c r="D9" s="16">
        <v>1.1811178567160983</v>
      </c>
      <c r="E9" s="16">
        <v>1.0551972934755545E-3</v>
      </c>
      <c r="F9" s="16">
        <v>0.44023160723795168</v>
      </c>
      <c r="G9" s="16">
        <v>0.11468313954524458</v>
      </c>
      <c r="H9" s="16">
        <v>107.50511325477065</v>
      </c>
      <c r="I9" s="16">
        <v>1.0347677695252593E-2</v>
      </c>
      <c r="J9" s="2"/>
    </row>
    <row r="10" spans="1:14" x14ac:dyDescent="0.25">
      <c r="A10" s="165"/>
      <c r="B10" s="15" t="s">
        <v>100</v>
      </c>
      <c r="C10" s="16">
        <v>9.1699292295937748E-2</v>
      </c>
      <c r="D10" s="16">
        <v>2.4816495823931239</v>
      </c>
      <c r="E10" s="16">
        <v>2.2143711863278365E-3</v>
      </c>
      <c r="F10" s="16">
        <v>0.8977989810489746</v>
      </c>
      <c r="G10" s="16">
        <v>0.2376690359121682</v>
      </c>
      <c r="H10" s="16">
        <v>220.23193257962103</v>
      </c>
      <c r="I10" s="16">
        <v>2.1444490325478866E-2</v>
      </c>
      <c r="J10" s="2"/>
    </row>
    <row r="11" spans="1:14" x14ac:dyDescent="0.25">
      <c r="A11" s="165"/>
      <c r="B11" s="15" t="s">
        <v>101</v>
      </c>
      <c r="C11" s="16">
        <v>0.11281698418835924</v>
      </c>
      <c r="D11" s="16">
        <v>3.6320533542247149</v>
      </c>
      <c r="E11" s="16">
        <v>2.708513011176045E-3</v>
      </c>
      <c r="F11" s="16">
        <v>1.2834306373108464</v>
      </c>
      <c r="G11" s="16">
        <v>0.33188731556128104</v>
      </c>
      <c r="H11" s="16">
        <v>269.37717766866973</v>
      </c>
      <c r="I11" s="16">
        <v>2.9945664738985911E-2</v>
      </c>
      <c r="J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4" x14ac:dyDescent="0.25">
      <c r="A14" s="4" t="s">
        <v>82</v>
      </c>
      <c r="B14" s="2"/>
      <c r="C14" s="2"/>
      <c r="D14" s="2"/>
      <c r="E14" s="2"/>
      <c r="F14" s="2"/>
      <c r="G14" s="2"/>
      <c r="H14" s="2"/>
      <c r="I14" s="2"/>
      <c r="J14" s="2"/>
    </row>
    <row r="15" spans="1:14" x14ac:dyDescent="0.25">
      <c r="A15" s="166" t="s">
        <v>102</v>
      </c>
      <c r="B15" s="169"/>
      <c r="C15" s="170"/>
      <c r="D15" s="170"/>
      <c r="E15" s="171"/>
      <c r="F15" s="2"/>
      <c r="G15" s="2"/>
      <c r="H15" s="2"/>
      <c r="I15" s="2"/>
      <c r="J15" s="2"/>
    </row>
    <row r="16" spans="1:14" x14ac:dyDescent="0.25">
      <c r="A16" s="167"/>
      <c r="B16" s="172"/>
      <c r="C16" s="173"/>
      <c r="D16" s="173"/>
      <c r="E16" s="174"/>
      <c r="F16" s="2"/>
      <c r="G16" s="2"/>
      <c r="H16" s="2"/>
      <c r="I16" s="2"/>
      <c r="J16" s="2"/>
    </row>
    <row r="17" spans="1:10" x14ac:dyDescent="0.25">
      <c r="A17" s="167"/>
      <c r="B17" s="175"/>
      <c r="C17" s="176"/>
      <c r="D17" s="176"/>
      <c r="E17" s="177"/>
      <c r="F17" s="2"/>
      <c r="G17" s="2"/>
      <c r="H17" s="2"/>
      <c r="I17" s="2"/>
      <c r="J17" s="2"/>
    </row>
    <row r="18" spans="1:10" x14ac:dyDescent="0.25">
      <c r="A18" s="167"/>
      <c r="B18" s="178" t="s">
        <v>103</v>
      </c>
      <c r="C18" s="179"/>
      <c r="D18" s="179"/>
      <c r="E18" s="180"/>
      <c r="F18" s="2"/>
      <c r="G18" s="2"/>
      <c r="H18" s="2"/>
      <c r="I18" s="2"/>
      <c r="J18" s="2"/>
    </row>
    <row r="19" spans="1:10" x14ac:dyDescent="0.25">
      <c r="A19" s="167"/>
      <c r="B19" s="181"/>
      <c r="C19" s="182"/>
      <c r="D19" s="182"/>
      <c r="E19" s="183"/>
      <c r="F19" s="2"/>
      <c r="G19" s="2"/>
      <c r="H19" s="2"/>
      <c r="I19" s="2"/>
      <c r="J19" s="2"/>
    </row>
    <row r="20" spans="1:10" x14ac:dyDescent="0.25">
      <c r="A20" s="167"/>
      <c r="B20" s="181"/>
      <c r="C20" s="182"/>
      <c r="D20" s="182"/>
      <c r="E20" s="183"/>
      <c r="F20" s="2"/>
      <c r="G20" s="2"/>
      <c r="H20" s="2"/>
      <c r="I20" s="2"/>
      <c r="J20" s="2"/>
    </row>
    <row r="21" spans="1:10" x14ac:dyDescent="0.25">
      <c r="A21" s="168"/>
      <c r="B21" s="184"/>
      <c r="C21" s="185"/>
      <c r="D21" s="185"/>
      <c r="E21" s="186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</sheetData>
  <sheetProtection password="B056" sheet="1" objects="1" scenarios="1"/>
  <mergeCells count="4">
    <mergeCell ref="A4:A11"/>
    <mergeCell ref="A15:A21"/>
    <mergeCell ref="B15:E17"/>
    <mergeCell ref="B18:E21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topLeftCell="A10" workbookViewId="0">
      <selection activeCell="F24" sqref="F24"/>
    </sheetView>
  </sheetViews>
  <sheetFormatPr defaultRowHeight="15" x14ac:dyDescent="0.25"/>
  <cols>
    <col min="1" max="4" width="18" customWidth="1"/>
    <col min="6" max="10" width="13.42578125" customWidth="1"/>
  </cols>
  <sheetData>
    <row r="1" spans="1:10" x14ac:dyDescent="0.25">
      <c r="A1" s="4" t="s">
        <v>116</v>
      </c>
      <c r="B1" s="4"/>
      <c r="C1" s="4"/>
      <c r="D1" s="4"/>
      <c r="F1" s="156" t="s">
        <v>117</v>
      </c>
      <c r="G1" s="156"/>
      <c r="H1" s="156"/>
      <c r="I1" s="156"/>
      <c r="J1" s="156"/>
    </row>
    <row r="2" spans="1:10" ht="33.75" x14ac:dyDescent="0.25">
      <c r="A2" s="187" t="s">
        <v>118</v>
      </c>
      <c r="B2" s="187"/>
      <c r="C2" s="187"/>
      <c r="D2" s="187"/>
      <c r="F2" s="14" t="s">
        <v>119</v>
      </c>
      <c r="G2" s="21" t="s">
        <v>120</v>
      </c>
      <c r="H2" s="21" t="s">
        <v>121</v>
      </c>
      <c r="I2" s="14" t="s">
        <v>122</v>
      </c>
      <c r="J2" s="14" t="s">
        <v>123</v>
      </c>
    </row>
    <row r="3" spans="1:10" x14ac:dyDescent="0.25">
      <c r="A3" s="188" t="s">
        <v>124</v>
      </c>
      <c r="B3" s="188"/>
      <c r="C3" s="188"/>
      <c r="D3" s="188"/>
      <c r="F3" s="22" t="s">
        <v>125</v>
      </c>
      <c r="G3" s="22">
        <v>0</v>
      </c>
      <c r="H3" s="22">
        <v>0</v>
      </c>
      <c r="I3" s="22">
        <v>31</v>
      </c>
      <c r="J3" s="23">
        <f>(I3-H3)/I3</f>
        <v>1</v>
      </c>
    </row>
    <row r="4" spans="1:10" x14ac:dyDescent="0.25">
      <c r="A4" s="189" t="s">
        <v>126</v>
      </c>
      <c r="B4" s="189" t="s">
        <v>127</v>
      </c>
      <c r="C4" s="189"/>
      <c r="D4" s="189"/>
      <c r="F4" s="22" t="s">
        <v>128</v>
      </c>
      <c r="G4" s="22">
        <v>52</v>
      </c>
      <c r="H4" s="22">
        <v>7</v>
      </c>
      <c r="I4" s="22">
        <v>28</v>
      </c>
      <c r="J4" s="23">
        <f t="shared" ref="J4:J14" si="0">(I4-H4)/I4</f>
        <v>0.75</v>
      </c>
    </row>
    <row r="5" spans="1:10" x14ac:dyDescent="0.25">
      <c r="A5" s="189"/>
      <c r="B5" s="24" t="s">
        <v>129</v>
      </c>
      <c r="C5" s="24" t="s">
        <v>130</v>
      </c>
      <c r="D5" s="24" t="s">
        <v>131</v>
      </c>
      <c r="F5" s="22" t="s">
        <v>132</v>
      </c>
      <c r="G5" s="22">
        <v>69</v>
      </c>
      <c r="H5" s="22">
        <v>7</v>
      </c>
      <c r="I5" s="22">
        <v>31</v>
      </c>
      <c r="J5" s="23">
        <f t="shared" si="0"/>
        <v>0.77419354838709675</v>
      </c>
    </row>
    <row r="6" spans="1:10" x14ac:dyDescent="0.25">
      <c r="A6" s="25" t="s">
        <v>133</v>
      </c>
      <c r="B6" s="25">
        <v>0.15</v>
      </c>
      <c r="C6" s="25">
        <v>1.5</v>
      </c>
      <c r="D6" s="25">
        <v>4.9000000000000004</v>
      </c>
      <c r="F6" s="22" t="s">
        <v>134</v>
      </c>
      <c r="G6" s="22">
        <v>44</v>
      </c>
      <c r="H6" s="22">
        <v>8</v>
      </c>
      <c r="I6" s="22">
        <v>30</v>
      </c>
      <c r="J6" s="23">
        <f t="shared" si="0"/>
        <v>0.73333333333333328</v>
      </c>
    </row>
    <row r="7" spans="1:10" x14ac:dyDescent="0.25">
      <c r="A7" s="25" t="s">
        <v>135</v>
      </c>
      <c r="B7" s="25">
        <v>0.9</v>
      </c>
      <c r="C7" s="25">
        <v>0.9</v>
      </c>
      <c r="D7" s="25">
        <v>0.7</v>
      </c>
      <c r="F7" s="22" t="s">
        <v>136</v>
      </c>
      <c r="G7" s="22">
        <v>185.8</v>
      </c>
      <c r="H7" s="22">
        <v>16</v>
      </c>
      <c r="I7" s="22">
        <v>31</v>
      </c>
      <c r="J7" s="23">
        <f t="shared" si="0"/>
        <v>0.4838709677419355</v>
      </c>
    </row>
    <row r="8" spans="1:10" x14ac:dyDescent="0.25">
      <c r="A8" s="25" t="s">
        <v>137</v>
      </c>
      <c r="B8" s="25">
        <v>0.45</v>
      </c>
      <c r="C8" s="25">
        <v>0.45</v>
      </c>
      <c r="D8" s="25">
        <v>0.45</v>
      </c>
      <c r="F8" s="22" t="s">
        <v>138</v>
      </c>
      <c r="G8" s="22">
        <v>119.2</v>
      </c>
      <c r="H8" s="22">
        <v>9</v>
      </c>
      <c r="I8" s="22">
        <v>30</v>
      </c>
      <c r="J8" s="23">
        <f t="shared" si="0"/>
        <v>0.7</v>
      </c>
    </row>
    <row r="9" spans="1:10" x14ac:dyDescent="0.25">
      <c r="A9" s="25" t="s">
        <v>139</v>
      </c>
      <c r="B9" s="26">
        <v>281.89999999999998</v>
      </c>
      <c r="C9" s="25" t="s">
        <v>140</v>
      </c>
      <c r="D9" s="25"/>
      <c r="F9" s="22" t="s">
        <v>141</v>
      </c>
      <c r="G9" s="22">
        <v>17.8</v>
      </c>
      <c r="H9" s="22">
        <v>6</v>
      </c>
      <c r="I9" s="22">
        <v>31</v>
      </c>
      <c r="J9" s="23">
        <f t="shared" si="0"/>
        <v>0.80645161290322576</v>
      </c>
    </row>
    <row r="10" spans="1:10" x14ac:dyDescent="0.25">
      <c r="A10" s="166" t="s">
        <v>102</v>
      </c>
      <c r="B10" s="169"/>
      <c r="C10" s="170"/>
      <c r="D10" s="170"/>
      <c r="E10" s="27"/>
      <c r="F10" s="22" t="s">
        <v>142</v>
      </c>
      <c r="G10" s="22">
        <v>70.2</v>
      </c>
      <c r="H10" s="22">
        <v>11</v>
      </c>
      <c r="I10" s="22">
        <v>31</v>
      </c>
      <c r="J10" s="23">
        <f t="shared" si="0"/>
        <v>0.64516129032258063</v>
      </c>
    </row>
    <row r="11" spans="1:10" x14ac:dyDescent="0.25">
      <c r="A11" s="167"/>
      <c r="B11" s="172"/>
      <c r="C11" s="173"/>
      <c r="D11" s="173"/>
      <c r="E11" s="27"/>
      <c r="F11" s="22" t="s">
        <v>143</v>
      </c>
      <c r="G11" s="22">
        <v>25.2</v>
      </c>
      <c r="H11" s="22">
        <v>7</v>
      </c>
      <c r="I11" s="22">
        <v>30</v>
      </c>
      <c r="J11" s="23">
        <f t="shared" si="0"/>
        <v>0.76666666666666672</v>
      </c>
    </row>
    <row r="12" spans="1:10" ht="15" customHeight="1" x14ac:dyDescent="0.25">
      <c r="A12" s="167"/>
      <c r="B12" s="175"/>
      <c r="C12" s="176"/>
      <c r="D12" s="176"/>
      <c r="E12" s="27"/>
      <c r="F12" s="22" t="s">
        <v>144</v>
      </c>
      <c r="G12" s="22">
        <v>54.4</v>
      </c>
      <c r="H12" s="22">
        <v>6</v>
      </c>
      <c r="I12" s="22">
        <v>31</v>
      </c>
      <c r="J12" s="23">
        <f t="shared" si="0"/>
        <v>0.80645161290322576</v>
      </c>
    </row>
    <row r="13" spans="1:10" ht="15" customHeight="1" x14ac:dyDescent="0.25">
      <c r="A13" s="167"/>
      <c r="B13" s="178" t="s">
        <v>145</v>
      </c>
      <c r="C13" s="179"/>
      <c r="D13" s="179"/>
      <c r="E13" s="28"/>
      <c r="F13" s="22" t="s">
        <v>146</v>
      </c>
      <c r="G13" s="29">
        <v>48.6</v>
      </c>
      <c r="H13" s="22">
        <v>9</v>
      </c>
      <c r="I13" s="22">
        <v>30</v>
      </c>
      <c r="J13" s="23">
        <f t="shared" si="0"/>
        <v>0.7</v>
      </c>
    </row>
    <row r="14" spans="1:10" x14ac:dyDescent="0.25">
      <c r="A14" s="167"/>
      <c r="B14" s="181"/>
      <c r="C14" s="182"/>
      <c r="D14" s="182"/>
      <c r="E14" s="28"/>
      <c r="F14" s="22" t="s">
        <v>147</v>
      </c>
      <c r="G14" s="22">
        <v>91.4</v>
      </c>
      <c r="H14" s="22">
        <v>6</v>
      </c>
      <c r="I14" s="22">
        <v>31</v>
      </c>
      <c r="J14" s="23">
        <f t="shared" si="0"/>
        <v>0.80645161290322576</v>
      </c>
    </row>
    <row r="15" spans="1:10" x14ac:dyDescent="0.25">
      <c r="A15" s="167"/>
      <c r="B15" s="181"/>
      <c r="C15" s="182"/>
      <c r="D15" s="182"/>
      <c r="E15" s="28"/>
      <c r="F15" s="30"/>
      <c r="G15" s="4"/>
      <c r="H15" s="4"/>
      <c r="I15" s="5"/>
      <c r="J15" s="4"/>
    </row>
    <row r="16" spans="1:10" x14ac:dyDescent="0.25">
      <c r="A16" s="167"/>
      <c r="B16" s="181"/>
      <c r="C16" s="182"/>
      <c r="D16" s="182"/>
      <c r="E16" s="28"/>
      <c r="F16" s="31" t="s">
        <v>148</v>
      </c>
      <c r="G16" s="32">
        <f>(365-SUM(H3:H14))/365</f>
        <v>0.74794520547945209</v>
      </c>
      <c r="H16" s="2"/>
      <c r="I16" s="2"/>
      <c r="J16" s="2"/>
    </row>
    <row r="17" spans="1:8" x14ac:dyDescent="0.25">
      <c r="A17" s="167"/>
      <c r="B17" s="181"/>
      <c r="C17" s="182"/>
      <c r="D17" s="182"/>
      <c r="E17" s="28"/>
    </row>
    <row r="18" spans="1:8" x14ac:dyDescent="0.25">
      <c r="A18" s="167"/>
      <c r="B18" s="181"/>
      <c r="C18" s="182"/>
      <c r="D18" s="182"/>
      <c r="E18" s="28"/>
    </row>
    <row r="19" spans="1:8" x14ac:dyDescent="0.25">
      <c r="A19" s="168"/>
      <c r="B19" s="184"/>
      <c r="C19" s="185"/>
      <c r="D19" s="185"/>
      <c r="E19" s="28"/>
    </row>
    <row r="20" spans="1:8" x14ac:dyDescent="0.25">
      <c r="A20" s="33"/>
      <c r="B20" s="33"/>
      <c r="C20" s="33"/>
      <c r="D20" s="33"/>
      <c r="E20" s="33"/>
      <c r="F20" s="33"/>
      <c r="G20" s="33"/>
      <c r="H20" s="33"/>
    </row>
    <row r="21" spans="1:8" x14ac:dyDescent="0.25">
      <c r="A21" s="156" t="s">
        <v>149</v>
      </c>
      <c r="B21" s="156" t="s">
        <v>150</v>
      </c>
      <c r="C21" s="156"/>
      <c r="D21" s="156"/>
      <c r="E21" s="156"/>
      <c r="F21" s="156"/>
      <c r="G21" s="156"/>
      <c r="H21" s="156"/>
    </row>
    <row r="22" spans="1:8" x14ac:dyDescent="0.25">
      <c r="A22" s="156"/>
      <c r="B22" s="156" t="s">
        <v>151</v>
      </c>
      <c r="C22" s="156"/>
      <c r="D22" s="156"/>
      <c r="E22" s="156"/>
      <c r="F22" s="156"/>
      <c r="G22" s="156"/>
      <c r="H22" s="156"/>
    </row>
    <row r="23" spans="1:8" x14ac:dyDescent="0.25">
      <c r="A23" s="156"/>
      <c r="B23" s="14" t="s">
        <v>110</v>
      </c>
      <c r="C23" s="14" t="s">
        <v>152</v>
      </c>
      <c r="D23" s="14" t="s">
        <v>153</v>
      </c>
      <c r="E23" s="14" t="s">
        <v>154</v>
      </c>
      <c r="F23" s="14" t="s">
        <v>155</v>
      </c>
      <c r="G23" s="14" t="s">
        <v>113</v>
      </c>
      <c r="H23" s="14" t="s">
        <v>156</v>
      </c>
    </row>
    <row r="24" spans="1:8" x14ac:dyDescent="0.25">
      <c r="A24" s="34" t="s">
        <v>157</v>
      </c>
      <c r="B24" s="126">
        <v>0.17489827604766656</v>
      </c>
      <c r="C24" s="126">
        <v>0.17489827604766656</v>
      </c>
      <c r="D24" s="126">
        <v>0.17489827604766656</v>
      </c>
      <c r="E24" s="126">
        <v>5.4345140567386743</v>
      </c>
      <c r="F24" s="126">
        <v>0.21032135261668511</v>
      </c>
      <c r="G24" s="126">
        <v>1.0383730075038093</v>
      </c>
      <c r="H24" s="126">
        <v>0.24766340643796464</v>
      </c>
    </row>
    <row r="25" spans="1:8" x14ac:dyDescent="0.25">
      <c r="A25" s="33"/>
      <c r="B25" s="33"/>
      <c r="C25" s="33"/>
      <c r="D25" s="33"/>
      <c r="E25" s="33"/>
      <c r="F25" s="33"/>
      <c r="G25" s="33"/>
      <c r="H25" s="33"/>
    </row>
  </sheetData>
  <sheetProtection password="B056" sheet="1" objects="1" scenarios="1"/>
  <mergeCells count="11">
    <mergeCell ref="A21:A23"/>
    <mergeCell ref="B21:H21"/>
    <mergeCell ref="B22:H22"/>
    <mergeCell ref="F1:J1"/>
    <mergeCell ref="A2:D2"/>
    <mergeCell ref="A3:D3"/>
    <mergeCell ref="A4:A5"/>
    <mergeCell ref="B4:D4"/>
    <mergeCell ref="A10:A19"/>
    <mergeCell ref="B10:D12"/>
    <mergeCell ref="B13:D1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7:BM125"/>
  <sheetViews>
    <sheetView zoomScale="70" zoomScaleNormal="70" workbookViewId="0">
      <selection activeCell="BT41" sqref="BT41"/>
    </sheetView>
  </sheetViews>
  <sheetFormatPr defaultRowHeight="15" x14ac:dyDescent="0.25"/>
  <sheetData>
    <row r="17" spans="1:48" x14ac:dyDescent="0.25">
      <c r="AK17" t="s">
        <v>325</v>
      </c>
    </row>
    <row r="21" spans="1:48" x14ac:dyDescent="0.25">
      <c r="A21" t="s">
        <v>326</v>
      </c>
    </row>
    <row r="25" spans="1:48" x14ac:dyDescent="0.25">
      <c r="AV25" t="s">
        <v>327</v>
      </c>
    </row>
    <row r="34" spans="14:65" x14ac:dyDescent="0.25">
      <c r="N34" t="s">
        <v>326</v>
      </c>
    </row>
    <row r="36" spans="14:65" x14ac:dyDescent="0.25">
      <c r="AA36" t="s">
        <v>328</v>
      </c>
    </row>
    <row r="39" spans="14:65" x14ac:dyDescent="0.25">
      <c r="BM39" t="s">
        <v>326</v>
      </c>
    </row>
    <row r="49" spans="1:50" x14ac:dyDescent="0.25">
      <c r="AX49" t="s">
        <v>329</v>
      </c>
    </row>
    <row r="60" spans="1:50" x14ac:dyDescent="0.25">
      <c r="A60" t="s">
        <v>330</v>
      </c>
    </row>
    <row r="65" spans="14:37" x14ac:dyDescent="0.25">
      <c r="N65" t="s">
        <v>331</v>
      </c>
    </row>
    <row r="66" spans="14:37" x14ac:dyDescent="0.25">
      <c r="AK66" t="s">
        <v>332</v>
      </c>
    </row>
    <row r="84" spans="1:1" x14ac:dyDescent="0.25">
      <c r="A84" t="s">
        <v>330</v>
      </c>
    </row>
    <row r="125" spans="14:14" x14ac:dyDescent="0.25">
      <c r="N125" t="s">
        <v>333</v>
      </c>
    </row>
  </sheetData>
  <sheetProtection password="B056" sheet="1" objects="1" scenarios="1"/>
  <pageMargins left="0.511811024" right="0.511811024" top="0.78740157499999996" bottom="0.78740157499999996" header="0.31496062000000002" footer="0.3149606200000000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4"/>
  <sheetViews>
    <sheetView zoomScaleNormal="100" workbookViewId="0">
      <selection activeCell="D23" sqref="D23"/>
    </sheetView>
  </sheetViews>
  <sheetFormatPr defaultRowHeight="15" x14ac:dyDescent="0.25"/>
  <cols>
    <col min="1" max="1" width="43.28515625" customWidth="1"/>
    <col min="2" max="5" width="22.7109375" customWidth="1"/>
    <col min="6" max="6" width="25.7109375" customWidth="1"/>
    <col min="7" max="7" width="25.5703125" bestFit="1" customWidth="1"/>
    <col min="8" max="8" width="24.42578125" customWidth="1"/>
    <col min="9" max="9" width="20" bestFit="1" customWidth="1"/>
    <col min="10" max="10" width="15" customWidth="1"/>
    <col min="11" max="11" width="16.28515625" customWidth="1"/>
    <col min="12" max="12" width="13.28515625" customWidth="1"/>
    <col min="13" max="13" width="13.42578125" customWidth="1"/>
  </cols>
  <sheetData>
    <row r="1" spans="1:5" x14ac:dyDescent="0.25">
      <c r="A1" s="35" t="s">
        <v>376</v>
      </c>
    </row>
    <row r="2" spans="1:5" x14ac:dyDescent="0.25">
      <c r="A2" s="191" t="s">
        <v>16</v>
      </c>
      <c r="B2" s="191"/>
      <c r="C2" s="191"/>
      <c r="D2" s="191"/>
    </row>
    <row r="3" spans="1:5" x14ac:dyDescent="0.25">
      <c r="A3" s="7" t="s">
        <v>3</v>
      </c>
      <c r="B3" s="7" t="s">
        <v>0</v>
      </c>
      <c r="C3" s="94" t="s">
        <v>1</v>
      </c>
      <c r="D3" s="94" t="s">
        <v>2</v>
      </c>
    </row>
    <row r="4" spans="1:5" x14ac:dyDescent="0.25">
      <c r="A4" s="3" t="s">
        <v>17</v>
      </c>
      <c r="B4" s="3" t="s">
        <v>17</v>
      </c>
      <c r="C4" s="78" t="s">
        <v>17</v>
      </c>
      <c r="D4" s="6">
        <v>1611.5</v>
      </c>
    </row>
    <row r="5" spans="1:5" x14ac:dyDescent="0.25">
      <c r="A5" s="3" t="s">
        <v>4</v>
      </c>
      <c r="B5" s="5">
        <v>853.98</v>
      </c>
      <c r="C5" s="78">
        <v>685.9</v>
      </c>
      <c r="D5" s="6">
        <f>D4+B5-C5</f>
        <v>1779.58</v>
      </c>
      <c r="E5" s="8"/>
    </row>
    <row r="6" spans="1:5" x14ac:dyDescent="0.25">
      <c r="A6" s="3" t="s">
        <v>5</v>
      </c>
      <c r="B6" s="6">
        <v>7145.67</v>
      </c>
      <c r="C6" s="6">
        <v>6982.58</v>
      </c>
      <c r="D6" s="6">
        <f>D5+B6-C6</f>
        <v>1942.67</v>
      </c>
    </row>
    <row r="7" spans="1:5" x14ac:dyDescent="0.25">
      <c r="A7" s="3" t="s">
        <v>6</v>
      </c>
      <c r="B7" s="6">
        <v>6193.96</v>
      </c>
      <c r="C7" s="6">
        <v>6715.85</v>
      </c>
      <c r="D7" s="6">
        <f t="shared" ref="D7:D15" si="0">D6+B7-C7</f>
        <v>1420.7799999999997</v>
      </c>
    </row>
    <row r="8" spans="1:5" x14ac:dyDescent="0.25">
      <c r="A8" s="3" t="s">
        <v>7</v>
      </c>
      <c r="B8" s="6">
        <v>6017.03</v>
      </c>
      <c r="C8" s="6">
        <v>5672.66</v>
      </c>
      <c r="D8" s="6">
        <f t="shared" si="0"/>
        <v>1765.1499999999996</v>
      </c>
    </row>
    <row r="9" spans="1:5" x14ac:dyDescent="0.25">
      <c r="A9" s="3" t="s">
        <v>8</v>
      </c>
      <c r="B9" s="6">
        <v>6637.76</v>
      </c>
      <c r="C9" s="6">
        <v>2699.06</v>
      </c>
      <c r="D9" s="6">
        <f t="shared" si="0"/>
        <v>5703.85</v>
      </c>
    </row>
    <row r="10" spans="1:5" x14ac:dyDescent="0.25">
      <c r="A10" s="3" t="s">
        <v>9</v>
      </c>
      <c r="B10" s="6">
        <v>7290.24</v>
      </c>
      <c r="C10" s="78">
        <v>979.4</v>
      </c>
      <c r="D10" s="6">
        <f t="shared" si="0"/>
        <v>12014.69</v>
      </c>
    </row>
    <row r="11" spans="1:5" x14ac:dyDescent="0.25">
      <c r="A11" s="3" t="s">
        <v>10</v>
      </c>
      <c r="B11" s="6">
        <v>4435.96</v>
      </c>
      <c r="C11" s="6">
        <v>15277.57</v>
      </c>
      <c r="D11" s="6">
        <f t="shared" si="0"/>
        <v>1173.0800000000017</v>
      </c>
    </row>
    <row r="12" spans="1:5" x14ac:dyDescent="0.25">
      <c r="A12" s="3" t="s">
        <v>11</v>
      </c>
      <c r="B12" s="6">
        <v>6946.74</v>
      </c>
      <c r="C12" s="6">
        <v>1244.58</v>
      </c>
      <c r="D12" s="6">
        <f t="shared" si="0"/>
        <v>6875.2400000000016</v>
      </c>
    </row>
    <row r="13" spans="1:5" x14ac:dyDescent="0.25">
      <c r="A13" s="3" t="s">
        <v>12</v>
      </c>
      <c r="B13" s="6">
        <v>9137.09</v>
      </c>
      <c r="C13" s="6">
        <v>8818.0499999999993</v>
      </c>
      <c r="D13" s="6">
        <f t="shared" si="0"/>
        <v>7194.2800000000025</v>
      </c>
    </row>
    <row r="14" spans="1:5" x14ac:dyDescent="0.25">
      <c r="A14" s="3" t="s">
        <v>13</v>
      </c>
      <c r="B14" s="6">
        <v>7370.85</v>
      </c>
      <c r="C14" s="6">
        <v>12087.6</v>
      </c>
      <c r="D14" s="6">
        <f t="shared" si="0"/>
        <v>2477.5300000000025</v>
      </c>
    </row>
    <row r="15" spans="1:5" x14ac:dyDescent="0.25">
      <c r="A15" s="3" t="s">
        <v>14</v>
      </c>
      <c r="B15" s="6">
        <v>6754.79</v>
      </c>
      <c r="C15" s="78">
        <v>865.57</v>
      </c>
      <c r="D15" s="6">
        <f t="shared" si="0"/>
        <v>8366.7500000000036</v>
      </c>
    </row>
    <row r="16" spans="1:5" x14ac:dyDescent="0.25">
      <c r="A16" s="3" t="s">
        <v>15</v>
      </c>
      <c r="B16" s="6">
        <v>7200.34</v>
      </c>
      <c r="C16" s="78">
        <v>575.57000000000005</v>
      </c>
      <c r="D16" s="6">
        <f>D15+B16-C16</f>
        <v>14991.520000000004</v>
      </c>
    </row>
    <row r="17" spans="1:6" x14ac:dyDescent="0.25">
      <c r="A17" s="62" t="s">
        <v>18</v>
      </c>
      <c r="B17" s="103">
        <f>SUM(B5:B16)</f>
        <v>75984.409999999989</v>
      </c>
      <c r="C17" s="103">
        <f>SUM(C5:C16)</f>
        <v>62604.390000000007</v>
      </c>
      <c r="D17" s="103">
        <f>SUM(D4:D16)</f>
        <v>67316.62000000001</v>
      </c>
    </row>
    <row r="20" spans="1:6" x14ac:dyDescent="0.25">
      <c r="A20" s="191" t="s">
        <v>19</v>
      </c>
      <c r="B20" s="191"/>
      <c r="C20" s="191"/>
      <c r="D20" s="191"/>
      <c r="E20" s="191"/>
      <c r="F20" s="191"/>
    </row>
    <row r="21" spans="1:6" x14ac:dyDescent="0.25">
      <c r="A21" s="7" t="s">
        <v>20</v>
      </c>
      <c r="B21" s="7" t="s">
        <v>22</v>
      </c>
      <c r="C21" s="7" t="s">
        <v>24</v>
      </c>
      <c r="D21" s="7" t="s">
        <v>26</v>
      </c>
      <c r="E21" s="7" t="s">
        <v>28</v>
      </c>
      <c r="F21" s="7" t="s">
        <v>27</v>
      </c>
    </row>
    <row r="22" spans="1:6" x14ac:dyDescent="0.25">
      <c r="A22" s="30" t="s">
        <v>21</v>
      </c>
      <c r="B22" s="74" t="s">
        <v>23</v>
      </c>
      <c r="C22" s="74" t="s">
        <v>25</v>
      </c>
      <c r="D22" s="74">
        <v>1</v>
      </c>
      <c r="E22" s="74">
        <v>14</v>
      </c>
      <c r="F22" s="74">
        <v>112</v>
      </c>
    </row>
    <row r="23" spans="1:6" x14ac:dyDescent="0.25">
      <c r="A23" s="30" t="s">
        <v>21</v>
      </c>
      <c r="B23" s="74" t="s">
        <v>23</v>
      </c>
      <c r="C23" s="74" t="s">
        <v>29</v>
      </c>
      <c r="D23" s="74">
        <v>2</v>
      </c>
      <c r="E23" s="74">
        <v>9</v>
      </c>
      <c r="F23" s="74">
        <v>81</v>
      </c>
    </row>
    <row r="24" spans="1:6" x14ac:dyDescent="0.25">
      <c r="A24" s="3"/>
      <c r="B24" s="3"/>
      <c r="C24" s="3"/>
      <c r="D24" s="3"/>
      <c r="E24" s="3"/>
      <c r="F24" s="3"/>
    </row>
    <row r="25" spans="1:6" x14ac:dyDescent="0.25">
      <c r="A25" s="3"/>
      <c r="B25" s="3"/>
      <c r="C25" s="3"/>
      <c r="D25" s="3"/>
      <c r="E25" s="3"/>
      <c r="F25" s="3"/>
    </row>
    <row r="26" spans="1:6" x14ac:dyDescent="0.25">
      <c r="A26" s="191" t="s">
        <v>72</v>
      </c>
      <c r="B26" s="191"/>
      <c r="C26" s="3"/>
      <c r="D26" s="3"/>
      <c r="E26" s="3"/>
      <c r="F26" s="3"/>
    </row>
    <row r="27" spans="1:6" x14ac:dyDescent="0.25">
      <c r="A27" s="80" t="s">
        <v>73</v>
      </c>
      <c r="B27" s="88">
        <v>2077</v>
      </c>
      <c r="C27" s="3"/>
      <c r="D27" s="3"/>
      <c r="E27" s="3"/>
      <c r="F27" s="3"/>
    </row>
    <row r="28" spans="1:6" x14ac:dyDescent="0.25">
      <c r="A28" s="80" t="s">
        <v>74</v>
      </c>
      <c r="B28" s="3">
        <v>27</v>
      </c>
      <c r="C28" s="3"/>
      <c r="D28" s="3"/>
      <c r="E28" s="3"/>
      <c r="F28" s="3"/>
    </row>
    <row r="29" spans="1:6" x14ac:dyDescent="0.25">
      <c r="A29" s="80" t="s">
        <v>75</v>
      </c>
      <c r="B29" s="11">
        <v>16</v>
      </c>
      <c r="C29" s="3"/>
      <c r="D29" s="3"/>
      <c r="E29" s="3"/>
      <c r="F29" s="3"/>
    </row>
    <row r="30" spans="1:6" x14ac:dyDescent="0.25">
      <c r="A30" s="2"/>
      <c r="B30" s="2"/>
      <c r="C30" s="2"/>
      <c r="D30" s="2"/>
      <c r="E30" s="2"/>
      <c r="F30" s="2"/>
    </row>
    <row r="31" spans="1:6" x14ac:dyDescent="0.25">
      <c r="A31" s="2"/>
      <c r="B31" s="2"/>
      <c r="C31" s="2"/>
      <c r="D31" s="2"/>
      <c r="E31" s="2"/>
      <c r="F31" s="2"/>
    </row>
    <row r="32" spans="1:6" x14ac:dyDescent="0.25">
      <c r="A32" s="191" t="s">
        <v>47</v>
      </c>
      <c r="B32" s="191"/>
      <c r="C32" s="191"/>
      <c r="D32" s="191"/>
      <c r="E32" s="191"/>
      <c r="F32" s="191"/>
    </row>
    <row r="33" spans="1:6" x14ac:dyDescent="0.25">
      <c r="A33" s="194" t="s">
        <v>30</v>
      </c>
      <c r="B33" s="194" t="s">
        <v>31</v>
      </c>
      <c r="C33" s="194" t="s">
        <v>32</v>
      </c>
      <c r="D33" s="194"/>
      <c r="E33" s="194" t="s">
        <v>33</v>
      </c>
      <c r="F33" s="194" t="s">
        <v>46</v>
      </c>
    </row>
    <row r="34" spans="1:6" x14ac:dyDescent="0.25">
      <c r="A34" s="194"/>
      <c r="B34" s="194"/>
      <c r="C34" s="9" t="s">
        <v>34</v>
      </c>
      <c r="D34" s="9" t="s">
        <v>35</v>
      </c>
      <c r="E34" s="194"/>
      <c r="F34" s="194"/>
    </row>
    <row r="35" spans="1:6" x14ac:dyDescent="0.25">
      <c r="A35" s="81" t="s">
        <v>179</v>
      </c>
      <c r="B35" s="10" t="s">
        <v>37</v>
      </c>
      <c r="C35" s="84">
        <v>-20.400500000000001</v>
      </c>
      <c r="D35" s="84">
        <v>-40.368949999999998</v>
      </c>
      <c r="E35" s="10">
        <v>0.8</v>
      </c>
      <c r="F35" s="10">
        <v>22.5</v>
      </c>
    </row>
    <row r="36" spans="1:6" x14ac:dyDescent="0.25">
      <c r="A36" s="81" t="s">
        <v>180</v>
      </c>
      <c r="B36" s="10" t="s">
        <v>37</v>
      </c>
      <c r="C36" s="84">
        <v>-20.400466999999999</v>
      </c>
      <c r="D36" s="84">
        <v>-40.368949999999998</v>
      </c>
      <c r="E36" s="10">
        <v>0.95</v>
      </c>
      <c r="F36" s="10">
        <v>22.5</v>
      </c>
    </row>
    <row r="37" spans="1:6" x14ac:dyDescent="0.25">
      <c r="A37" s="81" t="s">
        <v>181</v>
      </c>
      <c r="B37" s="10" t="s">
        <v>37</v>
      </c>
      <c r="C37" s="84">
        <v>-20.400449999999999</v>
      </c>
      <c r="D37" s="84">
        <v>-40.368949999999998</v>
      </c>
      <c r="E37" s="10">
        <v>0.95</v>
      </c>
      <c r="F37" s="10">
        <v>22.5</v>
      </c>
    </row>
    <row r="38" spans="1:6" x14ac:dyDescent="0.25">
      <c r="A38" s="81" t="s">
        <v>182</v>
      </c>
      <c r="B38" s="10" t="s">
        <v>37</v>
      </c>
      <c r="C38" s="84">
        <v>-20.400433</v>
      </c>
      <c r="D38" s="84">
        <v>-40.368949999999998</v>
      </c>
      <c r="E38" s="10">
        <v>0.95</v>
      </c>
      <c r="F38" s="10">
        <v>22.5</v>
      </c>
    </row>
    <row r="39" spans="1:6" x14ac:dyDescent="0.25">
      <c r="A39" s="81" t="s">
        <v>183</v>
      </c>
      <c r="B39" s="10" t="s">
        <v>42</v>
      </c>
      <c r="C39" s="84">
        <v>-20.401167000000001</v>
      </c>
      <c r="D39" s="84">
        <v>-40.368450000000003</v>
      </c>
      <c r="E39" s="10">
        <v>1.3</v>
      </c>
      <c r="F39" s="10">
        <v>11</v>
      </c>
    </row>
    <row r="40" spans="1:6" x14ac:dyDescent="0.25">
      <c r="A40" s="81" t="s">
        <v>184</v>
      </c>
      <c r="B40" s="10" t="s">
        <v>43</v>
      </c>
      <c r="C40" s="84">
        <v>-20.40005</v>
      </c>
      <c r="D40" s="84">
        <v>-40.368699999999997</v>
      </c>
      <c r="E40" s="10">
        <v>0.95</v>
      </c>
      <c r="F40" s="10">
        <v>11.1</v>
      </c>
    </row>
    <row r="41" spans="1:6" ht="22.5" x14ac:dyDescent="0.25">
      <c r="A41" s="81" t="s">
        <v>185</v>
      </c>
      <c r="B41" s="10" t="s">
        <v>44</v>
      </c>
      <c r="C41" s="84">
        <v>-20.401212999999998</v>
      </c>
      <c r="D41" s="84">
        <v>-40.368720000000003</v>
      </c>
      <c r="E41" s="10">
        <v>0.45</v>
      </c>
      <c r="F41" s="10">
        <v>9.6</v>
      </c>
    </row>
    <row r="42" spans="1:6" x14ac:dyDescent="0.25">
      <c r="A42" s="81" t="s">
        <v>186</v>
      </c>
      <c r="B42" s="10" t="s">
        <v>45</v>
      </c>
      <c r="C42" s="84">
        <v>-20.400632999999999</v>
      </c>
      <c r="D42" s="84">
        <v>-40.367733000000001</v>
      </c>
      <c r="E42" s="10">
        <v>2.5</v>
      </c>
      <c r="F42" s="10">
        <v>10</v>
      </c>
    </row>
    <row r="45" spans="1:6" x14ac:dyDescent="0.25">
      <c r="A45" s="193" t="s">
        <v>64</v>
      </c>
      <c r="B45" s="193"/>
      <c r="C45" s="193"/>
      <c r="D45" s="193"/>
    </row>
    <row r="46" spans="1:6" x14ac:dyDescent="0.25">
      <c r="A46" s="7" t="s">
        <v>66</v>
      </c>
      <c r="B46" s="7" t="s">
        <v>67</v>
      </c>
      <c r="C46" s="7" t="s">
        <v>68</v>
      </c>
      <c r="D46" s="7" t="s">
        <v>76</v>
      </c>
    </row>
    <row r="47" spans="1:6" x14ac:dyDescent="0.25">
      <c r="A47" s="80" t="s">
        <v>65</v>
      </c>
      <c r="B47" s="3" t="s">
        <v>69</v>
      </c>
      <c r="C47" s="3">
        <v>3</v>
      </c>
      <c r="D47" s="3" t="s">
        <v>77</v>
      </c>
    </row>
    <row r="48" spans="1:6" x14ac:dyDescent="0.25">
      <c r="A48" s="80" t="s">
        <v>70</v>
      </c>
      <c r="B48" s="3" t="s">
        <v>71</v>
      </c>
      <c r="C48" s="3" t="s">
        <v>17</v>
      </c>
      <c r="D48" s="1" t="s">
        <v>17</v>
      </c>
    </row>
    <row r="51" spans="1:9" x14ac:dyDescent="0.25">
      <c r="A51" s="191" t="s">
        <v>80</v>
      </c>
      <c r="B51" s="191"/>
      <c r="I51" s="13"/>
    </row>
    <row r="52" spans="1:9" x14ac:dyDescent="0.25">
      <c r="A52" s="80" t="s">
        <v>78</v>
      </c>
      <c r="B52" s="3" t="s">
        <v>81</v>
      </c>
    </row>
    <row r="53" spans="1:9" x14ac:dyDescent="0.25">
      <c r="A53" s="80" t="s">
        <v>79</v>
      </c>
      <c r="B53" s="90">
        <v>82000</v>
      </c>
    </row>
    <row r="54" spans="1:9" x14ac:dyDescent="0.25">
      <c r="A54" s="3"/>
      <c r="B54" s="3"/>
    </row>
    <row r="55" spans="1:9" x14ac:dyDescent="0.25">
      <c r="A55" s="3"/>
      <c r="B55" s="3"/>
    </row>
    <row r="56" spans="1:9" x14ac:dyDescent="0.25">
      <c r="A56" s="192" t="s">
        <v>165</v>
      </c>
      <c r="B56" s="192"/>
      <c r="C56" s="192"/>
      <c r="D56" s="192"/>
      <c r="E56" s="192"/>
    </row>
    <row r="57" spans="1:9" s="43" customFormat="1" x14ac:dyDescent="0.25">
      <c r="A57" s="70" t="s">
        <v>166</v>
      </c>
      <c r="B57" s="157" t="s">
        <v>176</v>
      </c>
      <c r="C57" s="157"/>
      <c r="D57" s="157"/>
      <c r="E57" s="157"/>
    </row>
    <row r="58" spans="1:9" s="43" customFormat="1" x14ac:dyDescent="0.25">
      <c r="A58" s="64" t="s">
        <v>3</v>
      </c>
      <c r="B58" s="64" t="s">
        <v>168</v>
      </c>
      <c r="C58" s="64" t="s">
        <v>169</v>
      </c>
      <c r="D58" s="64" t="s">
        <v>170</v>
      </c>
      <c r="E58" s="64" t="s">
        <v>171</v>
      </c>
    </row>
    <row r="59" spans="1:9" s="43" customFormat="1" x14ac:dyDescent="0.25">
      <c r="A59" s="64" t="s">
        <v>4</v>
      </c>
      <c r="B59" s="104">
        <v>523.95000000000005</v>
      </c>
      <c r="C59" s="104"/>
      <c r="D59" s="104"/>
      <c r="E59" s="104">
        <f t="shared" ref="E59" si="1">B59+C59-D59</f>
        <v>523.95000000000005</v>
      </c>
    </row>
    <row r="60" spans="1:9" s="43" customFormat="1" x14ac:dyDescent="0.25">
      <c r="A60" s="64" t="s">
        <v>5</v>
      </c>
      <c r="B60" s="104">
        <v>523.95000000000005</v>
      </c>
      <c r="C60" s="104"/>
      <c r="D60" s="104"/>
      <c r="E60" s="104">
        <f>B60+C60-D60</f>
        <v>523.95000000000005</v>
      </c>
    </row>
    <row r="61" spans="1:9" s="43" customFormat="1" x14ac:dyDescent="0.25">
      <c r="A61" s="64" t="s">
        <v>6</v>
      </c>
      <c r="B61" s="104">
        <v>523.95000000000005</v>
      </c>
      <c r="C61" s="104"/>
      <c r="D61" s="104"/>
      <c r="E61" s="104">
        <f t="shared" ref="E61:E70" si="2">B61+C61-D61</f>
        <v>523.95000000000005</v>
      </c>
    </row>
    <row r="62" spans="1:9" s="43" customFormat="1" x14ac:dyDescent="0.25">
      <c r="A62" s="64" t="s">
        <v>7</v>
      </c>
      <c r="B62" s="104">
        <v>523.95000000000005</v>
      </c>
      <c r="C62" s="104"/>
      <c r="D62" s="104"/>
      <c r="E62" s="104">
        <f t="shared" si="2"/>
        <v>523.95000000000005</v>
      </c>
    </row>
    <row r="63" spans="1:9" s="43" customFormat="1" x14ac:dyDescent="0.25">
      <c r="A63" s="64" t="s">
        <v>8</v>
      </c>
      <c r="B63" s="104">
        <v>523.95000000000005</v>
      </c>
      <c r="C63" s="104"/>
      <c r="D63" s="104"/>
      <c r="E63" s="104">
        <f t="shared" si="2"/>
        <v>523.95000000000005</v>
      </c>
    </row>
    <row r="64" spans="1:9" s="43" customFormat="1" x14ac:dyDescent="0.25">
      <c r="A64" s="64" t="s">
        <v>9</v>
      </c>
      <c r="B64" s="104">
        <v>523.95000000000005</v>
      </c>
      <c r="C64" s="104"/>
      <c r="D64" s="104"/>
      <c r="E64" s="104">
        <f t="shared" si="2"/>
        <v>523.95000000000005</v>
      </c>
    </row>
    <row r="65" spans="1:5" s="43" customFormat="1" x14ac:dyDescent="0.25">
      <c r="A65" s="64" t="s">
        <v>10</v>
      </c>
      <c r="B65" s="104">
        <v>523.95000000000005</v>
      </c>
      <c r="C65" s="104"/>
      <c r="D65" s="104"/>
      <c r="E65" s="104">
        <f t="shared" si="2"/>
        <v>523.95000000000005</v>
      </c>
    </row>
    <row r="66" spans="1:5" s="43" customFormat="1" x14ac:dyDescent="0.25">
      <c r="A66" s="64" t="s">
        <v>11</v>
      </c>
      <c r="B66" s="104">
        <v>523.95000000000005</v>
      </c>
      <c r="C66" s="104"/>
      <c r="D66" s="104"/>
      <c r="E66" s="104">
        <f t="shared" si="2"/>
        <v>523.95000000000005</v>
      </c>
    </row>
    <row r="67" spans="1:5" s="43" customFormat="1" x14ac:dyDescent="0.25">
      <c r="A67" s="64" t="s">
        <v>12</v>
      </c>
      <c r="B67" s="104">
        <v>523.95000000000005</v>
      </c>
      <c r="C67" s="104"/>
      <c r="D67" s="104"/>
      <c r="E67" s="104">
        <f t="shared" si="2"/>
        <v>523.95000000000005</v>
      </c>
    </row>
    <row r="68" spans="1:5" s="43" customFormat="1" x14ac:dyDescent="0.25">
      <c r="A68" s="64" t="s">
        <v>13</v>
      </c>
      <c r="B68" s="104">
        <v>523.95000000000005</v>
      </c>
      <c r="C68" s="104"/>
      <c r="D68" s="104"/>
      <c r="E68" s="104">
        <f t="shared" si="2"/>
        <v>523.95000000000005</v>
      </c>
    </row>
    <row r="69" spans="1:5" s="43" customFormat="1" x14ac:dyDescent="0.25">
      <c r="A69" s="64" t="s">
        <v>14</v>
      </c>
      <c r="B69" s="104">
        <v>523.95000000000005</v>
      </c>
      <c r="C69" s="104"/>
      <c r="D69" s="104"/>
      <c r="E69" s="104">
        <f t="shared" si="2"/>
        <v>523.95000000000005</v>
      </c>
    </row>
    <row r="70" spans="1:5" s="43" customFormat="1" x14ac:dyDescent="0.25">
      <c r="A70" s="64" t="s">
        <v>15</v>
      </c>
      <c r="B70" s="104">
        <v>523.95000000000005</v>
      </c>
      <c r="C70" s="104"/>
      <c r="D70" s="104"/>
      <c r="E70" s="104">
        <f t="shared" si="2"/>
        <v>523.95000000000005</v>
      </c>
    </row>
    <row r="71" spans="1:5" s="43" customFormat="1" x14ac:dyDescent="0.25">
      <c r="A71" s="105" t="s">
        <v>18</v>
      </c>
      <c r="B71" s="105">
        <v>523.95000000000005</v>
      </c>
      <c r="C71" s="105">
        <f>SUM(C59:C70)</f>
        <v>0</v>
      </c>
      <c r="D71" s="105">
        <f>SUM(D59:D70)</f>
        <v>0</v>
      </c>
      <c r="E71" s="105">
        <v>523.95000000000005</v>
      </c>
    </row>
    <row r="72" spans="1:5" x14ac:dyDescent="0.25">
      <c r="A72" s="70" t="s">
        <v>166</v>
      </c>
      <c r="B72" s="157" t="s">
        <v>167</v>
      </c>
      <c r="C72" s="157"/>
      <c r="D72" s="157"/>
      <c r="E72" s="157"/>
    </row>
    <row r="73" spans="1:5" x14ac:dyDescent="0.25">
      <c r="A73" s="64" t="s">
        <v>3</v>
      </c>
      <c r="B73" s="104" t="s">
        <v>168</v>
      </c>
      <c r="C73" s="104" t="s">
        <v>169</v>
      </c>
      <c r="D73" s="104" t="s">
        <v>170</v>
      </c>
      <c r="E73" s="104" t="s">
        <v>171</v>
      </c>
    </row>
    <row r="74" spans="1:5" x14ac:dyDescent="0.25">
      <c r="A74" s="64" t="s">
        <v>4</v>
      </c>
      <c r="B74" s="104">
        <v>420.00099999999998</v>
      </c>
      <c r="C74" s="104">
        <v>8952.3459999999995</v>
      </c>
      <c r="D74" s="104">
        <f>9055.351</f>
        <v>9055.3510000000006</v>
      </c>
      <c r="E74" s="104">
        <f t="shared" ref="E74:E84" si="3">B74+C74-D74</f>
        <v>316.99599999999919</v>
      </c>
    </row>
    <row r="75" spans="1:5" x14ac:dyDescent="0.25">
      <c r="A75" s="64" t="s">
        <v>5</v>
      </c>
      <c r="B75" s="104">
        <v>325.00099999999998</v>
      </c>
      <c r="C75" s="104">
        <v>952.31399999999996</v>
      </c>
      <c r="D75" s="104">
        <v>867.31500000000005</v>
      </c>
      <c r="E75" s="104">
        <f>B75+C75-D75</f>
        <v>410</v>
      </c>
    </row>
    <row r="76" spans="1:5" x14ac:dyDescent="0.25">
      <c r="A76" s="64" t="s">
        <v>6</v>
      </c>
      <c r="B76" s="104">
        <f>E75</f>
        <v>410</v>
      </c>
      <c r="C76" s="104">
        <v>1128.67</v>
      </c>
      <c r="D76" s="104">
        <v>622.66999999999996</v>
      </c>
      <c r="E76" s="104">
        <f t="shared" si="3"/>
        <v>916.00000000000011</v>
      </c>
    </row>
    <row r="77" spans="1:5" x14ac:dyDescent="0.25">
      <c r="A77" s="64" t="s">
        <v>7</v>
      </c>
      <c r="B77" s="104">
        <f>E76</f>
        <v>916.00000000000011</v>
      </c>
      <c r="C77" s="104">
        <v>235.404</v>
      </c>
      <c r="D77" s="104">
        <v>748.404</v>
      </c>
      <c r="E77" s="104">
        <f t="shared" si="3"/>
        <v>403</v>
      </c>
    </row>
    <row r="78" spans="1:5" x14ac:dyDescent="0.25">
      <c r="A78" s="64" t="s">
        <v>8</v>
      </c>
      <c r="B78" s="104">
        <f t="shared" ref="B78:B85" si="4">E77</f>
        <v>403</v>
      </c>
      <c r="C78" s="104">
        <v>634.51199999999994</v>
      </c>
      <c r="D78" s="104">
        <v>855.51199999999994</v>
      </c>
      <c r="E78" s="104">
        <f t="shared" si="3"/>
        <v>182</v>
      </c>
    </row>
    <row r="79" spans="1:5" x14ac:dyDescent="0.25">
      <c r="A79" s="64" t="s">
        <v>9</v>
      </c>
      <c r="B79" s="104">
        <f t="shared" si="4"/>
        <v>182</v>
      </c>
      <c r="C79" s="104">
        <v>841.63599999999997</v>
      </c>
      <c r="D79" s="104">
        <v>883.63599999999997</v>
      </c>
      <c r="E79" s="104">
        <f t="shared" si="3"/>
        <v>140</v>
      </c>
    </row>
    <row r="80" spans="1:5" x14ac:dyDescent="0.25">
      <c r="A80" s="64" t="s">
        <v>10</v>
      </c>
      <c r="B80" s="104">
        <f t="shared" si="4"/>
        <v>140</v>
      </c>
      <c r="C80" s="104">
        <v>603.14</v>
      </c>
      <c r="D80" s="104">
        <v>503.142</v>
      </c>
      <c r="E80" s="104">
        <f t="shared" si="3"/>
        <v>239.99799999999999</v>
      </c>
    </row>
    <row r="81" spans="1:6" x14ac:dyDescent="0.25">
      <c r="A81" s="64" t="s">
        <v>11</v>
      </c>
      <c r="B81" s="104">
        <f t="shared" si="4"/>
        <v>239.99799999999999</v>
      </c>
      <c r="C81" s="104">
        <v>670.39</v>
      </c>
      <c r="D81" s="104">
        <v>720.39400000000001</v>
      </c>
      <c r="E81" s="104">
        <f t="shared" si="3"/>
        <v>189.99399999999991</v>
      </c>
    </row>
    <row r="82" spans="1:6" x14ac:dyDescent="0.25">
      <c r="A82" s="64" t="s">
        <v>12</v>
      </c>
      <c r="B82" s="104">
        <f t="shared" si="4"/>
        <v>189.99399999999991</v>
      </c>
      <c r="C82" s="104">
        <v>1207.47</v>
      </c>
      <c r="D82" s="104">
        <v>1177.4649999999999</v>
      </c>
      <c r="E82" s="104">
        <f t="shared" si="3"/>
        <v>219.99900000000002</v>
      </c>
    </row>
    <row r="83" spans="1:6" x14ac:dyDescent="0.25">
      <c r="A83" s="64" t="s">
        <v>13</v>
      </c>
      <c r="B83" s="104">
        <f t="shared" si="4"/>
        <v>219.99900000000002</v>
      </c>
      <c r="C83" s="104">
        <v>1072.8</v>
      </c>
      <c r="D83" s="104">
        <v>832.79700000000003</v>
      </c>
      <c r="E83" s="104">
        <f t="shared" si="3"/>
        <v>460.00199999999995</v>
      </c>
    </row>
    <row r="84" spans="1:6" x14ac:dyDescent="0.25">
      <c r="A84" s="64" t="s">
        <v>14</v>
      </c>
      <c r="B84" s="104">
        <f t="shared" si="4"/>
        <v>460.00199999999995</v>
      </c>
      <c r="C84" s="104">
        <v>739.92</v>
      </c>
      <c r="D84" s="104">
        <v>799.92600000000004</v>
      </c>
      <c r="E84" s="104">
        <f t="shared" si="3"/>
        <v>399.99599999999998</v>
      </c>
    </row>
    <row r="85" spans="1:6" x14ac:dyDescent="0.25">
      <c r="A85" s="64" t="s">
        <v>15</v>
      </c>
      <c r="B85" s="104">
        <f t="shared" si="4"/>
        <v>399.99599999999998</v>
      </c>
      <c r="C85" s="104">
        <v>866.09</v>
      </c>
      <c r="D85" s="104">
        <v>949.09</v>
      </c>
      <c r="E85" s="104">
        <f>B85+C85-D85</f>
        <v>316.99599999999998</v>
      </c>
    </row>
    <row r="86" spans="1:6" x14ac:dyDescent="0.25">
      <c r="A86" s="106" t="s">
        <v>18</v>
      </c>
      <c r="B86" s="106"/>
      <c r="C86" s="107">
        <f>SUM(C74:C85)</f>
        <v>17904.691999999999</v>
      </c>
      <c r="D86" s="107">
        <f>SUM(D74:D85)</f>
        <v>18015.702000000005</v>
      </c>
      <c r="E86" s="106"/>
    </row>
    <row r="87" spans="1:6" x14ac:dyDescent="0.25">
      <c r="A87" s="70" t="s">
        <v>166</v>
      </c>
      <c r="B87" s="157" t="s">
        <v>172</v>
      </c>
      <c r="C87" s="157"/>
      <c r="D87" s="157"/>
      <c r="E87" s="157"/>
      <c r="F87" s="2"/>
    </row>
    <row r="88" spans="1:6" x14ac:dyDescent="0.25">
      <c r="A88" s="64" t="s">
        <v>3</v>
      </c>
      <c r="B88" s="104" t="s">
        <v>168</v>
      </c>
      <c r="C88" s="104" t="s">
        <v>169</v>
      </c>
      <c r="D88" s="104" t="s">
        <v>170</v>
      </c>
      <c r="E88" s="104" t="s">
        <v>171</v>
      </c>
      <c r="F88" s="2"/>
    </row>
    <row r="89" spans="1:6" x14ac:dyDescent="0.25">
      <c r="A89" s="64" t="s">
        <v>4</v>
      </c>
      <c r="B89" s="104">
        <v>153.22</v>
      </c>
      <c r="C89" s="104">
        <v>54102.584000000003</v>
      </c>
      <c r="D89" s="104">
        <v>53664.521000000001</v>
      </c>
      <c r="E89" s="104">
        <f>B89+C89-D89</f>
        <v>591.28300000000309</v>
      </c>
      <c r="F89" s="2"/>
    </row>
    <row r="90" spans="1:6" x14ac:dyDescent="0.25">
      <c r="A90" s="64" t="s">
        <v>5</v>
      </c>
      <c r="B90" s="104">
        <v>470.08</v>
      </c>
      <c r="C90" s="104">
        <v>5174.55</v>
      </c>
      <c r="D90" s="104">
        <v>4989.63</v>
      </c>
      <c r="E90" s="104">
        <f>B90+C90-D90</f>
        <v>655</v>
      </c>
      <c r="F90" s="2"/>
    </row>
    <row r="91" spans="1:6" x14ac:dyDescent="0.25">
      <c r="A91" s="64" t="s">
        <v>6</v>
      </c>
      <c r="B91" s="104">
        <f>E90</f>
        <v>655</v>
      </c>
      <c r="C91" s="104">
        <v>4649.38</v>
      </c>
      <c r="D91" s="104">
        <v>4525.3109999999997</v>
      </c>
      <c r="E91" s="104">
        <f t="shared" ref="E91:E100" si="5">B91+C91-D91</f>
        <v>779.06900000000041</v>
      </c>
    </row>
    <row r="92" spans="1:6" x14ac:dyDescent="0.25">
      <c r="A92" s="64" t="s">
        <v>7</v>
      </c>
      <c r="B92" s="104">
        <f t="shared" ref="B92:B100" si="6">E91</f>
        <v>779.06900000000041</v>
      </c>
      <c r="C92" s="104">
        <v>3847.116</v>
      </c>
      <c r="D92" s="104">
        <v>4048.973</v>
      </c>
      <c r="E92" s="104">
        <f t="shared" si="5"/>
        <v>577.21200000000044</v>
      </c>
    </row>
    <row r="93" spans="1:6" x14ac:dyDescent="0.25">
      <c r="A93" s="64" t="s">
        <v>8</v>
      </c>
      <c r="B93" s="104">
        <f t="shared" si="6"/>
        <v>577.21200000000044</v>
      </c>
      <c r="C93" s="104">
        <v>4962.1909999999998</v>
      </c>
      <c r="D93" s="104">
        <v>4808.1099999999997</v>
      </c>
      <c r="E93" s="104">
        <f t="shared" si="5"/>
        <v>731.29300000000057</v>
      </c>
    </row>
    <row r="94" spans="1:6" x14ac:dyDescent="0.25">
      <c r="A94" s="64" t="s">
        <v>9</v>
      </c>
      <c r="B94" s="104">
        <f t="shared" si="6"/>
        <v>731.29300000000057</v>
      </c>
      <c r="C94" s="104">
        <v>5305.9110000000001</v>
      </c>
      <c r="D94" s="104">
        <v>4767.799</v>
      </c>
      <c r="E94" s="104">
        <f t="shared" si="5"/>
        <v>1269.4050000000007</v>
      </c>
    </row>
    <row r="95" spans="1:6" x14ac:dyDescent="0.25">
      <c r="A95" s="64" t="s">
        <v>10</v>
      </c>
      <c r="B95" s="104">
        <f t="shared" si="6"/>
        <v>1269.4050000000007</v>
      </c>
      <c r="C95" s="104">
        <v>2750.8159999999998</v>
      </c>
      <c r="D95" s="104">
        <v>3158.7629999999999</v>
      </c>
      <c r="E95" s="104">
        <f t="shared" si="5"/>
        <v>861.45800000000054</v>
      </c>
    </row>
    <row r="96" spans="1:6" x14ac:dyDescent="0.25">
      <c r="A96" s="64" t="s">
        <v>11</v>
      </c>
      <c r="B96" s="104">
        <f t="shared" si="6"/>
        <v>861.45800000000054</v>
      </c>
      <c r="C96" s="104">
        <v>4664.3900000000003</v>
      </c>
      <c r="D96" s="104">
        <v>5087.8450000000003</v>
      </c>
      <c r="E96" s="104">
        <f t="shared" si="5"/>
        <v>438.00300000000061</v>
      </c>
    </row>
    <row r="97" spans="1:6" x14ac:dyDescent="0.25">
      <c r="A97" s="64" t="s">
        <v>12</v>
      </c>
      <c r="B97" s="104">
        <f t="shared" si="6"/>
        <v>438.00300000000061</v>
      </c>
      <c r="C97" s="104">
        <v>6531.7150000000001</v>
      </c>
      <c r="D97" s="104">
        <v>6564.7139999999999</v>
      </c>
      <c r="E97" s="104">
        <f t="shared" si="5"/>
        <v>405.00400000000081</v>
      </c>
    </row>
    <row r="98" spans="1:6" x14ac:dyDescent="0.25">
      <c r="A98" s="64" t="s">
        <v>13</v>
      </c>
      <c r="B98" s="104">
        <f t="shared" si="6"/>
        <v>405.00400000000081</v>
      </c>
      <c r="C98" s="104">
        <v>5122.21</v>
      </c>
      <c r="D98" s="104">
        <v>5094.7209999999995</v>
      </c>
      <c r="E98" s="104">
        <f t="shared" si="5"/>
        <v>432.4930000000013</v>
      </c>
    </row>
    <row r="99" spans="1:6" x14ac:dyDescent="0.25">
      <c r="A99" s="64" t="s">
        <v>14</v>
      </c>
      <c r="B99" s="104">
        <f t="shared" si="6"/>
        <v>432.4930000000013</v>
      </c>
      <c r="C99" s="104">
        <v>4761.9059999999999</v>
      </c>
      <c r="D99" s="104">
        <v>4857.8959999999997</v>
      </c>
      <c r="E99" s="104">
        <f t="shared" si="5"/>
        <v>336.50300000000152</v>
      </c>
    </row>
    <row r="100" spans="1:6" x14ac:dyDescent="0.25">
      <c r="A100" s="64" t="s">
        <v>15</v>
      </c>
      <c r="B100" s="104">
        <f t="shared" si="6"/>
        <v>336.50300000000152</v>
      </c>
      <c r="C100" s="104">
        <v>5468.0690000000004</v>
      </c>
      <c r="D100" s="104">
        <v>5213.2889999999998</v>
      </c>
      <c r="E100" s="104">
        <f t="shared" si="5"/>
        <v>591.28300000000218</v>
      </c>
    </row>
    <row r="101" spans="1:6" x14ac:dyDescent="0.25">
      <c r="A101" s="106" t="s">
        <v>18</v>
      </c>
      <c r="B101" s="106"/>
      <c r="C101" s="107">
        <f t="shared" ref="C101:D101" si="7">SUM(C89:C100)</f>
        <v>107340.83800000003</v>
      </c>
      <c r="D101" s="107">
        <f t="shared" si="7"/>
        <v>106781.572</v>
      </c>
      <c r="E101" s="107">
        <f>SUM(E89:E100)</f>
        <v>7668.0060000000121</v>
      </c>
    </row>
    <row r="102" spans="1:6" x14ac:dyDescent="0.25">
      <c r="A102" s="70" t="s">
        <v>166</v>
      </c>
      <c r="B102" s="157" t="s">
        <v>173</v>
      </c>
      <c r="C102" s="157"/>
      <c r="D102" s="157"/>
      <c r="E102" s="157"/>
    </row>
    <row r="103" spans="1:6" x14ac:dyDescent="0.25">
      <c r="A103" s="64" t="s">
        <v>3</v>
      </c>
      <c r="B103" s="104" t="s">
        <v>168</v>
      </c>
      <c r="C103" s="104" t="s">
        <v>169</v>
      </c>
      <c r="D103" s="104" t="s">
        <v>170</v>
      </c>
      <c r="E103" s="104" t="s">
        <v>171</v>
      </c>
    </row>
    <row r="104" spans="1:6" x14ac:dyDescent="0.25">
      <c r="A104" s="64" t="s">
        <v>4</v>
      </c>
      <c r="B104" s="104">
        <v>1046.2049999999999</v>
      </c>
      <c r="C104" s="104">
        <v>143734.976</v>
      </c>
      <c r="D104" s="104">
        <v>138018.41200000001</v>
      </c>
      <c r="E104" s="104">
        <f>B104+C104-D104</f>
        <v>6762.7689999999711</v>
      </c>
    </row>
    <row r="105" spans="1:6" x14ac:dyDescent="0.25">
      <c r="A105" s="64" t="s">
        <v>5</v>
      </c>
      <c r="B105" s="104">
        <f>E104</f>
        <v>6762.7689999999711</v>
      </c>
      <c r="C105" s="104">
        <v>14925.68</v>
      </c>
      <c r="D105" s="104">
        <v>12079.815000000001</v>
      </c>
      <c r="E105" s="104">
        <f>B105+C105-D105</f>
        <v>9608.6339999999709</v>
      </c>
    </row>
    <row r="106" spans="1:6" x14ac:dyDescent="0.25">
      <c r="A106" s="64" t="s">
        <v>6</v>
      </c>
      <c r="B106" s="104">
        <f t="shared" ref="B106:B115" si="8">E105</f>
        <v>9608.6339999999709</v>
      </c>
      <c r="C106" s="104">
        <v>11808.911</v>
      </c>
      <c r="D106" s="104">
        <v>12170.484</v>
      </c>
      <c r="E106" s="104">
        <f t="shared" ref="E106:E115" si="9">B106+C106-D106</f>
        <v>9247.0609999999688</v>
      </c>
      <c r="F106" s="2"/>
    </row>
    <row r="107" spans="1:6" x14ac:dyDescent="0.25">
      <c r="A107" s="64" t="s">
        <v>7</v>
      </c>
      <c r="B107" s="104">
        <f t="shared" si="8"/>
        <v>9247.0609999999688</v>
      </c>
      <c r="C107" s="104">
        <v>14163.303</v>
      </c>
      <c r="D107" s="104">
        <v>10804.579</v>
      </c>
      <c r="E107" s="104">
        <f t="shared" si="9"/>
        <v>12605.784999999969</v>
      </c>
      <c r="F107" s="2"/>
    </row>
    <row r="108" spans="1:6" x14ac:dyDescent="0.25">
      <c r="A108" s="64" t="s">
        <v>8</v>
      </c>
      <c r="B108" s="104">
        <f t="shared" si="8"/>
        <v>12605.784999999969</v>
      </c>
      <c r="C108" s="104">
        <v>8510.0040000000008</v>
      </c>
      <c r="D108" s="104">
        <v>12870.955</v>
      </c>
      <c r="E108" s="104">
        <f t="shared" si="9"/>
        <v>8244.833999999968</v>
      </c>
      <c r="F108" s="2"/>
    </row>
    <row r="109" spans="1:6" x14ac:dyDescent="0.25">
      <c r="A109" s="64" t="s">
        <v>9</v>
      </c>
      <c r="B109" s="104">
        <f t="shared" si="8"/>
        <v>8244.833999999968</v>
      </c>
      <c r="C109" s="104">
        <v>11892.562</v>
      </c>
      <c r="D109" s="104">
        <v>11404.103999999999</v>
      </c>
      <c r="E109" s="104">
        <f t="shared" si="9"/>
        <v>8733.2919999999685</v>
      </c>
      <c r="F109" s="2"/>
    </row>
    <row r="110" spans="1:6" x14ac:dyDescent="0.25">
      <c r="A110" s="64" t="s">
        <v>10</v>
      </c>
      <c r="B110" s="104">
        <f t="shared" si="8"/>
        <v>8733.2919999999685</v>
      </c>
      <c r="C110" s="104">
        <v>5568.4560000000001</v>
      </c>
      <c r="D110" s="104">
        <v>8590.9480000000003</v>
      </c>
      <c r="E110" s="104">
        <f t="shared" si="9"/>
        <v>5710.7999999999683</v>
      </c>
      <c r="F110" s="2"/>
    </row>
    <row r="111" spans="1:6" x14ac:dyDescent="0.25">
      <c r="A111" s="64" t="s">
        <v>11</v>
      </c>
      <c r="B111" s="104">
        <f t="shared" si="8"/>
        <v>5710.7999999999683</v>
      </c>
      <c r="C111" s="104">
        <v>13447.458000000001</v>
      </c>
      <c r="D111" s="104">
        <v>12313.543</v>
      </c>
      <c r="E111" s="104">
        <f t="shared" si="9"/>
        <v>6844.7149999999692</v>
      </c>
      <c r="F111" s="2"/>
    </row>
    <row r="112" spans="1:6" x14ac:dyDescent="0.25">
      <c r="A112" s="64" t="s">
        <v>12</v>
      </c>
      <c r="B112" s="104">
        <f t="shared" si="8"/>
        <v>6844.7149999999692</v>
      </c>
      <c r="C112" s="104">
        <v>19215.152999999998</v>
      </c>
      <c r="D112" s="104">
        <v>15838.465</v>
      </c>
      <c r="E112" s="104">
        <f t="shared" si="9"/>
        <v>10221.402999999966</v>
      </c>
      <c r="F112" s="2"/>
    </row>
    <row r="113" spans="1:6" x14ac:dyDescent="0.25">
      <c r="A113" s="64" t="s">
        <v>13</v>
      </c>
      <c r="B113" s="104">
        <f t="shared" si="8"/>
        <v>10221.402999999966</v>
      </c>
      <c r="C113" s="104">
        <v>13889.08</v>
      </c>
      <c r="D113" s="104">
        <v>13540.17</v>
      </c>
      <c r="E113" s="104">
        <f t="shared" si="9"/>
        <v>10570.312999999964</v>
      </c>
      <c r="F113" s="2"/>
    </row>
    <row r="114" spans="1:6" x14ac:dyDescent="0.25">
      <c r="A114" s="64" t="s">
        <v>14</v>
      </c>
      <c r="B114" s="104">
        <f t="shared" si="8"/>
        <v>10570.312999999964</v>
      </c>
      <c r="C114" s="104">
        <v>14161.853999999999</v>
      </c>
      <c r="D114" s="104">
        <v>12711.245999999999</v>
      </c>
      <c r="E114" s="104">
        <f t="shared" si="9"/>
        <v>12020.920999999966</v>
      </c>
      <c r="F114" s="2"/>
    </row>
    <row r="115" spans="1:6" x14ac:dyDescent="0.25">
      <c r="A115" s="64" t="s">
        <v>15</v>
      </c>
      <c r="B115" s="104">
        <f t="shared" si="8"/>
        <v>12020.920999999966</v>
      </c>
      <c r="C115" s="104">
        <v>13349.913</v>
      </c>
      <c r="D115" s="104">
        <v>13711.833000000001</v>
      </c>
      <c r="E115" s="104">
        <f t="shared" si="9"/>
        <v>11659.000999999966</v>
      </c>
      <c r="F115" s="2"/>
    </row>
    <row r="116" spans="1:6" x14ac:dyDescent="0.25">
      <c r="A116" s="106" t="s">
        <v>18</v>
      </c>
      <c r="B116" s="106"/>
      <c r="C116" s="107">
        <f>SUM(C104:C115)</f>
        <v>284667.35000000003</v>
      </c>
      <c r="D116" s="107">
        <f t="shared" ref="D116" si="10">SUM(D104:D115)</f>
        <v>274054.554</v>
      </c>
      <c r="E116" s="106"/>
      <c r="F116" s="2"/>
    </row>
    <row r="117" spans="1:6" x14ac:dyDescent="0.25">
      <c r="A117" s="73" t="s">
        <v>166</v>
      </c>
      <c r="B117" s="156" t="s">
        <v>174</v>
      </c>
      <c r="C117" s="156"/>
      <c r="D117" s="156"/>
      <c r="E117" s="156"/>
      <c r="F117" s="2"/>
    </row>
    <row r="118" spans="1:6" x14ac:dyDescent="0.25">
      <c r="A118" s="64" t="s">
        <v>3</v>
      </c>
      <c r="B118" s="104" t="s">
        <v>168</v>
      </c>
      <c r="C118" s="104" t="s">
        <v>169</v>
      </c>
      <c r="D118" s="104" t="s">
        <v>170</v>
      </c>
      <c r="E118" s="104" t="s">
        <v>171</v>
      </c>
      <c r="F118" s="2"/>
    </row>
    <row r="119" spans="1:6" x14ac:dyDescent="0.25">
      <c r="A119" s="64" t="s">
        <v>4</v>
      </c>
      <c r="B119" s="104">
        <v>317.226</v>
      </c>
      <c r="C119" s="104"/>
      <c r="D119" s="104">
        <v>70.665000000000006</v>
      </c>
      <c r="E119" s="104">
        <f>B119+C119-D119</f>
        <v>246.56099999999998</v>
      </c>
      <c r="F119" s="2"/>
    </row>
    <row r="120" spans="1:6" x14ac:dyDescent="0.25">
      <c r="A120" s="64" t="s">
        <v>5</v>
      </c>
      <c r="B120" s="104">
        <v>317.226</v>
      </c>
      <c r="C120" s="104"/>
      <c r="D120" s="104"/>
      <c r="E120" s="104">
        <f>B120+C120-D120</f>
        <v>317.226</v>
      </c>
      <c r="F120" s="2"/>
    </row>
    <row r="121" spans="1:6" x14ac:dyDescent="0.25">
      <c r="A121" s="64" t="s">
        <v>6</v>
      </c>
      <c r="B121" s="104">
        <f>E120</f>
        <v>317.226</v>
      </c>
      <c r="C121" s="104"/>
      <c r="D121" s="104"/>
      <c r="E121" s="104">
        <f t="shared" ref="E121:E130" si="11">B121+C121-D121</f>
        <v>317.226</v>
      </c>
      <c r="F121" s="2"/>
    </row>
    <row r="122" spans="1:6" x14ac:dyDescent="0.25">
      <c r="A122" s="64" t="s">
        <v>7</v>
      </c>
      <c r="B122" s="104">
        <f t="shared" ref="B122:B130" si="12">E121</f>
        <v>317.226</v>
      </c>
      <c r="C122" s="104"/>
      <c r="D122" s="104">
        <v>70.665000000000006</v>
      </c>
      <c r="E122" s="104">
        <f t="shared" si="11"/>
        <v>246.56099999999998</v>
      </c>
      <c r="F122" s="2"/>
    </row>
    <row r="123" spans="1:6" x14ac:dyDescent="0.25">
      <c r="A123" s="64" t="s">
        <v>8</v>
      </c>
      <c r="B123" s="104">
        <f t="shared" si="12"/>
        <v>246.56099999999998</v>
      </c>
      <c r="C123" s="104"/>
      <c r="D123" s="104"/>
      <c r="E123" s="104">
        <f t="shared" si="11"/>
        <v>246.56099999999998</v>
      </c>
      <c r="F123" s="2"/>
    </row>
    <row r="124" spans="1:6" x14ac:dyDescent="0.25">
      <c r="A124" s="64" t="s">
        <v>9</v>
      </c>
      <c r="B124" s="104">
        <f t="shared" si="12"/>
        <v>246.56099999999998</v>
      </c>
      <c r="C124" s="104"/>
      <c r="D124" s="104"/>
      <c r="E124" s="104">
        <f t="shared" si="11"/>
        <v>246.56099999999998</v>
      </c>
      <c r="F124" s="2"/>
    </row>
    <row r="125" spans="1:6" x14ac:dyDescent="0.25">
      <c r="A125" s="64" t="s">
        <v>10</v>
      </c>
      <c r="B125" s="104">
        <f t="shared" si="12"/>
        <v>246.56099999999998</v>
      </c>
      <c r="C125" s="104"/>
      <c r="D125" s="104"/>
      <c r="E125" s="104">
        <f t="shared" si="11"/>
        <v>246.56099999999998</v>
      </c>
      <c r="F125" s="2"/>
    </row>
    <row r="126" spans="1:6" x14ac:dyDescent="0.25">
      <c r="A126" s="64" t="s">
        <v>11</v>
      </c>
      <c r="B126" s="104">
        <f t="shared" si="12"/>
        <v>246.56099999999998</v>
      </c>
      <c r="C126" s="104"/>
      <c r="D126" s="104"/>
      <c r="E126" s="104">
        <f t="shared" si="11"/>
        <v>246.56099999999998</v>
      </c>
      <c r="F126" s="2"/>
    </row>
    <row r="127" spans="1:6" x14ac:dyDescent="0.25">
      <c r="A127" s="64" t="s">
        <v>12</v>
      </c>
      <c r="B127" s="104">
        <f t="shared" si="12"/>
        <v>246.56099999999998</v>
      </c>
      <c r="C127" s="104"/>
      <c r="D127" s="104"/>
      <c r="E127" s="104">
        <f t="shared" si="11"/>
        <v>246.56099999999998</v>
      </c>
      <c r="F127" s="2"/>
    </row>
    <row r="128" spans="1:6" x14ac:dyDescent="0.25">
      <c r="A128" s="64" t="s">
        <v>13</v>
      </c>
      <c r="B128" s="104">
        <f t="shared" si="12"/>
        <v>246.56099999999998</v>
      </c>
      <c r="C128" s="104"/>
      <c r="D128" s="104"/>
      <c r="E128" s="104">
        <f t="shared" si="11"/>
        <v>246.56099999999998</v>
      </c>
      <c r="F128" s="2"/>
    </row>
    <row r="129" spans="1:6" x14ac:dyDescent="0.25">
      <c r="A129" s="64" t="s">
        <v>14</v>
      </c>
      <c r="B129" s="104">
        <f t="shared" si="12"/>
        <v>246.56099999999998</v>
      </c>
      <c r="C129" s="104"/>
      <c r="D129" s="104"/>
      <c r="E129" s="104">
        <f t="shared" si="11"/>
        <v>246.56099999999998</v>
      </c>
      <c r="F129" s="2"/>
    </row>
    <row r="130" spans="1:6" x14ac:dyDescent="0.25">
      <c r="A130" s="64" t="s">
        <v>15</v>
      </c>
      <c r="B130" s="104">
        <f t="shared" si="12"/>
        <v>246.56099999999998</v>
      </c>
      <c r="C130" s="104"/>
      <c r="D130" s="104"/>
      <c r="E130" s="104">
        <f t="shared" si="11"/>
        <v>246.56099999999998</v>
      </c>
      <c r="F130" s="2"/>
    </row>
    <row r="131" spans="1:6" x14ac:dyDescent="0.25">
      <c r="A131" s="106" t="s">
        <v>18</v>
      </c>
      <c r="B131" s="106"/>
      <c r="C131" s="107">
        <f t="shared" ref="C131" si="13">SUM(C119:C130)</f>
        <v>0</v>
      </c>
      <c r="D131" s="107">
        <f t="shared" ref="D131" si="14">SUM(D119:D130)</f>
        <v>141.33000000000001</v>
      </c>
      <c r="E131" s="106"/>
      <c r="F131" s="2"/>
    </row>
    <row r="132" spans="1:6" x14ac:dyDescent="0.25">
      <c r="A132" s="73" t="s">
        <v>166</v>
      </c>
      <c r="B132" s="156" t="s">
        <v>175</v>
      </c>
      <c r="C132" s="156"/>
      <c r="D132" s="156"/>
      <c r="E132" s="156"/>
      <c r="F132" s="2"/>
    </row>
    <row r="133" spans="1:6" x14ac:dyDescent="0.25">
      <c r="A133" s="64" t="s">
        <v>3</v>
      </c>
      <c r="B133" s="104" t="s">
        <v>168</v>
      </c>
      <c r="C133" s="104" t="s">
        <v>169</v>
      </c>
      <c r="D133" s="104" t="s">
        <v>170</v>
      </c>
      <c r="E133" s="104" t="s">
        <v>171</v>
      </c>
      <c r="F133" s="2"/>
    </row>
    <row r="134" spans="1:6" x14ac:dyDescent="0.25">
      <c r="A134" s="64" t="s">
        <v>4</v>
      </c>
      <c r="B134" s="108">
        <v>105</v>
      </c>
      <c r="C134" s="108">
        <v>153.34</v>
      </c>
      <c r="D134" s="108">
        <v>258.33999999999997</v>
      </c>
      <c r="E134" s="108">
        <f>B134+C134-D134</f>
        <v>0</v>
      </c>
      <c r="F134" s="2"/>
    </row>
    <row r="135" spans="1:6" x14ac:dyDescent="0.25">
      <c r="A135" s="64" t="s">
        <v>5</v>
      </c>
      <c r="B135" s="108">
        <v>105</v>
      </c>
      <c r="C135" s="108"/>
      <c r="D135" s="108"/>
      <c r="E135" s="108">
        <f>B135+C135-D135</f>
        <v>105</v>
      </c>
      <c r="F135" s="2"/>
    </row>
    <row r="136" spans="1:6" x14ac:dyDescent="0.25">
      <c r="A136" s="64" t="s">
        <v>6</v>
      </c>
      <c r="B136" s="108">
        <f>E135</f>
        <v>105</v>
      </c>
      <c r="C136" s="108"/>
      <c r="D136" s="108"/>
      <c r="E136" s="108">
        <f t="shared" ref="E136:E145" si="15">B136+C136-D136</f>
        <v>105</v>
      </c>
      <c r="F136" s="2"/>
    </row>
    <row r="137" spans="1:6" x14ac:dyDescent="0.25">
      <c r="A137" s="64" t="s">
        <v>7</v>
      </c>
      <c r="B137" s="108">
        <f t="shared" ref="B137:B145" si="16">E136</f>
        <v>105</v>
      </c>
      <c r="C137" s="108">
        <v>144.52000000000001</v>
      </c>
      <c r="D137" s="108">
        <v>156.94999999999999</v>
      </c>
      <c r="E137" s="108">
        <f t="shared" si="15"/>
        <v>92.570000000000022</v>
      </c>
      <c r="F137" s="2"/>
    </row>
    <row r="138" spans="1:6" x14ac:dyDescent="0.25">
      <c r="A138" s="64" t="s">
        <v>8</v>
      </c>
      <c r="B138" s="108">
        <f t="shared" si="16"/>
        <v>92.570000000000022</v>
      </c>
      <c r="C138" s="108"/>
      <c r="D138" s="108">
        <v>92.3</v>
      </c>
      <c r="E138" s="108">
        <f t="shared" si="15"/>
        <v>0.27000000000002444</v>
      </c>
      <c r="F138" s="2"/>
    </row>
    <row r="139" spans="1:6" x14ac:dyDescent="0.25">
      <c r="A139" s="64" t="s">
        <v>9</v>
      </c>
      <c r="B139" s="108">
        <f t="shared" si="16"/>
        <v>0.27000000000002444</v>
      </c>
      <c r="C139" s="108"/>
      <c r="D139" s="108">
        <v>0.27</v>
      </c>
      <c r="E139" s="108">
        <f t="shared" si="15"/>
        <v>2.4424906541753444E-14</v>
      </c>
      <c r="F139" s="2"/>
    </row>
    <row r="140" spans="1:6" x14ac:dyDescent="0.25">
      <c r="A140" s="64" t="s">
        <v>10</v>
      </c>
      <c r="B140" s="108">
        <f t="shared" si="16"/>
        <v>2.4424906541753444E-14</v>
      </c>
      <c r="C140" s="108">
        <v>8820</v>
      </c>
      <c r="D140" s="108">
        <v>8820</v>
      </c>
      <c r="E140" s="108">
        <f t="shared" si="15"/>
        <v>0</v>
      </c>
      <c r="F140" s="2"/>
    </row>
    <row r="141" spans="1:6" x14ac:dyDescent="0.25">
      <c r="A141" s="64" t="s">
        <v>11</v>
      </c>
      <c r="B141" s="108">
        <f t="shared" si="16"/>
        <v>0</v>
      </c>
      <c r="C141" s="108"/>
      <c r="D141" s="108"/>
      <c r="E141" s="108">
        <f t="shared" si="15"/>
        <v>0</v>
      </c>
      <c r="F141" s="2"/>
    </row>
    <row r="142" spans="1:6" x14ac:dyDescent="0.25">
      <c r="A142" s="64" t="s">
        <v>12</v>
      </c>
      <c r="B142" s="108">
        <f t="shared" si="16"/>
        <v>0</v>
      </c>
      <c r="C142" s="108"/>
      <c r="D142" s="108"/>
      <c r="E142" s="108">
        <f t="shared" si="15"/>
        <v>0</v>
      </c>
      <c r="F142" s="2"/>
    </row>
    <row r="143" spans="1:6" x14ac:dyDescent="0.25">
      <c r="A143" s="64" t="s">
        <v>13</v>
      </c>
      <c r="B143" s="108">
        <f t="shared" si="16"/>
        <v>0</v>
      </c>
      <c r="C143" s="108"/>
      <c r="D143" s="108"/>
      <c r="E143" s="108">
        <f t="shared" si="15"/>
        <v>0</v>
      </c>
      <c r="F143" s="2"/>
    </row>
    <row r="144" spans="1:6" x14ac:dyDescent="0.25">
      <c r="A144" s="64" t="s">
        <v>14</v>
      </c>
      <c r="B144" s="108">
        <f t="shared" si="16"/>
        <v>0</v>
      </c>
      <c r="C144" s="108"/>
      <c r="D144" s="108"/>
      <c r="E144" s="108">
        <f t="shared" si="15"/>
        <v>0</v>
      </c>
      <c r="F144" s="2"/>
    </row>
    <row r="145" spans="1:9" x14ac:dyDescent="0.25">
      <c r="A145" s="64" t="s">
        <v>15</v>
      </c>
      <c r="B145" s="108">
        <f t="shared" si="16"/>
        <v>0</v>
      </c>
      <c r="C145" s="108"/>
      <c r="D145" s="108"/>
      <c r="E145" s="108">
        <f t="shared" si="15"/>
        <v>0</v>
      </c>
      <c r="F145" s="2"/>
    </row>
    <row r="146" spans="1:9" x14ac:dyDescent="0.25">
      <c r="A146" s="106" t="s">
        <v>18</v>
      </c>
      <c r="B146" s="106"/>
      <c r="C146" s="107">
        <f>SUM(C134:C145)</f>
        <v>9117.86</v>
      </c>
      <c r="D146" s="107">
        <f t="shared" ref="D146" si="17">SUM(D134:D145)</f>
        <v>9327.86</v>
      </c>
      <c r="E146" s="106"/>
      <c r="F146" s="2"/>
    </row>
    <row r="147" spans="1:9" x14ac:dyDescent="0.25">
      <c r="A147" s="3"/>
      <c r="B147" s="3"/>
      <c r="D147" s="2"/>
      <c r="E147" s="2"/>
      <c r="F147" s="2"/>
    </row>
    <row r="148" spans="1:9" x14ac:dyDescent="0.25">
      <c r="A148" s="3"/>
      <c r="B148" s="3"/>
      <c r="D148" s="2"/>
      <c r="E148" s="2"/>
      <c r="F148" s="2"/>
    </row>
    <row r="149" spans="1:9" x14ac:dyDescent="0.25">
      <c r="A149" s="3"/>
      <c r="B149" s="3"/>
      <c r="D149" s="2"/>
      <c r="E149" s="2"/>
      <c r="F149" s="2"/>
      <c r="I149" s="3"/>
    </row>
    <row r="150" spans="1:9" x14ac:dyDescent="0.25">
      <c r="A150" s="190" t="s">
        <v>386</v>
      </c>
      <c r="B150" s="190"/>
      <c r="C150" s="190"/>
      <c r="D150" s="2"/>
      <c r="E150" s="2"/>
      <c r="F150" s="2"/>
      <c r="I150" s="3"/>
    </row>
    <row r="151" spans="1:9" x14ac:dyDescent="0.25">
      <c r="A151" s="78" t="s">
        <v>378</v>
      </c>
      <c r="B151" s="78" t="s">
        <v>379</v>
      </c>
      <c r="C151" s="78" t="s">
        <v>380</v>
      </c>
      <c r="D151" s="2"/>
      <c r="E151" s="2"/>
      <c r="F151" s="2"/>
      <c r="I151" s="3"/>
    </row>
    <row r="152" spans="1:9" x14ac:dyDescent="0.25">
      <c r="A152" s="4" t="s">
        <v>381</v>
      </c>
      <c r="B152" s="6">
        <v>106</v>
      </c>
      <c r="C152" s="6">
        <v>32068.6</v>
      </c>
      <c r="D152" s="2"/>
      <c r="E152" s="2"/>
      <c r="F152" s="2"/>
      <c r="I152" s="3"/>
    </row>
    <row r="153" spans="1:9" x14ac:dyDescent="0.25">
      <c r="A153" s="4" t="s">
        <v>382</v>
      </c>
      <c r="B153" s="6">
        <v>106</v>
      </c>
      <c r="C153" s="6">
        <v>804540</v>
      </c>
      <c r="D153" s="2"/>
      <c r="E153" s="2"/>
      <c r="F153" s="2"/>
      <c r="I153" s="3"/>
    </row>
    <row r="154" spans="1:9" x14ac:dyDescent="0.25">
      <c r="A154" s="119" t="s">
        <v>383</v>
      </c>
      <c r="B154" s="6">
        <v>111.5</v>
      </c>
      <c r="C154" s="6">
        <v>1138245.2</v>
      </c>
      <c r="I154" s="3"/>
    </row>
    <row r="155" spans="1:9" x14ac:dyDescent="0.25">
      <c r="A155" s="4" t="s">
        <v>384</v>
      </c>
      <c r="B155" s="6">
        <v>125.18</v>
      </c>
      <c r="C155" s="6">
        <v>1259861.6000000001</v>
      </c>
      <c r="I155" s="3"/>
    </row>
    <row r="156" spans="1:9" x14ac:dyDescent="0.25">
      <c r="A156" s="120" t="s">
        <v>385</v>
      </c>
      <c r="B156" s="121">
        <f>AVERAGE(B152:B155)</f>
        <v>112.17</v>
      </c>
      <c r="C156" s="121">
        <f>AVERAGE(C152:C155)</f>
        <v>808678.85</v>
      </c>
      <c r="I156" s="3"/>
    </row>
    <row r="157" spans="1:9" x14ac:dyDescent="0.25">
      <c r="A157" s="78"/>
      <c r="B157" s="78"/>
      <c r="C157" s="122"/>
      <c r="I157" s="3"/>
    </row>
    <row r="158" spans="1:9" x14ac:dyDescent="0.25">
      <c r="A158" s="131" t="s">
        <v>388</v>
      </c>
      <c r="B158" s="133">
        <f>B156*C17</f>
        <v>7022334.4263000004</v>
      </c>
      <c r="C158" s="122"/>
      <c r="I158" s="3"/>
    </row>
    <row r="159" spans="1:9" x14ac:dyDescent="0.25">
      <c r="A159" s="131" t="s">
        <v>387</v>
      </c>
      <c r="B159" s="133">
        <f>B158/1000</f>
        <v>7022.3344263000008</v>
      </c>
      <c r="C159" s="122"/>
      <c r="I159" s="3"/>
    </row>
    <row r="160" spans="1:9" x14ac:dyDescent="0.25">
      <c r="A160" s="78"/>
      <c r="B160" s="78"/>
      <c r="C160" s="122"/>
      <c r="I160" s="3"/>
    </row>
    <row r="161" spans="1:9" x14ac:dyDescent="0.25">
      <c r="A161" s="3"/>
      <c r="B161" s="3"/>
      <c r="I161" s="3"/>
    </row>
    <row r="162" spans="1:9" x14ac:dyDescent="0.25">
      <c r="A162" s="3"/>
      <c r="B162" s="3"/>
      <c r="I162" s="3"/>
    </row>
    <row r="163" spans="1:9" x14ac:dyDescent="0.25">
      <c r="A163" s="3"/>
      <c r="B163" s="3"/>
      <c r="I163" s="3"/>
    </row>
    <row r="164" spans="1:9" x14ac:dyDescent="0.25">
      <c r="A164" s="3"/>
      <c r="B164" s="3"/>
      <c r="I164" s="3"/>
    </row>
    <row r="165" spans="1:9" x14ac:dyDescent="0.25">
      <c r="A165" s="3"/>
      <c r="B165" s="3"/>
      <c r="I165" s="3"/>
    </row>
    <row r="166" spans="1:9" x14ac:dyDescent="0.25">
      <c r="A166" s="3"/>
      <c r="B166" s="3"/>
      <c r="I166" s="3"/>
    </row>
    <row r="167" spans="1:9" x14ac:dyDescent="0.25">
      <c r="A167" s="3"/>
      <c r="B167" s="3"/>
      <c r="I167" s="3"/>
    </row>
    <row r="168" spans="1:9" x14ac:dyDescent="0.25">
      <c r="A168" s="3"/>
      <c r="B168" s="3"/>
      <c r="I168" s="3"/>
    </row>
    <row r="169" spans="1:9" x14ac:dyDescent="0.25">
      <c r="A169" s="3"/>
      <c r="B169" s="3"/>
      <c r="I169" s="3"/>
    </row>
    <row r="170" spans="1:9" x14ac:dyDescent="0.25">
      <c r="A170" s="3"/>
      <c r="B170" s="3"/>
      <c r="I170" s="3"/>
    </row>
    <row r="171" spans="1:9" x14ac:dyDescent="0.25">
      <c r="A171" s="3"/>
      <c r="B171" s="3"/>
      <c r="I171" s="3"/>
    </row>
    <row r="172" spans="1:9" x14ac:dyDescent="0.25">
      <c r="A172" s="3"/>
      <c r="B172" s="3"/>
      <c r="I172" s="3"/>
    </row>
    <row r="173" spans="1:9" x14ac:dyDescent="0.25">
      <c r="A173" s="3"/>
      <c r="B173" s="3"/>
      <c r="I173" s="3"/>
    </row>
    <row r="174" spans="1:9" x14ac:dyDescent="0.25">
      <c r="A174" s="3"/>
      <c r="B174" s="3"/>
      <c r="I174" s="3"/>
    </row>
    <row r="175" spans="1:9" x14ac:dyDescent="0.25">
      <c r="A175" s="3"/>
      <c r="B175" s="3"/>
      <c r="I175" s="3"/>
    </row>
    <row r="176" spans="1:9" x14ac:dyDescent="0.25">
      <c r="A176" s="3"/>
      <c r="B176" s="3"/>
      <c r="I176" s="3"/>
    </row>
    <row r="177" spans="1:9" x14ac:dyDescent="0.25">
      <c r="A177" s="3"/>
      <c r="B177" s="3"/>
      <c r="I177" s="3"/>
    </row>
    <row r="178" spans="1:9" x14ac:dyDescent="0.25">
      <c r="A178" s="3"/>
      <c r="B178" s="3"/>
      <c r="I178" s="3"/>
    </row>
    <row r="179" spans="1:9" x14ac:dyDescent="0.25">
      <c r="A179" s="3"/>
      <c r="B179" s="3"/>
      <c r="I179" s="3"/>
    </row>
    <row r="180" spans="1:9" x14ac:dyDescent="0.25">
      <c r="A180" s="3"/>
      <c r="B180" s="3"/>
      <c r="I180" s="3"/>
    </row>
    <row r="181" spans="1:9" x14ac:dyDescent="0.25">
      <c r="A181" s="3"/>
      <c r="B181" s="3"/>
      <c r="I181" s="3"/>
    </row>
    <row r="182" spans="1:9" x14ac:dyDescent="0.25">
      <c r="A182" s="3"/>
      <c r="B182" s="3"/>
      <c r="I182" s="3"/>
    </row>
    <row r="183" spans="1:9" x14ac:dyDescent="0.25">
      <c r="A183" s="3"/>
      <c r="B183" s="3"/>
      <c r="I183" s="3"/>
    </row>
    <row r="184" spans="1:9" x14ac:dyDescent="0.25">
      <c r="A184" s="3"/>
      <c r="B184" s="3"/>
      <c r="I184" s="3"/>
    </row>
    <row r="185" spans="1:9" x14ac:dyDescent="0.25">
      <c r="A185" s="3"/>
      <c r="B185" s="3"/>
      <c r="I185" s="3"/>
    </row>
    <row r="186" spans="1:9" x14ac:dyDescent="0.25">
      <c r="A186" s="3"/>
      <c r="B186" s="3"/>
      <c r="I186" s="3"/>
    </row>
    <row r="187" spans="1:9" x14ac:dyDescent="0.25">
      <c r="A187" s="3"/>
      <c r="B187" s="3"/>
      <c r="I187" s="3"/>
    </row>
    <row r="188" spans="1:9" x14ac:dyDescent="0.25">
      <c r="A188" s="3"/>
      <c r="B188" s="3"/>
      <c r="I188" s="3"/>
    </row>
    <row r="189" spans="1:9" x14ac:dyDescent="0.25">
      <c r="A189" s="3"/>
      <c r="B189" s="3"/>
      <c r="I189" s="3"/>
    </row>
    <row r="190" spans="1:9" x14ac:dyDescent="0.25">
      <c r="A190" s="3"/>
      <c r="B190" s="3"/>
      <c r="I190" s="3"/>
    </row>
    <row r="191" spans="1:9" x14ac:dyDescent="0.25">
      <c r="A191" s="3"/>
      <c r="B191" s="3"/>
      <c r="I191" s="3"/>
    </row>
    <row r="192" spans="1:9" x14ac:dyDescent="0.25">
      <c r="A192" s="3"/>
      <c r="B192" s="3"/>
      <c r="I192" s="3"/>
    </row>
    <row r="193" spans="1:9" x14ac:dyDescent="0.25">
      <c r="A193" s="3"/>
      <c r="B193" s="3"/>
      <c r="I193" s="3"/>
    </row>
    <row r="194" spans="1:9" x14ac:dyDescent="0.25">
      <c r="A194" s="3"/>
      <c r="B194" s="3"/>
      <c r="I194" s="3"/>
    </row>
    <row r="195" spans="1:9" x14ac:dyDescent="0.25">
      <c r="A195" s="3"/>
      <c r="B195" s="3"/>
      <c r="I195" s="3"/>
    </row>
    <row r="196" spans="1:9" x14ac:dyDescent="0.25">
      <c r="A196" s="3"/>
      <c r="B196" s="3"/>
      <c r="I196" s="3"/>
    </row>
    <row r="197" spans="1:9" x14ac:dyDescent="0.25">
      <c r="A197" s="3"/>
      <c r="B197" s="3"/>
      <c r="I197" s="3"/>
    </row>
    <row r="198" spans="1:9" x14ac:dyDescent="0.25">
      <c r="A198" s="3"/>
      <c r="B198" s="3"/>
      <c r="I198" s="3"/>
    </row>
    <row r="199" spans="1:9" x14ac:dyDescent="0.25">
      <c r="A199" s="3"/>
      <c r="B199" s="3"/>
      <c r="I199" s="3"/>
    </row>
    <row r="200" spans="1:9" x14ac:dyDescent="0.25">
      <c r="A200" s="3"/>
      <c r="B200" s="3"/>
      <c r="I200" s="3"/>
    </row>
    <row r="201" spans="1:9" x14ac:dyDescent="0.25">
      <c r="A201" s="3"/>
      <c r="B201" s="3"/>
      <c r="I201" s="3"/>
    </row>
    <row r="202" spans="1:9" x14ac:dyDescent="0.25">
      <c r="A202" s="3"/>
      <c r="B202" s="3"/>
      <c r="I202" s="3"/>
    </row>
    <row r="203" spans="1:9" x14ac:dyDescent="0.25">
      <c r="A203" s="3"/>
      <c r="B203" s="3"/>
      <c r="I203" s="3"/>
    </row>
    <row r="204" spans="1:9" x14ac:dyDescent="0.25">
      <c r="A204" s="3"/>
      <c r="B204" s="3"/>
      <c r="I204" s="3"/>
    </row>
    <row r="205" spans="1:9" x14ac:dyDescent="0.25">
      <c r="A205" s="3"/>
      <c r="B205" s="3"/>
      <c r="I205" s="3"/>
    </row>
    <row r="206" spans="1:9" x14ac:dyDescent="0.25">
      <c r="A206" s="3"/>
      <c r="B206" s="3"/>
      <c r="I206" s="3"/>
    </row>
    <row r="207" spans="1:9" x14ac:dyDescent="0.25">
      <c r="A207" s="3"/>
      <c r="B207" s="3"/>
      <c r="I207" s="3"/>
    </row>
    <row r="208" spans="1:9" x14ac:dyDescent="0.25">
      <c r="A208" s="3"/>
      <c r="B208" s="3"/>
      <c r="I208" s="3"/>
    </row>
    <row r="209" spans="1:9" x14ac:dyDescent="0.25">
      <c r="A209" s="3"/>
      <c r="B209" s="3"/>
      <c r="I209" s="3"/>
    </row>
    <row r="210" spans="1:9" x14ac:dyDescent="0.25">
      <c r="A210" s="3"/>
      <c r="B210" s="3"/>
      <c r="I210" s="3"/>
    </row>
    <row r="211" spans="1:9" x14ac:dyDescent="0.25">
      <c r="A211" s="3"/>
      <c r="B211" s="3"/>
      <c r="I211" s="3"/>
    </row>
    <row r="212" spans="1:9" x14ac:dyDescent="0.25">
      <c r="A212" s="3"/>
      <c r="B212" s="3"/>
      <c r="I212" s="3"/>
    </row>
    <row r="213" spans="1:9" x14ac:dyDescent="0.25">
      <c r="A213" s="3"/>
      <c r="B213" s="3"/>
      <c r="I213" s="3"/>
    </row>
    <row r="214" spans="1:9" x14ac:dyDescent="0.25">
      <c r="A214" s="3"/>
      <c r="B214" s="3"/>
      <c r="I214" s="3"/>
    </row>
    <row r="215" spans="1:9" x14ac:dyDescent="0.25">
      <c r="A215" s="3"/>
      <c r="B215" s="3"/>
      <c r="I215" s="3"/>
    </row>
    <row r="216" spans="1:9" x14ac:dyDescent="0.25">
      <c r="A216" s="3"/>
      <c r="B216" s="3"/>
      <c r="I216" s="3"/>
    </row>
    <row r="217" spans="1:9" x14ac:dyDescent="0.25">
      <c r="A217" s="3"/>
      <c r="B217" s="3"/>
      <c r="I217" s="3"/>
    </row>
    <row r="218" spans="1:9" x14ac:dyDescent="0.25">
      <c r="A218" s="3"/>
      <c r="B218" s="3"/>
      <c r="I218" s="3"/>
    </row>
    <row r="219" spans="1:9" x14ac:dyDescent="0.25">
      <c r="A219" s="3"/>
      <c r="B219" s="3"/>
      <c r="I219" s="3"/>
    </row>
    <row r="220" spans="1:9" x14ac:dyDescent="0.25">
      <c r="A220" s="3"/>
      <c r="B220" s="3"/>
      <c r="I220" s="3"/>
    </row>
    <row r="221" spans="1:9" x14ac:dyDescent="0.25">
      <c r="A221" s="3"/>
      <c r="B221" s="3"/>
      <c r="I221" s="3"/>
    </row>
    <row r="222" spans="1:9" x14ac:dyDescent="0.25">
      <c r="A222" s="3"/>
      <c r="B222" s="3"/>
      <c r="I222" s="3"/>
    </row>
    <row r="223" spans="1:9" x14ac:dyDescent="0.25">
      <c r="A223" s="3"/>
      <c r="B223" s="3"/>
      <c r="I223" s="3"/>
    </row>
    <row r="224" spans="1:9" x14ac:dyDescent="0.25">
      <c r="A224" s="3"/>
      <c r="B224" s="3"/>
      <c r="I224" s="3"/>
    </row>
    <row r="225" spans="1:9" x14ac:dyDescent="0.25">
      <c r="A225" s="3"/>
      <c r="B225" s="3"/>
      <c r="I225" s="3"/>
    </row>
    <row r="226" spans="1:9" x14ac:dyDescent="0.25">
      <c r="A226" s="3"/>
      <c r="B226" s="3"/>
      <c r="I226" s="3"/>
    </row>
    <row r="227" spans="1:9" x14ac:dyDescent="0.25">
      <c r="A227" s="3"/>
      <c r="B227" s="3"/>
      <c r="I227" s="3"/>
    </row>
    <row r="228" spans="1:9" x14ac:dyDescent="0.25">
      <c r="A228" s="3"/>
      <c r="B228" s="3"/>
      <c r="I228" s="3"/>
    </row>
    <row r="229" spans="1:9" x14ac:dyDescent="0.25">
      <c r="A229" s="3"/>
      <c r="B229" s="3"/>
      <c r="I229" s="3"/>
    </row>
    <row r="230" spans="1:9" x14ac:dyDescent="0.25">
      <c r="A230" s="3"/>
      <c r="B230" s="3"/>
      <c r="I230" s="3"/>
    </row>
    <row r="231" spans="1:9" x14ac:dyDescent="0.25">
      <c r="A231" s="3"/>
      <c r="B231" s="3"/>
      <c r="I231" s="3"/>
    </row>
    <row r="232" spans="1:9" x14ac:dyDescent="0.25">
      <c r="A232" s="3"/>
      <c r="B232" s="3"/>
      <c r="I232" s="3"/>
    </row>
    <row r="233" spans="1:9" x14ac:dyDescent="0.25">
      <c r="A233" s="3"/>
      <c r="B233" s="3"/>
      <c r="I233" s="3"/>
    </row>
    <row r="234" spans="1:9" x14ac:dyDescent="0.25">
      <c r="A234" s="3"/>
      <c r="B234" s="3"/>
      <c r="I234" s="3"/>
    </row>
    <row r="235" spans="1:9" x14ac:dyDescent="0.25">
      <c r="A235" s="3"/>
      <c r="B235" s="3"/>
      <c r="I235" s="3"/>
    </row>
    <row r="236" spans="1:9" x14ac:dyDescent="0.25">
      <c r="A236" s="3"/>
      <c r="B236" s="3"/>
      <c r="I236" s="3"/>
    </row>
    <row r="237" spans="1:9" x14ac:dyDescent="0.25">
      <c r="A237" s="3"/>
      <c r="B237" s="3"/>
      <c r="I237" s="3"/>
    </row>
    <row r="238" spans="1:9" x14ac:dyDescent="0.25">
      <c r="A238" s="3"/>
      <c r="B238" s="3"/>
      <c r="I238" s="3"/>
    </row>
    <row r="239" spans="1:9" x14ac:dyDescent="0.25">
      <c r="A239" s="3"/>
      <c r="B239" s="3"/>
      <c r="I239" s="3"/>
    </row>
    <row r="240" spans="1:9" x14ac:dyDescent="0.25">
      <c r="A240" s="3"/>
      <c r="B240" s="3"/>
      <c r="I240" s="3"/>
    </row>
    <row r="241" spans="1:9" x14ac:dyDescent="0.25">
      <c r="A241" s="3"/>
      <c r="B241" s="3"/>
      <c r="I241" s="3"/>
    </row>
    <row r="242" spans="1:9" x14ac:dyDescent="0.25">
      <c r="A242" s="3"/>
      <c r="B242" s="3"/>
      <c r="I242" s="3"/>
    </row>
    <row r="243" spans="1:9" x14ac:dyDescent="0.25">
      <c r="A243" s="3"/>
      <c r="B243" s="3"/>
      <c r="I243" s="3"/>
    </row>
    <row r="244" spans="1:9" x14ac:dyDescent="0.25">
      <c r="A244" s="3"/>
      <c r="B244" s="3"/>
      <c r="I244" s="3"/>
    </row>
    <row r="245" spans="1:9" x14ac:dyDescent="0.25">
      <c r="A245" s="3"/>
      <c r="B245" s="3"/>
      <c r="I245" s="3"/>
    </row>
    <row r="246" spans="1:9" x14ac:dyDescent="0.25">
      <c r="A246" s="3"/>
      <c r="B246" s="3"/>
      <c r="I246" s="3"/>
    </row>
    <row r="247" spans="1:9" x14ac:dyDescent="0.25">
      <c r="A247" s="3"/>
      <c r="B247" s="3"/>
      <c r="I247" s="3"/>
    </row>
    <row r="248" spans="1:9" x14ac:dyDescent="0.25">
      <c r="A248" s="3"/>
      <c r="B248" s="3"/>
      <c r="I248" s="3"/>
    </row>
    <row r="249" spans="1:9" x14ac:dyDescent="0.25">
      <c r="A249" s="3"/>
      <c r="B249" s="3"/>
      <c r="I249" s="3"/>
    </row>
    <row r="250" spans="1:9" x14ac:dyDescent="0.25">
      <c r="A250" s="3"/>
      <c r="B250" s="3"/>
      <c r="I250" s="3"/>
    </row>
    <row r="251" spans="1:9" x14ac:dyDescent="0.25">
      <c r="A251" s="3"/>
      <c r="B251" s="3"/>
      <c r="I251" s="3"/>
    </row>
    <row r="252" spans="1:9" x14ac:dyDescent="0.25">
      <c r="A252" s="3"/>
      <c r="B252" s="3"/>
      <c r="I252" s="3"/>
    </row>
    <row r="253" spans="1:9" x14ac:dyDescent="0.25">
      <c r="A253" s="3"/>
      <c r="B253" s="3"/>
      <c r="I253" s="3"/>
    </row>
    <row r="254" spans="1:9" x14ac:dyDescent="0.25">
      <c r="A254" s="3"/>
      <c r="B254" s="3"/>
      <c r="I254" s="3"/>
    </row>
    <row r="255" spans="1:9" x14ac:dyDescent="0.25">
      <c r="A255" s="3"/>
      <c r="B255" s="3"/>
      <c r="I255" s="3"/>
    </row>
    <row r="256" spans="1:9" x14ac:dyDescent="0.25">
      <c r="A256" s="3"/>
      <c r="B256" s="3"/>
      <c r="I256" s="3"/>
    </row>
    <row r="257" spans="1:9" x14ac:dyDescent="0.25">
      <c r="A257" s="3"/>
      <c r="B257" s="3"/>
      <c r="I257" s="3"/>
    </row>
    <row r="258" spans="1:9" x14ac:dyDescent="0.25">
      <c r="A258" s="3"/>
      <c r="B258" s="3"/>
      <c r="I258" s="3"/>
    </row>
    <row r="259" spans="1:9" x14ac:dyDescent="0.25">
      <c r="A259" s="3"/>
      <c r="B259" s="3"/>
      <c r="I259" s="3"/>
    </row>
    <row r="260" spans="1:9" x14ac:dyDescent="0.25">
      <c r="A260" s="3"/>
      <c r="B260" s="3"/>
      <c r="I260" s="3"/>
    </row>
    <row r="261" spans="1:9" x14ac:dyDescent="0.25">
      <c r="A261" s="3"/>
      <c r="B261" s="3"/>
      <c r="I261" s="3"/>
    </row>
    <row r="262" spans="1:9" x14ac:dyDescent="0.25">
      <c r="A262" s="3"/>
      <c r="B262" s="3"/>
      <c r="I262" s="3"/>
    </row>
    <row r="263" spans="1:9" x14ac:dyDescent="0.25">
      <c r="A263" s="3"/>
      <c r="B263" s="3"/>
      <c r="I263" s="3"/>
    </row>
    <row r="264" spans="1:9" x14ac:dyDescent="0.25">
      <c r="A264" s="3"/>
      <c r="B264" s="3"/>
      <c r="I264" s="3"/>
    </row>
    <row r="265" spans="1:9" x14ac:dyDescent="0.25">
      <c r="A265" s="3"/>
      <c r="B265" s="3"/>
      <c r="I265" s="3"/>
    </row>
    <row r="266" spans="1:9" x14ac:dyDescent="0.25">
      <c r="A266" s="3"/>
      <c r="B266" s="3"/>
      <c r="I266" s="3"/>
    </row>
    <row r="267" spans="1:9" x14ac:dyDescent="0.25">
      <c r="A267" s="3"/>
      <c r="B267" s="3"/>
      <c r="I267" s="3"/>
    </row>
    <row r="268" spans="1:9" x14ac:dyDescent="0.25">
      <c r="A268" s="3"/>
      <c r="B268" s="3"/>
      <c r="I268" s="3"/>
    </row>
    <row r="269" spans="1:9" x14ac:dyDescent="0.25">
      <c r="A269" s="3"/>
      <c r="B269" s="3"/>
      <c r="I269" s="3"/>
    </row>
    <row r="270" spans="1:9" x14ac:dyDescent="0.25">
      <c r="A270" s="3"/>
      <c r="B270" s="3"/>
      <c r="I270" s="3"/>
    </row>
    <row r="271" spans="1:9" x14ac:dyDescent="0.25">
      <c r="A271" s="3"/>
      <c r="B271" s="3"/>
      <c r="I271" s="3"/>
    </row>
    <row r="272" spans="1:9" x14ac:dyDescent="0.25">
      <c r="A272" s="3"/>
      <c r="B272" s="3"/>
      <c r="I272" s="3"/>
    </row>
    <row r="273" spans="1:9" x14ac:dyDescent="0.25">
      <c r="A273" s="3"/>
      <c r="B273" s="3"/>
      <c r="I273" s="3"/>
    </row>
    <row r="274" spans="1:9" x14ac:dyDescent="0.25">
      <c r="A274" s="3"/>
      <c r="B274" s="3"/>
      <c r="I274" s="3"/>
    </row>
    <row r="275" spans="1:9" x14ac:dyDescent="0.25">
      <c r="A275" s="3"/>
      <c r="B275" s="3"/>
      <c r="I275" s="3"/>
    </row>
    <row r="276" spans="1:9" x14ac:dyDescent="0.25">
      <c r="A276" s="3"/>
      <c r="B276" s="3"/>
      <c r="I276" s="3"/>
    </row>
    <row r="277" spans="1:9" x14ac:dyDescent="0.25">
      <c r="A277" s="3"/>
      <c r="B277" s="3"/>
      <c r="C277" s="3"/>
      <c r="D277" s="3"/>
      <c r="E277" s="3"/>
      <c r="F277" s="3"/>
      <c r="G277" s="3"/>
      <c r="H277" s="3"/>
      <c r="I277" s="3"/>
    </row>
    <row r="278" spans="1:9" x14ac:dyDescent="0.25">
      <c r="A278" s="3"/>
      <c r="B278" s="3"/>
      <c r="C278" s="3"/>
      <c r="D278" s="3"/>
      <c r="E278" s="3"/>
      <c r="F278" s="3"/>
      <c r="G278" s="3"/>
      <c r="H278" s="3"/>
      <c r="I278" s="3"/>
    </row>
    <row r="279" spans="1:9" x14ac:dyDescent="0.25">
      <c r="A279" s="3"/>
      <c r="B279" s="3"/>
      <c r="C279" s="3"/>
      <c r="D279" s="3"/>
      <c r="E279" s="3"/>
      <c r="F279" s="3"/>
      <c r="G279" s="3"/>
      <c r="H279" s="3"/>
      <c r="I279" s="3"/>
    </row>
    <row r="280" spans="1:9" x14ac:dyDescent="0.25">
      <c r="A280" s="3"/>
      <c r="B280" s="3"/>
      <c r="C280" s="3"/>
      <c r="D280" s="3"/>
      <c r="E280" s="3"/>
      <c r="F280" s="3"/>
      <c r="G280" s="3"/>
      <c r="H280" s="3"/>
      <c r="I280" s="3"/>
    </row>
    <row r="281" spans="1:9" x14ac:dyDescent="0.25">
      <c r="A281" s="3"/>
      <c r="B281" s="3"/>
      <c r="C281" s="3"/>
      <c r="D281" s="3"/>
      <c r="E281" s="3"/>
      <c r="F281" s="3"/>
      <c r="G281" s="3"/>
      <c r="H281" s="3"/>
      <c r="I281" s="3"/>
    </row>
    <row r="282" spans="1:9" x14ac:dyDescent="0.25">
      <c r="A282" s="3"/>
      <c r="B282" s="3"/>
      <c r="C282" s="3"/>
      <c r="D282" s="3"/>
      <c r="E282" s="3"/>
      <c r="F282" s="3"/>
      <c r="G282" s="3"/>
      <c r="H282" s="3"/>
      <c r="I282" s="3"/>
    </row>
    <row r="283" spans="1:9" x14ac:dyDescent="0.25">
      <c r="A283" s="3"/>
      <c r="B283" s="3"/>
      <c r="C283" s="3"/>
      <c r="D283" s="3"/>
      <c r="E283" s="3"/>
      <c r="F283" s="3"/>
      <c r="G283" s="3"/>
      <c r="H283" s="3"/>
      <c r="I283" s="3"/>
    </row>
    <row r="284" spans="1:9" x14ac:dyDescent="0.25">
      <c r="A284" s="3"/>
      <c r="B284" s="3"/>
      <c r="C284" s="3"/>
      <c r="D284" s="3"/>
      <c r="E284" s="3"/>
      <c r="F284" s="3"/>
      <c r="G284" s="3"/>
      <c r="H284" s="3"/>
      <c r="I284" s="3"/>
    </row>
    <row r="285" spans="1:9" x14ac:dyDescent="0.25">
      <c r="A285" s="3"/>
      <c r="B285" s="3"/>
      <c r="C285" s="3"/>
      <c r="D285" s="3"/>
      <c r="E285" s="3"/>
      <c r="F285" s="3"/>
      <c r="G285" s="3"/>
      <c r="H285" s="3"/>
      <c r="I285" s="3"/>
    </row>
    <row r="286" spans="1:9" x14ac:dyDescent="0.25">
      <c r="A286" s="3"/>
      <c r="B286" s="3"/>
      <c r="C286" s="3"/>
      <c r="D286" s="3"/>
      <c r="E286" s="3"/>
      <c r="F286" s="3"/>
      <c r="G286" s="3"/>
      <c r="H286" s="3"/>
      <c r="I286" s="3"/>
    </row>
    <row r="287" spans="1:9" x14ac:dyDescent="0.25">
      <c r="A287" s="3"/>
      <c r="B287" s="3"/>
      <c r="C287" s="3"/>
      <c r="D287" s="3"/>
      <c r="E287" s="3"/>
      <c r="F287" s="3"/>
      <c r="G287" s="3"/>
      <c r="H287" s="3"/>
      <c r="I287" s="3"/>
    </row>
    <row r="288" spans="1:9" x14ac:dyDescent="0.25">
      <c r="A288" s="3"/>
      <c r="B288" s="3"/>
      <c r="C288" s="3"/>
      <c r="D288" s="3"/>
      <c r="E288" s="3"/>
      <c r="F288" s="3"/>
      <c r="G288" s="3"/>
      <c r="H288" s="3"/>
      <c r="I288" s="3"/>
    </row>
    <row r="289" spans="1:9" x14ac:dyDescent="0.25">
      <c r="A289" s="3"/>
      <c r="B289" s="3"/>
      <c r="C289" s="3"/>
      <c r="D289" s="3"/>
      <c r="E289" s="3"/>
      <c r="F289" s="3"/>
      <c r="G289" s="3"/>
      <c r="H289" s="3"/>
      <c r="I289" s="3"/>
    </row>
    <row r="290" spans="1:9" x14ac:dyDescent="0.25">
      <c r="A290" s="3"/>
      <c r="B290" s="3"/>
      <c r="C290" s="3"/>
      <c r="D290" s="3"/>
      <c r="E290" s="3"/>
      <c r="F290" s="3"/>
      <c r="G290" s="3"/>
      <c r="H290" s="3"/>
      <c r="I290" s="3"/>
    </row>
    <row r="291" spans="1:9" x14ac:dyDescent="0.25">
      <c r="A291" s="3"/>
      <c r="B291" s="3"/>
      <c r="C291" s="3"/>
      <c r="D291" s="3"/>
      <c r="E291" s="3"/>
      <c r="F291" s="3"/>
      <c r="G291" s="3"/>
      <c r="H291" s="3"/>
      <c r="I291" s="3"/>
    </row>
    <row r="292" spans="1:9" x14ac:dyDescent="0.25">
      <c r="A292" s="3"/>
      <c r="B292" s="3"/>
      <c r="C292" s="3"/>
      <c r="D292" s="3"/>
      <c r="E292" s="3"/>
      <c r="F292" s="3"/>
      <c r="G292" s="3"/>
      <c r="H292" s="3"/>
      <c r="I292" s="3"/>
    </row>
    <row r="293" spans="1:9" x14ac:dyDescent="0.25">
      <c r="A293" s="3"/>
      <c r="B293" s="3"/>
      <c r="C293" s="3"/>
      <c r="D293" s="3"/>
      <c r="E293" s="3"/>
      <c r="F293" s="3"/>
      <c r="G293" s="3"/>
      <c r="H293" s="3"/>
      <c r="I293" s="3"/>
    </row>
    <row r="294" spans="1:9" x14ac:dyDescent="0.25">
      <c r="A294" s="3"/>
      <c r="B294" s="3"/>
      <c r="C294" s="3"/>
      <c r="D294" s="3"/>
      <c r="E294" s="3"/>
      <c r="F294" s="3"/>
      <c r="G294" s="3"/>
      <c r="H294" s="3"/>
      <c r="I294" s="3"/>
    </row>
    <row r="295" spans="1:9" x14ac:dyDescent="0.25">
      <c r="A295" s="3"/>
      <c r="B295" s="3"/>
      <c r="C295" s="3"/>
      <c r="D295" s="3"/>
      <c r="E295" s="3"/>
      <c r="F295" s="3"/>
      <c r="G295" s="3"/>
      <c r="H295" s="3"/>
      <c r="I295" s="3"/>
    </row>
    <row r="296" spans="1:9" x14ac:dyDescent="0.25">
      <c r="A296" s="3"/>
      <c r="B296" s="3"/>
      <c r="C296" s="3"/>
      <c r="D296" s="3"/>
      <c r="E296" s="3"/>
      <c r="F296" s="3"/>
      <c r="G296" s="3"/>
      <c r="H296" s="3"/>
      <c r="I296" s="3"/>
    </row>
    <row r="297" spans="1:9" x14ac:dyDescent="0.25">
      <c r="A297" s="3"/>
      <c r="B297" s="3"/>
      <c r="C297" s="3"/>
      <c r="D297" s="3"/>
      <c r="E297" s="3"/>
      <c r="F297" s="3"/>
      <c r="G297" s="3"/>
      <c r="H297" s="3"/>
      <c r="I297" s="3"/>
    </row>
    <row r="298" spans="1:9" x14ac:dyDescent="0.25">
      <c r="A298" s="3"/>
      <c r="B298" s="3"/>
      <c r="C298" s="3"/>
      <c r="D298" s="3"/>
      <c r="E298" s="3"/>
      <c r="F298" s="3"/>
      <c r="G298" s="3"/>
      <c r="H298" s="3"/>
      <c r="I298" s="3"/>
    </row>
    <row r="299" spans="1:9" x14ac:dyDescent="0.25">
      <c r="A299" s="3"/>
      <c r="B299" s="3"/>
      <c r="C299" s="3"/>
      <c r="D299" s="3"/>
      <c r="E299" s="3"/>
      <c r="F299" s="3"/>
      <c r="G299" s="3"/>
      <c r="H299" s="3"/>
      <c r="I299" s="3"/>
    </row>
    <row r="300" spans="1:9" x14ac:dyDescent="0.25">
      <c r="A300" s="3"/>
      <c r="B300" s="3"/>
      <c r="C300" s="3"/>
      <c r="D300" s="3"/>
      <c r="E300" s="3"/>
      <c r="F300" s="3"/>
      <c r="G300" s="3"/>
      <c r="H300" s="3"/>
      <c r="I300" s="3"/>
    </row>
    <row r="301" spans="1:9" x14ac:dyDescent="0.25">
      <c r="A301" s="3"/>
      <c r="B301" s="3"/>
      <c r="C301" s="3"/>
      <c r="D301" s="3"/>
      <c r="E301" s="3"/>
      <c r="F301" s="3"/>
      <c r="G301" s="3"/>
      <c r="H301" s="3"/>
      <c r="I301" s="3"/>
    </row>
    <row r="302" spans="1:9" x14ac:dyDescent="0.25">
      <c r="A302" s="3"/>
      <c r="B302" s="3"/>
      <c r="C302" s="3"/>
      <c r="D302" s="3"/>
      <c r="E302" s="3"/>
      <c r="F302" s="3"/>
      <c r="G302" s="3"/>
      <c r="H302" s="3"/>
      <c r="I302" s="3"/>
    </row>
    <row r="303" spans="1:9" x14ac:dyDescent="0.25">
      <c r="A303" s="3"/>
      <c r="B303" s="3"/>
      <c r="C303" s="3"/>
      <c r="D303" s="3"/>
      <c r="E303" s="3"/>
      <c r="F303" s="3"/>
      <c r="G303" s="3"/>
      <c r="H303" s="3"/>
      <c r="I303" s="3"/>
    </row>
    <row r="304" spans="1:9" x14ac:dyDescent="0.25">
      <c r="A304" s="3"/>
      <c r="B304" s="3"/>
      <c r="C304" s="3"/>
      <c r="D304" s="3"/>
      <c r="E304" s="3"/>
      <c r="F304" s="3"/>
      <c r="G304" s="3"/>
      <c r="H304" s="3"/>
      <c r="I304" s="3"/>
    </row>
    <row r="305" spans="1:9" x14ac:dyDescent="0.25">
      <c r="A305" s="3"/>
      <c r="B305" s="3"/>
      <c r="C305" s="3"/>
      <c r="D305" s="3"/>
      <c r="E305" s="3"/>
      <c r="F305" s="3"/>
      <c r="G305" s="3"/>
      <c r="H305" s="3"/>
      <c r="I305" s="3"/>
    </row>
    <row r="306" spans="1:9" x14ac:dyDescent="0.25">
      <c r="A306" s="3"/>
      <c r="B306" s="3"/>
      <c r="C306" s="3"/>
      <c r="D306" s="3"/>
      <c r="E306" s="3"/>
      <c r="F306" s="3"/>
      <c r="G306" s="3"/>
      <c r="H306" s="3"/>
      <c r="I306" s="3"/>
    </row>
    <row r="307" spans="1:9" x14ac:dyDescent="0.25">
      <c r="A307" s="3"/>
      <c r="B307" s="3"/>
      <c r="C307" s="3"/>
      <c r="D307" s="3"/>
      <c r="E307" s="3"/>
      <c r="F307" s="3"/>
      <c r="G307" s="3"/>
      <c r="H307" s="3"/>
      <c r="I307" s="3"/>
    </row>
    <row r="308" spans="1:9" x14ac:dyDescent="0.25">
      <c r="A308" s="3"/>
      <c r="B308" s="3"/>
      <c r="C308" s="3"/>
      <c r="D308" s="3"/>
      <c r="E308" s="3"/>
      <c r="F308" s="3"/>
      <c r="G308" s="3"/>
      <c r="H308" s="3"/>
      <c r="I308" s="3"/>
    </row>
    <row r="309" spans="1:9" x14ac:dyDescent="0.25">
      <c r="A309" s="3"/>
      <c r="B309" s="3"/>
      <c r="C309" s="3"/>
      <c r="D309" s="3"/>
      <c r="E309" s="3"/>
      <c r="F309" s="3"/>
      <c r="G309" s="3"/>
      <c r="H309" s="3"/>
      <c r="I309" s="3"/>
    </row>
    <row r="310" spans="1:9" x14ac:dyDescent="0.25">
      <c r="A310" s="3"/>
      <c r="B310" s="3"/>
      <c r="C310" s="3"/>
      <c r="D310" s="3"/>
      <c r="E310" s="3"/>
      <c r="F310" s="3"/>
      <c r="G310" s="3"/>
      <c r="H310" s="3"/>
      <c r="I310" s="3"/>
    </row>
    <row r="311" spans="1:9" x14ac:dyDescent="0.25">
      <c r="A311" s="3"/>
      <c r="B311" s="3"/>
      <c r="C311" s="3"/>
      <c r="D311" s="3"/>
      <c r="E311" s="3"/>
      <c r="F311" s="3"/>
      <c r="G311" s="3"/>
      <c r="H311" s="3"/>
      <c r="I311" s="3"/>
    </row>
    <row r="312" spans="1:9" x14ac:dyDescent="0.25">
      <c r="A312" s="3"/>
      <c r="B312" s="3"/>
      <c r="C312" s="3"/>
      <c r="D312" s="3"/>
      <c r="E312" s="3"/>
      <c r="F312" s="3"/>
      <c r="G312" s="3"/>
      <c r="H312" s="3"/>
      <c r="I312" s="3"/>
    </row>
    <row r="313" spans="1:9" x14ac:dyDescent="0.25">
      <c r="A313" s="3"/>
      <c r="B313" s="3"/>
      <c r="C313" s="3"/>
      <c r="D313" s="3"/>
      <c r="E313" s="3"/>
      <c r="F313" s="3"/>
      <c r="G313" s="3"/>
      <c r="H313" s="3"/>
      <c r="I313" s="3"/>
    </row>
    <row r="314" spans="1:9" x14ac:dyDescent="0.25">
      <c r="A314" s="3"/>
      <c r="B314" s="3"/>
      <c r="C314" s="3"/>
      <c r="D314" s="3"/>
      <c r="E314" s="3"/>
      <c r="F314" s="3"/>
      <c r="G314" s="3"/>
      <c r="H314" s="3"/>
      <c r="I314" s="3"/>
    </row>
    <row r="315" spans="1:9" x14ac:dyDescent="0.25">
      <c r="A315" s="3"/>
      <c r="B315" s="3"/>
      <c r="C315" s="3"/>
      <c r="D315" s="3"/>
      <c r="E315" s="3"/>
      <c r="F315" s="3"/>
      <c r="G315" s="3"/>
      <c r="H315" s="3"/>
      <c r="I315" s="3"/>
    </row>
    <row r="316" spans="1:9" x14ac:dyDescent="0.25">
      <c r="A316" s="3"/>
      <c r="B316" s="3"/>
      <c r="C316" s="3"/>
      <c r="D316" s="3"/>
      <c r="E316" s="3"/>
      <c r="F316" s="3"/>
      <c r="G316" s="3"/>
      <c r="H316" s="3"/>
      <c r="I316" s="3"/>
    </row>
    <row r="317" spans="1:9" x14ac:dyDescent="0.25">
      <c r="A317" s="3"/>
      <c r="B317" s="3"/>
      <c r="C317" s="3"/>
      <c r="D317" s="3"/>
      <c r="E317" s="3"/>
      <c r="F317" s="3"/>
      <c r="G317" s="3"/>
      <c r="H317" s="3"/>
      <c r="I317" s="3"/>
    </row>
    <row r="318" spans="1:9" x14ac:dyDescent="0.25">
      <c r="A318" s="3"/>
      <c r="B318" s="3"/>
      <c r="C318" s="3"/>
      <c r="D318" s="3"/>
      <c r="E318" s="3"/>
      <c r="F318" s="3"/>
      <c r="G318" s="3"/>
      <c r="H318" s="3"/>
      <c r="I318" s="3"/>
    </row>
    <row r="319" spans="1:9" x14ac:dyDescent="0.25">
      <c r="A319" s="3"/>
      <c r="B319" s="3"/>
      <c r="C319" s="3"/>
      <c r="D319" s="3"/>
      <c r="E319" s="3"/>
      <c r="F319" s="3"/>
      <c r="G319" s="3"/>
      <c r="H319" s="3"/>
      <c r="I319" s="3"/>
    </row>
    <row r="320" spans="1:9" x14ac:dyDescent="0.25">
      <c r="A320" s="3"/>
      <c r="B320" s="3"/>
      <c r="C320" s="3"/>
      <c r="D320" s="3"/>
      <c r="E320" s="3"/>
      <c r="F320" s="3"/>
      <c r="G320" s="3"/>
      <c r="H320" s="3"/>
      <c r="I320" s="3"/>
    </row>
    <row r="321" spans="1:9" x14ac:dyDescent="0.25">
      <c r="A321" s="3"/>
      <c r="B321" s="3"/>
      <c r="C321" s="3"/>
      <c r="D321" s="3"/>
      <c r="E321" s="3"/>
      <c r="F321" s="3"/>
      <c r="G321" s="3"/>
      <c r="H321" s="3"/>
      <c r="I321" s="3"/>
    </row>
    <row r="322" spans="1:9" x14ac:dyDescent="0.25">
      <c r="A322" s="3"/>
      <c r="B322" s="3"/>
      <c r="C322" s="3"/>
      <c r="D322" s="3"/>
      <c r="E322" s="3"/>
      <c r="F322" s="3"/>
      <c r="G322" s="3"/>
      <c r="H322" s="3"/>
      <c r="I322" s="3"/>
    </row>
    <row r="323" spans="1:9" x14ac:dyDescent="0.25">
      <c r="A323" s="3"/>
      <c r="B323" s="3"/>
      <c r="C323" s="3"/>
      <c r="D323" s="3"/>
      <c r="E323" s="3"/>
      <c r="F323" s="3"/>
      <c r="G323" s="3"/>
      <c r="H323" s="3"/>
      <c r="I323" s="3"/>
    </row>
    <row r="324" spans="1:9" x14ac:dyDescent="0.25">
      <c r="A324" s="3"/>
      <c r="B324" s="3"/>
      <c r="C324" s="3"/>
      <c r="D324" s="3"/>
      <c r="E324" s="3"/>
      <c r="F324" s="3"/>
      <c r="G324" s="3"/>
      <c r="H324" s="3"/>
      <c r="I324" s="3"/>
    </row>
    <row r="325" spans="1:9" x14ac:dyDescent="0.25">
      <c r="A325" s="3"/>
      <c r="B325" s="3"/>
      <c r="C325" s="3"/>
      <c r="D325" s="3"/>
      <c r="E325" s="3"/>
      <c r="F325" s="3"/>
      <c r="G325" s="3"/>
      <c r="H325" s="3"/>
      <c r="I325" s="3"/>
    </row>
    <row r="326" spans="1:9" x14ac:dyDescent="0.25">
      <c r="A326" s="3"/>
      <c r="B326" s="3"/>
      <c r="C326" s="3"/>
      <c r="D326" s="3"/>
      <c r="E326" s="3"/>
      <c r="F326" s="3"/>
      <c r="G326" s="3"/>
      <c r="H326" s="3"/>
      <c r="I326" s="3"/>
    </row>
    <row r="327" spans="1:9" x14ac:dyDescent="0.25">
      <c r="A327" s="3"/>
      <c r="B327" s="3"/>
      <c r="C327" s="3"/>
      <c r="D327" s="3"/>
      <c r="E327" s="3"/>
      <c r="F327" s="3"/>
      <c r="G327" s="3"/>
      <c r="H327" s="3"/>
      <c r="I327" s="3"/>
    </row>
    <row r="328" spans="1:9" x14ac:dyDescent="0.25">
      <c r="A328" s="3"/>
      <c r="B328" s="3"/>
      <c r="C328" s="3"/>
      <c r="D328" s="3"/>
      <c r="E328" s="3"/>
      <c r="F328" s="3"/>
      <c r="G328" s="3"/>
      <c r="H328" s="3"/>
      <c r="I328" s="3"/>
    </row>
    <row r="329" spans="1:9" x14ac:dyDescent="0.25">
      <c r="A329" s="3"/>
      <c r="B329" s="3"/>
      <c r="C329" s="3"/>
      <c r="D329" s="3"/>
      <c r="E329" s="3"/>
      <c r="F329" s="3"/>
      <c r="G329" s="3"/>
      <c r="H329" s="3"/>
      <c r="I329" s="3"/>
    </row>
    <row r="330" spans="1:9" x14ac:dyDescent="0.25">
      <c r="A330" s="3"/>
      <c r="B330" s="3"/>
      <c r="C330" s="3"/>
      <c r="D330" s="3"/>
      <c r="E330" s="3"/>
      <c r="F330" s="3"/>
      <c r="G330" s="3"/>
      <c r="H330" s="3"/>
      <c r="I330" s="3"/>
    </row>
    <row r="331" spans="1:9" x14ac:dyDescent="0.25">
      <c r="A331" s="3"/>
      <c r="B331" s="3"/>
      <c r="C331" s="3"/>
      <c r="D331" s="3"/>
      <c r="E331" s="3"/>
      <c r="F331" s="3"/>
      <c r="G331" s="3"/>
      <c r="H331" s="3"/>
      <c r="I331" s="3"/>
    </row>
    <row r="332" spans="1:9" x14ac:dyDescent="0.25">
      <c r="A332" s="3"/>
      <c r="B332" s="3"/>
      <c r="C332" s="3"/>
      <c r="D332" s="3"/>
      <c r="E332" s="3"/>
      <c r="F332" s="3"/>
      <c r="G332" s="3"/>
      <c r="H332" s="3"/>
      <c r="I332" s="3"/>
    </row>
    <row r="333" spans="1:9" x14ac:dyDescent="0.25">
      <c r="A333" s="3"/>
      <c r="B333" s="3"/>
      <c r="C333" s="3"/>
      <c r="D333" s="3"/>
      <c r="E333" s="3"/>
      <c r="F333" s="3"/>
      <c r="G333" s="3"/>
      <c r="H333" s="3"/>
      <c r="I333" s="3"/>
    </row>
    <row r="334" spans="1:9" x14ac:dyDescent="0.25">
      <c r="A334" s="3"/>
      <c r="B334" s="3"/>
      <c r="C334" s="3"/>
      <c r="D334" s="3"/>
      <c r="E334" s="3"/>
      <c r="F334" s="3"/>
      <c r="G334" s="3"/>
      <c r="H334" s="3"/>
      <c r="I334" s="3"/>
    </row>
    <row r="335" spans="1:9" x14ac:dyDescent="0.25">
      <c r="A335" s="3"/>
      <c r="B335" s="3"/>
      <c r="C335" s="3"/>
      <c r="D335" s="3"/>
      <c r="E335" s="3"/>
      <c r="F335" s="3"/>
      <c r="G335" s="3"/>
      <c r="H335" s="3"/>
      <c r="I335" s="3"/>
    </row>
    <row r="336" spans="1:9" x14ac:dyDescent="0.25">
      <c r="A336" s="3"/>
      <c r="B336" s="3"/>
      <c r="C336" s="3"/>
      <c r="D336" s="3"/>
      <c r="E336" s="3"/>
      <c r="F336" s="3"/>
      <c r="G336" s="3"/>
      <c r="H336" s="3"/>
      <c r="I336" s="3"/>
    </row>
    <row r="337" spans="1:9" x14ac:dyDescent="0.25">
      <c r="A337" s="3"/>
      <c r="B337" s="3"/>
      <c r="C337" s="3"/>
      <c r="D337" s="3"/>
      <c r="E337" s="3"/>
      <c r="F337" s="3"/>
      <c r="G337" s="3"/>
      <c r="H337" s="3"/>
      <c r="I337" s="3"/>
    </row>
    <row r="338" spans="1:9" x14ac:dyDescent="0.25">
      <c r="A338" s="3"/>
      <c r="B338" s="3"/>
      <c r="C338" s="3"/>
      <c r="D338" s="3"/>
      <c r="E338" s="3"/>
      <c r="F338" s="3"/>
      <c r="G338" s="3"/>
      <c r="H338" s="3"/>
      <c r="I338" s="3"/>
    </row>
    <row r="339" spans="1:9" x14ac:dyDescent="0.25">
      <c r="A339" s="3"/>
      <c r="B339" s="3"/>
      <c r="C339" s="3"/>
      <c r="D339" s="3"/>
      <c r="E339" s="3"/>
      <c r="F339" s="3"/>
      <c r="G339" s="3"/>
      <c r="H339" s="3"/>
      <c r="I339" s="3"/>
    </row>
    <row r="340" spans="1:9" x14ac:dyDescent="0.25">
      <c r="A340" s="3"/>
      <c r="B340" s="3"/>
      <c r="C340" s="3"/>
      <c r="D340" s="3"/>
      <c r="E340" s="3"/>
      <c r="F340" s="3"/>
      <c r="G340" s="3"/>
      <c r="H340" s="3"/>
      <c r="I340" s="3"/>
    </row>
    <row r="341" spans="1:9" x14ac:dyDescent="0.25">
      <c r="A341" s="3"/>
      <c r="B341" s="3"/>
      <c r="C341" s="3"/>
      <c r="D341" s="3"/>
      <c r="E341" s="3"/>
      <c r="F341" s="3"/>
      <c r="G341" s="3"/>
      <c r="H341" s="3"/>
      <c r="I341" s="3"/>
    </row>
    <row r="342" spans="1:9" x14ac:dyDescent="0.25">
      <c r="A342" s="3"/>
      <c r="B342" s="3"/>
      <c r="C342" s="3"/>
      <c r="D342" s="3"/>
      <c r="E342" s="3"/>
      <c r="F342" s="3"/>
      <c r="G342" s="3"/>
      <c r="H342" s="3"/>
      <c r="I342" s="3"/>
    </row>
    <row r="343" spans="1:9" x14ac:dyDescent="0.25">
      <c r="A343" s="3"/>
      <c r="B343" s="3"/>
      <c r="C343" s="3"/>
      <c r="D343" s="3"/>
      <c r="E343" s="3"/>
      <c r="F343" s="3"/>
      <c r="G343" s="3"/>
      <c r="H343" s="3"/>
      <c r="I343" s="3"/>
    </row>
    <row r="344" spans="1:9" x14ac:dyDescent="0.25">
      <c r="A344" s="3"/>
      <c r="B344" s="3"/>
      <c r="C344" s="3"/>
      <c r="D344" s="3"/>
      <c r="E344" s="3"/>
      <c r="F344" s="3"/>
      <c r="G344" s="3"/>
      <c r="H344" s="3"/>
      <c r="I344" s="3"/>
    </row>
    <row r="345" spans="1:9" x14ac:dyDescent="0.25">
      <c r="A345" s="3"/>
      <c r="B345" s="3"/>
      <c r="C345" s="3"/>
      <c r="D345" s="3"/>
      <c r="E345" s="3"/>
      <c r="F345" s="3"/>
      <c r="G345" s="3"/>
      <c r="H345" s="3"/>
      <c r="I345" s="3"/>
    </row>
    <row r="346" spans="1:9" x14ac:dyDescent="0.25">
      <c r="A346" s="3"/>
      <c r="B346" s="3"/>
      <c r="C346" s="3"/>
      <c r="D346" s="3"/>
      <c r="E346" s="3"/>
      <c r="F346" s="3"/>
      <c r="G346" s="3"/>
      <c r="H346" s="3"/>
      <c r="I346" s="3"/>
    </row>
    <row r="347" spans="1:9" x14ac:dyDescent="0.25">
      <c r="A347" s="3"/>
      <c r="B347" s="3"/>
      <c r="C347" s="3"/>
      <c r="D347" s="3"/>
      <c r="E347" s="3"/>
      <c r="F347" s="3"/>
      <c r="G347" s="3"/>
      <c r="H347" s="3"/>
      <c r="I347" s="3"/>
    </row>
    <row r="348" spans="1:9" x14ac:dyDescent="0.25">
      <c r="A348" s="3"/>
      <c r="B348" s="3"/>
      <c r="C348" s="3"/>
      <c r="D348" s="3"/>
      <c r="E348" s="3"/>
      <c r="F348" s="3"/>
      <c r="G348" s="3"/>
      <c r="H348" s="3"/>
      <c r="I348" s="3"/>
    </row>
    <row r="349" spans="1:9" x14ac:dyDescent="0.25">
      <c r="A349" s="3"/>
      <c r="B349" s="3"/>
      <c r="C349" s="3"/>
      <c r="D349" s="3"/>
      <c r="E349" s="3"/>
      <c r="F349" s="3"/>
      <c r="G349" s="3"/>
      <c r="H349" s="3"/>
      <c r="I349" s="3"/>
    </row>
    <row r="350" spans="1:9" x14ac:dyDescent="0.25">
      <c r="A350" s="3"/>
      <c r="B350" s="3"/>
      <c r="C350" s="3"/>
      <c r="D350" s="3"/>
      <c r="E350" s="3"/>
      <c r="F350" s="3"/>
      <c r="G350" s="3"/>
      <c r="H350" s="3"/>
      <c r="I350" s="3"/>
    </row>
    <row r="351" spans="1:9" x14ac:dyDescent="0.25">
      <c r="A351" s="3"/>
      <c r="B351" s="3"/>
      <c r="C351" s="3"/>
      <c r="D351" s="3"/>
      <c r="E351" s="3"/>
      <c r="F351" s="3"/>
      <c r="G351" s="3"/>
      <c r="H351" s="3"/>
      <c r="I351" s="3"/>
    </row>
    <row r="352" spans="1:9" x14ac:dyDescent="0.25">
      <c r="A352" s="3"/>
      <c r="B352" s="3"/>
      <c r="C352" s="3"/>
      <c r="D352" s="3"/>
      <c r="E352" s="3"/>
      <c r="F352" s="3"/>
      <c r="G352" s="3"/>
      <c r="H352" s="3"/>
      <c r="I352" s="3"/>
    </row>
    <row r="353" spans="1:9" x14ac:dyDescent="0.25">
      <c r="A353" s="3"/>
      <c r="B353" s="3"/>
      <c r="C353" s="3"/>
      <c r="D353" s="3"/>
      <c r="E353" s="3"/>
      <c r="F353" s="3"/>
      <c r="G353" s="3"/>
      <c r="H353" s="3"/>
      <c r="I353" s="3"/>
    </row>
    <row r="354" spans="1:9" x14ac:dyDescent="0.25">
      <c r="A354" s="3"/>
      <c r="B354" s="3"/>
      <c r="C354" s="3"/>
      <c r="D354" s="3"/>
      <c r="E354" s="3"/>
      <c r="F354" s="3"/>
      <c r="G354" s="3"/>
      <c r="H354" s="3"/>
      <c r="I354" s="3"/>
    </row>
    <row r="355" spans="1:9" x14ac:dyDescent="0.25">
      <c r="A355" s="3"/>
      <c r="B355" s="3"/>
      <c r="C355" s="3"/>
      <c r="D355" s="3"/>
      <c r="E355" s="3"/>
      <c r="F355" s="3"/>
      <c r="G355" s="3"/>
      <c r="H355" s="3"/>
      <c r="I355" s="3"/>
    </row>
    <row r="356" spans="1:9" x14ac:dyDescent="0.25">
      <c r="A356" s="3"/>
      <c r="B356" s="3"/>
      <c r="C356" s="3"/>
      <c r="D356" s="3"/>
      <c r="E356" s="3"/>
      <c r="F356" s="3"/>
      <c r="G356" s="3"/>
      <c r="H356" s="3"/>
      <c r="I356" s="3"/>
    </row>
    <row r="357" spans="1:9" x14ac:dyDescent="0.25">
      <c r="A357" s="3"/>
      <c r="B357" s="3"/>
      <c r="C357" s="3"/>
      <c r="D357" s="3"/>
      <c r="E357" s="3"/>
      <c r="F357" s="3"/>
      <c r="G357" s="3"/>
      <c r="H357" s="3"/>
      <c r="I357" s="3"/>
    </row>
    <row r="358" spans="1:9" x14ac:dyDescent="0.25">
      <c r="A358" s="3"/>
      <c r="B358" s="3"/>
      <c r="C358" s="3"/>
      <c r="D358" s="3"/>
      <c r="E358" s="3"/>
      <c r="F358" s="3"/>
      <c r="G358" s="3"/>
      <c r="H358" s="3"/>
      <c r="I358" s="3"/>
    </row>
    <row r="359" spans="1:9" x14ac:dyDescent="0.25">
      <c r="A359" s="3"/>
      <c r="B359" s="3"/>
      <c r="C359" s="3"/>
      <c r="D359" s="3"/>
      <c r="E359" s="3"/>
      <c r="F359" s="3"/>
      <c r="G359" s="3"/>
      <c r="H359" s="3"/>
      <c r="I359" s="3"/>
    </row>
    <row r="360" spans="1:9" x14ac:dyDescent="0.25">
      <c r="A360" s="3"/>
      <c r="B360" s="3"/>
      <c r="C360" s="3"/>
      <c r="D360" s="3"/>
      <c r="E360" s="3"/>
      <c r="F360" s="3"/>
      <c r="G360" s="3"/>
      <c r="H360" s="3"/>
      <c r="I360" s="3"/>
    </row>
    <row r="361" spans="1:9" x14ac:dyDescent="0.25">
      <c r="A361" s="3"/>
      <c r="B361" s="3"/>
      <c r="C361" s="3"/>
      <c r="D361" s="3"/>
      <c r="E361" s="3"/>
      <c r="F361" s="3"/>
      <c r="G361" s="3"/>
      <c r="H361" s="3"/>
      <c r="I361" s="3"/>
    </row>
    <row r="362" spans="1:9" x14ac:dyDescent="0.25">
      <c r="A362" s="3"/>
      <c r="B362" s="3"/>
      <c r="C362" s="3"/>
      <c r="D362" s="3"/>
      <c r="E362" s="3"/>
      <c r="F362" s="3"/>
      <c r="G362" s="3"/>
      <c r="H362" s="3"/>
      <c r="I362" s="3"/>
    </row>
    <row r="363" spans="1:9" x14ac:dyDescent="0.25">
      <c r="A363" s="3"/>
      <c r="B363" s="3"/>
      <c r="C363" s="3"/>
      <c r="D363" s="3"/>
      <c r="E363" s="3"/>
      <c r="F363" s="3"/>
      <c r="G363" s="3"/>
      <c r="H363" s="3"/>
      <c r="I363" s="3"/>
    </row>
    <row r="364" spans="1:9" x14ac:dyDescent="0.25">
      <c r="A364" s="3"/>
      <c r="B364" s="3"/>
      <c r="C364" s="3"/>
      <c r="D364" s="3"/>
      <c r="E364" s="3"/>
      <c r="F364" s="3"/>
      <c r="G364" s="3"/>
      <c r="H364" s="3"/>
      <c r="I364" s="3"/>
    </row>
    <row r="365" spans="1:9" x14ac:dyDescent="0.25">
      <c r="A365" s="3"/>
      <c r="B365" s="3"/>
      <c r="C365" s="3"/>
      <c r="D365" s="3"/>
      <c r="E365" s="3"/>
      <c r="F365" s="3"/>
      <c r="G365" s="3"/>
      <c r="H365" s="3"/>
      <c r="I365" s="3"/>
    </row>
    <row r="366" spans="1:9" x14ac:dyDescent="0.25">
      <c r="A366" s="3"/>
      <c r="B366" s="3"/>
      <c r="C366" s="3"/>
      <c r="D366" s="3"/>
      <c r="E366" s="3"/>
      <c r="F366" s="3"/>
      <c r="G366" s="3"/>
      <c r="H366" s="3"/>
      <c r="I366" s="3"/>
    </row>
    <row r="367" spans="1:9" x14ac:dyDescent="0.25">
      <c r="A367" s="3"/>
      <c r="B367" s="3"/>
      <c r="C367" s="3"/>
      <c r="D367" s="3"/>
      <c r="E367" s="3"/>
      <c r="F367" s="3"/>
      <c r="G367" s="3"/>
      <c r="H367" s="3"/>
      <c r="I367" s="3"/>
    </row>
    <row r="368" spans="1:9" x14ac:dyDescent="0.25">
      <c r="A368" s="3"/>
      <c r="B368" s="3"/>
      <c r="C368" s="3"/>
      <c r="D368" s="3"/>
      <c r="E368" s="3"/>
      <c r="F368" s="3"/>
      <c r="G368" s="3"/>
      <c r="H368" s="3"/>
      <c r="I368" s="3"/>
    </row>
    <row r="369" spans="1:9" x14ac:dyDescent="0.25">
      <c r="A369" s="3"/>
      <c r="B369" s="3"/>
      <c r="C369" s="3"/>
      <c r="D369" s="3"/>
      <c r="E369" s="3"/>
      <c r="F369" s="3"/>
      <c r="G369" s="3"/>
      <c r="H369" s="3"/>
      <c r="I369" s="3"/>
    </row>
    <row r="370" spans="1:9" x14ac:dyDescent="0.25">
      <c r="A370" s="3"/>
      <c r="B370" s="3"/>
      <c r="C370" s="3"/>
      <c r="D370" s="3"/>
      <c r="E370" s="3"/>
      <c r="F370" s="3"/>
      <c r="G370" s="3"/>
      <c r="H370" s="3"/>
      <c r="I370" s="3"/>
    </row>
    <row r="371" spans="1:9" x14ac:dyDescent="0.25">
      <c r="A371" s="3"/>
      <c r="B371" s="3"/>
      <c r="C371" s="3"/>
      <c r="D371" s="3"/>
      <c r="E371" s="3"/>
      <c r="F371" s="3"/>
      <c r="G371" s="3"/>
      <c r="H371" s="3"/>
      <c r="I371" s="3"/>
    </row>
    <row r="372" spans="1:9" x14ac:dyDescent="0.25">
      <c r="A372" s="3"/>
      <c r="B372" s="3"/>
      <c r="C372" s="3"/>
      <c r="D372" s="3"/>
      <c r="E372" s="3"/>
      <c r="F372" s="3"/>
      <c r="G372" s="3"/>
      <c r="H372" s="3"/>
      <c r="I372" s="3"/>
    </row>
    <row r="373" spans="1:9" x14ac:dyDescent="0.25">
      <c r="A373" s="3"/>
      <c r="B373" s="3"/>
      <c r="C373" s="3"/>
      <c r="D373" s="3"/>
      <c r="E373" s="3"/>
      <c r="F373" s="3"/>
      <c r="G373" s="3"/>
      <c r="H373" s="3"/>
      <c r="I373" s="3"/>
    </row>
    <row r="374" spans="1:9" x14ac:dyDescent="0.25">
      <c r="A374" s="3"/>
      <c r="B374" s="3"/>
      <c r="C374" s="3"/>
      <c r="D374" s="3"/>
      <c r="E374" s="3"/>
      <c r="F374" s="3"/>
      <c r="G374" s="3"/>
      <c r="H374" s="3"/>
      <c r="I374" s="3"/>
    </row>
    <row r="375" spans="1:9" x14ac:dyDescent="0.25">
      <c r="A375" s="3"/>
      <c r="B375" s="3"/>
      <c r="C375" s="3"/>
      <c r="D375" s="3"/>
      <c r="E375" s="3"/>
      <c r="F375" s="3"/>
      <c r="G375" s="3"/>
      <c r="H375" s="3"/>
      <c r="I375" s="3"/>
    </row>
    <row r="376" spans="1:9" x14ac:dyDescent="0.25">
      <c r="A376" s="3"/>
      <c r="B376" s="3"/>
      <c r="C376" s="3"/>
      <c r="D376" s="3"/>
      <c r="E376" s="3"/>
      <c r="F376" s="3"/>
      <c r="G376" s="3"/>
      <c r="H376" s="3"/>
      <c r="I376" s="3"/>
    </row>
    <row r="377" spans="1:9" x14ac:dyDescent="0.25">
      <c r="A377" s="3"/>
      <c r="B377" s="3"/>
      <c r="C377" s="3"/>
      <c r="D377" s="3"/>
      <c r="E377" s="3"/>
      <c r="F377" s="3"/>
      <c r="G377" s="3"/>
      <c r="H377" s="3"/>
      <c r="I377" s="3"/>
    </row>
    <row r="378" spans="1:9" x14ac:dyDescent="0.25">
      <c r="A378" s="3"/>
      <c r="B378" s="3"/>
      <c r="C378" s="3"/>
      <c r="D378" s="3"/>
      <c r="E378" s="3"/>
      <c r="F378" s="3"/>
      <c r="G378" s="3"/>
      <c r="H378" s="3"/>
      <c r="I378" s="3"/>
    </row>
    <row r="379" spans="1:9" x14ac:dyDescent="0.25">
      <c r="A379" s="3"/>
      <c r="B379" s="3"/>
      <c r="C379" s="3"/>
      <c r="D379" s="3"/>
      <c r="E379" s="3"/>
      <c r="F379" s="3"/>
      <c r="G379" s="3"/>
      <c r="H379" s="3"/>
      <c r="I379" s="3"/>
    </row>
    <row r="380" spans="1:9" x14ac:dyDescent="0.25">
      <c r="A380" s="3"/>
      <c r="B380" s="3"/>
      <c r="C380" s="3"/>
      <c r="D380" s="3"/>
      <c r="E380" s="3"/>
      <c r="F380" s="3"/>
      <c r="G380" s="3"/>
      <c r="H380" s="3"/>
      <c r="I380" s="3"/>
    </row>
    <row r="381" spans="1:9" x14ac:dyDescent="0.25">
      <c r="A381" s="3"/>
      <c r="B381" s="3"/>
      <c r="C381" s="3"/>
      <c r="D381" s="3"/>
      <c r="E381" s="3"/>
      <c r="F381" s="3"/>
      <c r="G381" s="3"/>
      <c r="H381" s="3"/>
      <c r="I381" s="3"/>
    </row>
    <row r="382" spans="1:9" x14ac:dyDescent="0.25">
      <c r="A382" s="3"/>
      <c r="B382" s="3"/>
      <c r="C382" s="3"/>
      <c r="D382" s="3"/>
      <c r="E382" s="3"/>
      <c r="F382" s="3"/>
      <c r="G382" s="3"/>
      <c r="H382" s="3"/>
      <c r="I382" s="3"/>
    </row>
    <row r="383" spans="1:9" x14ac:dyDescent="0.25">
      <c r="A383" s="3"/>
      <c r="B383" s="3"/>
      <c r="C383" s="3"/>
      <c r="D383" s="3"/>
      <c r="E383" s="3"/>
      <c r="F383" s="3"/>
      <c r="G383" s="3"/>
      <c r="H383" s="3"/>
      <c r="I383" s="3"/>
    </row>
    <row r="384" spans="1:9" x14ac:dyDescent="0.25">
      <c r="A384" s="3"/>
      <c r="B384" s="3"/>
      <c r="C384" s="3"/>
      <c r="D384" s="3"/>
      <c r="E384" s="3"/>
      <c r="F384" s="3"/>
      <c r="G384" s="3"/>
      <c r="H384" s="3"/>
      <c r="I384" s="3"/>
    </row>
    <row r="385" spans="1:9" x14ac:dyDescent="0.25">
      <c r="A385" s="3"/>
      <c r="B385" s="3"/>
      <c r="C385" s="3"/>
      <c r="D385" s="3"/>
      <c r="E385" s="3"/>
      <c r="F385" s="3"/>
      <c r="G385" s="3"/>
      <c r="H385" s="3"/>
      <c r="I385" s="3"/>
    </row>
    <row r="386" spans="1:9" x14ac:dyDescent="0.25">
      <c r="A386" s="3"/>
      <c r="B386" s="3"/>
      <c r="C386" s="3"/>
      <c r="D386" s="3"/>
      <c r="E386" s="3"/>
      <c r="F386" s="3"/>
      <c r="G386" s="3"/>
      <c r="H386" s="3"/>
      <c r="I386" s="3"/>
    </row>
    <row r="387" spans="1:9" x14ac:dyDescent="0.25">
      <c r="A387" s="3"/>
      <c r="B387" s="3"/>
      <c r="C387" s="3"/>
      <c r="D387" s="3"/>
      <c r="E387" s="3"/>
      <c r="F387" s="3"/>
      <c r="G387" s="3"/>
      <c r="H387" s="3"/>
      <c r="I387" s="3"/>
    </row>
    <row r="388" spans="1:9" x14ac:dyDescent="0.25">
      <c r="A388" s="3"/>
      <c r="B388" s="3"/>
      <c r="C388" s="3"/>
      <c r="D388" s="3"/>
      <c r="E388" s="3"/>
      <c r="F388" s="3"/>
      <c r="G388" s="3"/>
      <c r="H388" s="3"/>
      <c r="I388" s="3"/>
    </row>
    <row r="389" spans="1:9" x14ac:dyDescent="0.25">
      <c r="A389" s="3"/>
      <c r="B389" s="3"/>
      <c r="C389" s="3"/>
      <c r="D389" s="3"/>
      <c r="E389" s="3"/>
      <c r="F389" s="3"/>
      <c r="G389" s="3"/>
      <c r="H389" s="3"/>
      <c r="I389" s="3"/>
    </row>
    <row r="390" spans="1:9" x14ac:dyDescent="0.25">
      <c r="A390" s="3"/>
      <c r="B390" s="3"/>
      <c r="C390" s="3"/>
      <c r="D390" s="3"/>
      <c r="E390" s="3"/>
      <c r="F390" s="3"/>
      <c r="G390" s="3"/>
      <c r="H390" s="3"/>
      <c r="I390" s="3"/>
    </row>
    <row r="391" spans="1:9" x14ac:dyDescent="0.25">
      <c r="A391" s="3"/>
      <c r="B391" s="3"/>
      <c r="C391" s="3"/>
      <c r="D391" s="3"/>
      <c r="E391" s="3"/>
      <c r="F391" s="3"/>
      <c r="G391" s="3"/>
      <c r="H391" s="3"/>
      <c r="I391" s="3"/>
    </row>
    <row r="392" spans="1:9" x14ac:dyDescent="0.25">
      <c r="A392" s="3"/>
      <c r="B392" s="3"/>
      <c r="C392" s="3"/>
      <c r="D392" s="3"/>
      <c r="E392" s="3"/>
      <c r="F392" s="3"/>
      <c r="G392" s="3"/>
      <c r="H392" s="3"/>
      <c r="I392" s="3"/>
    </row>
    <row r="393" spans="1:9" x14ac:dyDescent="0.25">
      <c r="A393" s="3"/>
      <c r="B393" s="3"/>
      <c r="C393" s="3"/>
      <c r="D393" s="3"/>
      <c r="E393" s="3"/>
      <c r="F393" s="3"/>
      <c r="G393" s="3"/>
      <c r="H393" s="3"/>
      <c r="I393" s="3"/>
    </row>
    <row r="394" spans="1:9" x14ac:dyDescent="0.25">
      <c r="A394" s="3"/>
      <c r="B394" s="3"/>
      <c r="C394" s="3"/>
      <c r="D394" s="3"/>
      <c r="E394" s="3"/>
      <c r="F394" s="3"/>
      <c r="G394" s="3"/>
      <c r="H394" s="3"/>
      <c r="I394" s="3"/>
    </row>
    <row r="395" spans="1:9" x14ac:dyDescent="0.25">
      <c r="A395" s="3"/>
      <c r="B395" s="3"/>
      <c r="C395" s="3"/>
      <c r="D395" s="3"/>
      <c r="E395" s="3"/>
      <c r="F395" s="3"/>
      <c r="G395" s="3"/>
      <c r="H395" s="3"/>
      <c r="I395" s="3"/>
    </row>
    <row r="396" spans="1:9" x14ac:dyDescent="0.25">
      <c r="A396" s="3"/>
      <c r="B396" s="3"/>
      <c r="C396" s="3"/>
      <c r="D396" s="3"/>
      <c r="E396" s="3"/>
      <c r="F396" s="3"/>
      <c r="G396" s="3"/>
      <c r="H396" s="3"/>
      <c r="I396" s="3"/>
    </row>
    <row r="397" spans="1:9" x14ac:dyDescent="0.25">
      <c r="A397" s="3"/>
      <c r="B397" s="3"/>
      <c r="C397" s="3"/>
      <c r="D397" s="3"/>
      <c r="E397" s="3"/>
      <c r="F397" s="3"/>
      <c r="G397" s="3"/>
      <c r="H397" s="3"/>
      <c r="I397" s="3"/>
    </row>
    <row r="398" spans="1:9" x14ac:dyDescent="0.25">
      <c r="A398" s="3"/>
      <c r="B398" s="3"/>
      <c r="C398" s="3"/>
      <c r="D398" s="3"/>
      <c r="E398" s="3"/>
      <c r="F398" s="3"/>
      <c r="G398" s="3"/>
      <c r="H398" s="3"/>
      <c r="I398" s="3"/>
    </row>
    <row r="399" spans="1:9" x14ac:dyDescent="0.25">
      <c r="A399" s="3"/>
      <c r="B399" s="3"/>
      <c r="C399" s="3"/>
      <c r="D399" s="3"/>
      <c r="E399" s="3"/>
      <c r="F399" s="3"/>
      <c r="G399" s="3"/>
      <c r="H399" s="3"/>
      <c r="I399" s="3"/>
    </row>
    <row r="400" spans="1:9" x14ac:dyDescent="0.25">
      <c r="A400" s="3"/>
      <c r="B400" s="3"/>
      <c r="C400" s="3"/>
      <c r="D400" s="3"/>
      <c r="E400" s="3"/>
      <c r="F400" s="3"/>
      <c r="G400" s="3"/>
      <c r="H400" s="3"/>
      <c r="I400" s="3"/>
    </row>
    <row r="401" spans="1:9" x14ac:dyDescent="0.25">
      <c r="A401" s="3"/>
      <c r="B401" s="3"/>
      <c r="C401" s="3"/>
      <c r="D401" s="3"/>
      <c r="E401" s="3"/>
      <c r="F401" s="3"/>
      <c r="G401" s="3"/>
      <c r="H401" s="3"/>
      <c r="I401" s="3"/>
    </row>
    <row r="402" spans="1:9" x14ac:dyDescent="0.25">
      <c r="A402" s="3"/>
      <c r="B402" s="3"/>
      <c r="C402" s="3"/>
      <c r="D402" s="3"/>
      <c r="E402" s="3"/>
      <c r="F402" s="3"/>
      <c r="G402" s="3"/>
      <c r="H402" s="3"/>
      <c r="I402" s="3"/>
    </row>
    <row r="403" spans="1:9" x14ac:dyDescent="0.25">
      <c r="A403" s="3"/>
      <c r="B403" s="3"/>
      <c r="C403" s="3"/>
      <c r="D403" s="3"/>
      <c r="E403" s="3"/>
      <c r="F403" s="3"/>
      <c r="G403" s="3"/>
      <c r="H403" s="3"/>
      <c r="I403" s="3"/>
    </row>
    <row r="404" spans="1:9" x14ac:dyDescent="0.25">
      <c r="A404" s="3"/>
      <c r="B404" s="3"/>
      <c r="C404" s="3"/>
      <c r="D404" s="3"/>
      <c r="E404" s="3"/>
      <c r="F404" s="3"/>
      <c r="G404" s="3"/>
      <c r="H404" s="3"/>
      <c r="I404" s="3"/>
    </row>
    <row r="405" spans="1:9" x14ac:dyDescent="0.25">
      <c r="A405" s="3"/>
      <c r="B405" s="3"/>
      <c r="C405" s="3"/>
      <c r="D405" s="3"/>
      <c r="E405" s="3"/>
      <c r="F405" s="3"/>
      <c r="G405" s="3"/>
      <c r="H405" s="3"/>
      <c r="I405" s="3"/>
    </row>
    <row r="406" spans="1:9" x14ac:dyDescent="0.25">
      <c r="A406" s="3"/>
      <c r="B406" s="3"/>
      <c r="C406" s="3"/>
      <c r="D406" s="3"/>
      <c r="E406" s="3"/>
      <c r="F406" s="3"/>
      <c r="G406" s="3"/>
      <c r="H406" s="3"/>
      <c r="I406" s="3"/>
    </row>
    <row r="407" spans="1:9" x14ac:dyDescent="0.25">
      <c r="A407" s="3"/>
      <c r="B407" s="3"/>
      <c r="C407" s="3"/>
      <c r="D407" s="3"/>
      <c r="E407" s="3"/>
      <c r="F407" s="3"/>
      <c r="G407" s="3"/>
      <c r="H407" s="3"/>
      <c r="I407" s="3"/>
    </row>
    <row r="408" spans="1:9" x14ac:dyDescent="0.25">
      <c r="A408" s="3"/>
      <c r="B408" s="3"/>
      <c r="C408" s="3"/>
      <c r="D408" s="3"/>
      <c r="E408" s="3"/>
      <c r="F408" s="3"/>
      <c r="G408" s="3"/>
      <c r="H408" s="3"/>
      <c r="I408" s="3"/>
    </row>
    <row r="409" spans="1:9" x14ac:dyDescent="0.25">
      <c r="A409" s="3"/>
      <c r="B409" s="3"/>
      <c r="C409" s="3"/>
      <c r="D409" s="3"/>
      <c r="E409" s="3"/>
      <c r="F409" s="3"/>
      <c r="G409" s="3"/>
      <c r="H409" s="3"/>
      <c r="I409" s="3"/>
    </row>
    <row r="410" spans="1:9" x14ac:dyDescent="0.25">
      <c r="A410" s="3"/>
      <c r="B410" s="3"/>
      <c r="C410" s="3"/>
      <c r="D410" s="3"/>
      <c r="E410" s="3"/>
      <c r="F410" s="3"/>
      <c r="G410" s="3"/>
      <c r="H410" s="3"/>
      <c r="I410" s="3"/>
    </row>
    <row r="411" spans="1:9" x14ac:dyDescent="0.25">
      <c r="A411" s="3"/>
      <c r="B411" s="3"/>
      <c r="C411" s="3"/>
      <c r="D411" s="3"/>
      <c r="E411" s="3"/>
      <c r="F411" s="3"/>
      <c r="G411" s="3"/>
      <c r="H411" s="3"/>
      <c r="I411" s="3"/>
    </row>
    <row r="412" spans="1:9" x14ac:dyDescent="0.25">
      <c r="A412" s="3"/>
      <c r="B412" s="3"/>
      <c r="C412" s="3"/>
      <c r="D412" s="3"/>
      <c r="E412" s="3"/>
      <c r="F412" s="3"/>
      <c r="G412" s="3"/>
      <c r="H412" s="3"/>
      <c r="I412" s="3"/>
    </row>
    <row r="413" spans="1:9" x14ac:dyDescent="0.25">
      <c r="A413" s="3"/>
      <c r="B413" s="3"/>
      <c r="C413" s="3"/>
      <c r="D413" s="3"/>
      <c r="E413" s="3"/>
      <c r="F413" s="3"/>
      <c r="G413" s="3"/>
      <c r="H413" s="3"/>
      <c r="I413" s="3"/>
    </row>
    <row r="414" spans="1:9" x14ac:dyDescent="0.25">
      <c r="A414" s="3"/>
      <c r="B414" s="3"/>
      <c r="C414" s="3"/>
      <c r="D414" s="3"/>
      <c r="E414" s="3"/>
      <c r="F414" s="3"/>
      <c r="G414" s="3"/>
      <c r="H414" s="3"/>
      <c r="I414" s="3"/>
    </row>
    <row r="415" spans="1:9" x14ac:dyDescent="0.25">
      <c r="A415" s="3"/>
      <c r="B415" s="3"/>
      <c r="C415" s="3"/>
      <c r="D415" s="3"/>
      <c r="E415" s="3"/>
      <c r="F415" s="3"/>
      <c r="G415" s="3"/>
      <c r="H415" s="3"/>
      <c r="I415" s="3"/>
    </row>
    <row r="416" spans="1:9" x14ac:dyDescent="0.25">
      <c r="A416" s="3"/>
      <c r="B416" s="3"/>
      <c r="C416" s="3"/>
      <c r="D416" s="3"/>
      <c r="E416" s="3"/>
      <c r="F416" s="3"/>
      <c r="G416" s="3"/>
      <c r="H416" s="3"/>
      <c r="I416" s="3"/>
    </row>
    <row r="417" spans="1:9" x14ac:dyDescent="0.25">
      <c r="A417" s="3"/>
      <c r="B417" s="3"/>
      <c r="C417" s="3"/>
      <c r="D417" s="3"/>
      <c r="E417" s="3"/>
      <c r="F417" s="3"/>
      <c r="G417" s="3"/>
      <c r="H417" s="3"/>
      <c r="I417" s="3"/>
    </row>
    <row r="418" spans="1:9" x14ac:dyDescent="0.25">
      <c r="A418" s="3"/>
      <c r="B418" s="3"/>
      <c r="C418" s="3"/>
      <c r="D418" s="3"/>
      <c r="E418" s="3"/>
      <c r="F418" s="3"/>
      <c r="G418" s="3"/>
      <c r="H418" s="3"/>
      <c r="I418" s="3"/>
    </row>
    <row r="419" spans="1:9" x14ac:dyDescent="0.25">
      <c r="A419" s="3"/>
      <c r="B419" s="3"/>
      <c r="C419" s="3"/>
      <c r="D419" s="3"/>
      <c r="E419" s="3"/>
      <c r="F419" s="3"/>
      <c r="G419" s="3"/>
      <c r="H419" s="3"/>
      <c r="I419" s="3"/>
    </row>
    <row r="420" spans="1:9" x14ac:dyDescent="0.25">
      <c r="A420" s="3"/>
      <c r="B420" s="3"/>
      <c r="C420" s="3"/>
      <c r="D420" s="3"/>
      <c r="E420" s="3"/>
      <c r="F420" s="3"/>
      <c r="G420" s="3"/>
      <c r="H420" s="3"/>
      <c r="I420" s="3"/>
    </row>
    <row r="421" spans="1:9" x14ac:dyDescent="0.25">
      <c r="A421" s="3"/>
      <c r="B421" s="3"/>
      <c r="C421" s="3"/>
      <c r="D421" s="3"/>
      <c r="E421" s="3"/>
      <c r="F421" s="3"/>
      <c r="G421" s="3"/>
      <c r="H421" s="3"/>
      <c r="I421" s="3"/>
    </row>
    <row r="422" spans="1:9" x14ac:dyDescent="0.25">
      <c r="A422" s="3"/>
      <c r="B422" s="3"/>
      <c r="C422" s="3"/>
      <c r="D422" s="3"/>
      <c r="E422" s="3"/>
      <c r="F422" s="3"/>
      <c r="G422" s="3"/>
      <c r="H422" s="3"/>
      <c r="I422" s="3"/>
    </row>
    <row r="423" spans="1:9" x14ac:dyDescent="0.25">
      <c r="A423" s="3"/>
      <c r="B423" s="3"/>
      <c r="C423" s="3"/>
      <c r="D423" s="3"/>
      <c r="E423" s="3"/>
      <c r="F423" s="3"/>
      <c r="G423" s="3"/>
      <c r="H423" s="3"/>
      <c r="I423" s="3"/>
    </row>
    <row r="424" spans="1:9" x14ac:dyDescent="0.25">
      <c r="A424" s="3"/>
      <c r="B424" s="3"/>
      <c r="C424" s="3"/>
      <c r="D424" s="3"/>
      <c r="E424" s="3"/>
      <c r="F424" s="3"/>
      <c r="G424" s="3"/>
      <c r="H424" s="3"/>
      <c r="I424" s="3"/>
    </row>
    <row r="425" spans="1:9" x14ac:dyDescent="0.25">
      <c r="A425" s="3"/>
      <c r="B425" s="3"/>
      <c r="C425" s="3"/>
      <c r="D425" s="3"/>
      <c r="E425" s="3"/>
      <c r="F425" s="3"/>
      <c r="G425" s="3"/>
      <c r="H425" s="3"/>
      <c r="I425" s="3"/>
    </row>
    <row r="426" spans="1:9" x14ac:dyDescent="0.25">
      <c r="A426" s="3"/>
      <c r="B426" s="3"/>
      <c r="C426" s="3"/>
      <c r="D426" s="3"/>
      <c r="E426" s="3"/>
      <c r="F426" s="3"/>
      <c r="G426" s="3"/>
      <c r="H426" s="3"/>
      <c r="I426" s="3"/>
    </row>
    <row r="427" spans="1:9" x14ac:dyDescent="0.25">
      <c r="A427" s="3"/>
      <c r="B427" s="3"/>
      <c r="C427" s="3"/>
      <c r="D427" s="3"/>
      <c r="E427" s="3"/>
      <c r="F427" s="3"/>
      <c r="G427" s="3"/>
      <c r="H427" s="3"/>
      <c r="I427" s="3"/>
    </row>
    <row r="428" spans="1:9" x14ac:dyDescent="0.25">
      <c r="A428" s="3"/>
      <c r="B428" s="3"/>
      <c r="C428" s="3"/>
      <c r="D428" s="3"/>
      <c r="E428" s="3"/>
      <c r="F428" s="3"/>
      <c r="G428" s="3"/>
      <c r="H428" s="3"/>
      <c r="I428" s="3"/>
    </row>
    <row r="429" spans="1:9" x14ac:dyDescent="0.25">
      <c r="A429" s="3"/>
      <c r="B429" s="3"/>
      <c r="C429" s="3"/>
      <c r="D429" s="3"/>
      <c r="E429" s="3"/>
      <c r="F429" s="3"/>
      <c r="G429" s="3"/>
      <c r="H429" s="3"/>
      <c r="I429" s="3"/>
    </row>
    <row r="430" spans="1:9" x14ac:dyDescent="0.25">
      <c r="A430" s="3"/>
      <c r="B430" s="3"/>
      <c r="C430" s="3"/>
      <c r="D430" s="3"/>
      <c r="E430" s="3"/>
      <c r="F430" s="3"/>
      <c r="G430" s="3"/>
      <c r="H430" s="3"/>
      <c r="I430" s="3"/>
    </row>
    <row r="431" spans="1:9" x14ac:dyDescent="0.25">
      <c r="A431" s="3"/>
      <c r="B431" s="3"/>
      <c r="C431" s="3"/>
      <c r="D431" s="3"/>
      <c r="E431" s="3"/>
      <c r="F431" s="3"/>
      <c r="G431" s="3"/>
      <c r="H431" s="3"/>
      <c r="I431" s="3"/>
    </row>
    <row r="432" spans="1:9" x14ac:dyDescent="0.25">
      <c r="A432" s="3"/>
      <c r="B432" s="3"/>
      <c r="C432" s="3"/>
      <c r="D432" s="3"/>
      <c r="E432" s="3"/>
      <c r="F432" s="3"/>
      <c r="G432" s="3"/>
      <c r="H432" s="3"/>
      <c r="I432" s="3"/>
    </row>
    <row r="433" spans="1:9" x14ac:dyDescent="0.25">
      <c r="A433" s="3"/>
      <c r="B433" s="3"/>
      <c r="C433" s="3"/>
      <c r="D433" s="3"/>
      <c r="E433" s="3"/>
      <c r="F433" s="3"/>
      <c r="G433" s="3"/>
      <c r="H433" s="3"/>
      <c r="I433" s="3"/>
    </row>
    <row r="434" spans="1:9" x14ac:dyDescent="0.25">
      <c r="A434" s="3"/>
      <c r="B434" s="3"/>
      <c r="C434" s="3"/>
      <c r="D434" s="3"/>
      <c r="E434" s="3"/>
      <c r="F434" s="3"/>
      <c r="G434" s="3"/>
      <c r="H434" s="3"/>
      <c r="I434" s="3"/>
    </row>
    <row r="435" spans="1:9" x14ac:dyDescent="0.25">
      <c r="A435" s="3"/>
      <c r="B435" s="3"/>
      <c r="C435" s="3"/>
      <c r="D435" s="3"/>
      <c r="E435" s="3"/>
      <c r="F435" s="3"/>
      <c r="G435" s="3"/>
      <c r="H435" s="3"/>
      <c r="I435" s="3"/>
    </row>
    <row r="436" spans="1:9" x14ac:dyDescent="0.25">
      <c r="A436" s="3"/>
      <c r="B436" s="3"/>
      <c r="C436" s="3"/>
      <c r="D436" s="3"/>
      <c r="E436" s="3"/>
      <c r="F436" s="3"/>
      <c r="G436" s="3"/>
      <c r="H436" s="3"/>
      <c r="I436" s="3"/>
    </row>
    <row r="437" spans="1:9" x14ac:dyDescent="0.25">
      <c r="A437" s="3"/>
      <c r="B437" s="3"/>
      <c r="C437" s="3"/>
      <c r="D437" s="3"/>
      <c r="E437" s="3"/>
      <c r="F437" s="3"/>
      <c r="G437" s="3"/>
      <c r="H437" s="3"/>
      <c r="I437" s="3"/>
    </row>
    <row r="438" spans="1:9" x14ac:dyDescent="0.25">
      <c r="A438" s="3"/>
      <c r="B438" s="3"/>
      <c r="C438" s="3"/>
      <c r="D438" s="3"/>
      <c r="E438" s="3"/>
      <c r="F438" s="3"/>
      <c r="G438" s="3"/>
      <c r="H438" s="3"/>
      <c r="I438" s="3"/>
    </row>
    <row r="439" spans="1:9" x14ac:dyDescent="0.25">
      <c r="A439" s="3"/>
      <c r="B439" s="3"/>
      <c r="C439" s="3"/>
      <c r="D439" s="3"/>
      <c r="E439" s="3"/>
      <c r="F439" s="3"/>
      <c r="G439" s="3"/>
      <c r="H439" s="3"/>
      <c r="I439" s="3"/>
    </row>
    <row r="440" spans="1:9" x14ac:dyDescent="0.25">
      <c r="A440" s="3"/>
      <c r="B440" s="3"/>
      <c r="C440" s="3"/>
      <c r="D440" s="3"/>
      <c r="E440" s="3"/>
      <c r="F440" s="3"/>
      <c r="G440" s="3"/>
      <c r="H440" s="3"/>
      <c r="I440" s="3"/>
    </row>
    <row r="441" spans="1:9" x14ac:dyDescent="0.25">
      <c r="A441" s="3"/>
      <c r="B441" s="3"/>
      <c r="C441" s="3"/>
      <c r="D441" s="3"/>
      <c r="E441" s="3"/>
      <c r="F441" s="3"/>
      <c r="G441" s="3"/>
      <c r="H441" s="3"/>
      <c r="I441" s="3"/>
    </row>
    <row r="442" spans="1:9" x14ac:dyDescent="0.25">
      <c r="A442" s="3"/>
      <c r="B442" s="3"/>
      <c r="C442" s="3"/>
      <c r="D442" s="3"/>
      <c r="E442" s="3"/>
      <c r="F442" s="3"/>
      <c r="G442" s="3"/>
      <c r="H442" s="3"/>
      <c r="I442" s="3"/>
    </row>
    <row r="443" spans="1:9" x14ac:dyDescent="0.25">
      <c r="A443" s="3"/>
      <c r="B443" s="3"/>
      <c r="C443" s="3"/>
      <c r="D443" s="3"/>
      <c r="E443" s="3"/>
      <c r="F443" s="3"/>
      <c r="G443" s="3"/>
      <c r="H443" s="3"/>
      <c r="I443" s="3"/>
    </row>
    <row r="444" spans="1:9" x14ac:dyDescent="0.25">
      <c r="A444" s="3"/>
      <c r="B444" s="3"/>
      <c r="C444" s="3"/>
      <c r="D444" s="3"/>
      <c r="E444" s="3"/>
      <c r="F444" s="3"/>
      <c r="G444" s="3"/>
      <c r="H444" s="3"/>
      <c r="I444" s="3"/>
    </row>
    <row r="445" spans="1:9" x14ac:dyDescent="0.25">
      <c r="A445" s="3"/>
      <c r="B445" s="3"/>
      <c r="C445" s="3"/>
      <c r="D445" s="3"/>
      <c r="E445" s="3"/>
      <c r="F445" s="3"/>
      <c r="G445" s="3"/>
      <c r="H445" s="3"/>
      <c r="I445" s="3"/>
    </row>
    <row r="446" spans="1:9" x14ac:dyDescent="0.25">
      <c r="A446" s="3"/>
      <c r="B446" s="3"/>
      <c r="C446" s="3"/>
      <c r="D446" s="3"/>
      <c r="E446" s="3"/>
      <c r="F446" s="3"/>
      <c r="G446" s="3"/>
      <c r="H446" s="3"/>
      <c r="I446" s="3"/>
    </row>
    <row r="447" spans="1:9" x14ac:dyDescent="0.25">
      <c r="A447" s="3"/>
      <c r="B447" s="3"/>
      <c r="C447" s="3"/>
      <c r="D447" s="3"/>
      <c r="E447" s="3"/>
      <c r="F447" s="3"/>
      <c r="G447" s="3"/>
      <c r="H447" s="3"/>
      <c r="I447" s="3"/>
    </row>
    <row r="448" spans="1:9" x14ac:dyDescent="0.25">
      <c r="A448" s="3"/>
      <c r="B448" s="3"/>
      <c r="C448" s="3"/>
      <c r="D448" s="3"/>
      <c r="E448" s="3"/>
      <c r="F448" s="3"/>
      <c r="G448" s="3"/>
      <c r="H448" s="3"/>
      <c r="I448" s="3"/>
    </row>
    <row r="449" spans="1:9" x14ac:dyDescent="0.25">
      <c r="A449" s="3"/>
      <c r="B449" s="3"/>
      <c r="C449" s="3"/>
      <c r="D449" s="3"/>
      <c r="E449" s="3"/>
      <c r="F449" s="3"/>
      <c r="G449" s="3"/>
      <c r="H449" s="3"/>
      <c r="I449" s="3"/>
    </row>
    <row r="450" spans="1:9" x14ac:dyDescent="0.25">
      <c r="A450" s="3"/>
      <c r="B450" s="3"/>
      <c r="C450" s="3"/>
      <c r="D450" s="3"/>
      <c r="E450" s="3"/>
      <c r="F450" s="3"/>
      <c r="G450" s="3"/>
      <c r="H450" s="3"/>
      <c r="I450" s="3"/>
    </row>
    <row r="451" spans="1:9" x14ac:dyDescent="0.25">
      <c r="A451" s="3"/>
      <c r="B451" s="3"/>
      <c r="C451" s="3"/>
      <c r="D451" s="3"/>
      <c r="E451" s="3"/>
      <c r="F451" s="3"/>
      <c r="G451" s="3"/>
      <c r="H451" s="3"/>
      <c r="I451" s="3"/>
    </row>
    <row r="452" spans="1:9" x14ac:dyDescent="0.25">
      <c r="A452" s="3"/>
      <c r="B452" s="3"/>
      <c r="C452" s="3"/>
      <c r="D452" s="3"/>
      <c r="E452" s="3"/>
      <c r="F452" s="3"/>
      <c r="G452" s="3"/>
      <c r="H452" s="3"/>
      <c r="I452" s="3"/>
    </row>
    <row r="453" spans="1:9" x14ac:dyDescent="0.25">
      <c r="A453" s="3"/>
      <c r="B453" s="3"/>
      <c r="C453" s="3"/>
      <c r="D453" s="3"/>
      <c r="E453" s="3"/>
      <c r="F453" s="3"/>
      <c r="G453" s="3"/>
      <c r="H453" s="3"/>
      <c r="I453" s="3"/>
    </row>
    <row r="454" spans="1:9" x14ac:dyDescent="0.25">
      <c r="A454" s="3"/>
      <c r="B454" s="3"/>
      <c r="C454" s="3"/>
      <c r="D454" s="3"/>
      <c r="E454" s="3"/>
      <c r="F454" s="3"/>
      <c r="G454" s="3"/>
      <c r="H454" s="3"/>
      <c r="I454" s="3"/>
    </row>
    <row r="455" spans="1:9" x14ac:dyDescent="0.25">
      <c r="A455" s="3"/>
      <c r="B455" s="3"/>
      <c r="C455" s="3"/>
      <c r="D455" s="3"/>
      <c r="E455" s="3"/>
      <c r="F455" s="3"/>
      <c r="G455" s="3"/>
      <c r="H455" s="3"/>
      <c r="I455" s="3"/>
    </row>
    <row r="456" spans="1:9" x14ac:dyDescent="0.25">
      <c r="A456" s="3"/>
      <c r="B456" s="3"/>
      <c r="C456" s="3"/>
      <c r="D456" s="3"/>
      <c r="E456" s="3"/>
      <c r="F456" s="3"/>
      <c r="G456" s="3"/>
      <c r="H456" s="3"/>
      <c r="I456" s="3"/>
    </row>
    <row r="457" spans="1:9" x14ac:dyDescent="0.25">
      <c r="A457" s="3"/>
      <c r="B457" s="3"/>
      <c r="C457" s="3"/>
      <c r="D457" s="3"/>
      <c r="E457" s="3"/>
      <c r="F457" s="3"/>
      <c r="G457" s="3"/>
      <c r="H457" s="3"/>
      <c r="I457" s="3"/>
    </row>
    <row r="458" spans="1:9" x14ac:dyDescent="0.25">
      <c r="A458" s="3"/>
      <c r="B458" s="3"/>
      <c r="C458" s="3"/>
      <c r="D458" s="3"/>
      <c r="E458" s="3"/>
      <c r="F458" s="3"/>
      <c r="G458" s="3"/>
      <c r="H458" s="3"/>
      <c r="I458" s="3"/>
    </row>
    <row r="459" spans="1:9" x14ac:dyDescent="0.25">
      <c r="A459" s="3"/>
      <c r="B459" s="3"/>
      <c r="C459" s="3"/>
      <c r="D459" s="3"/>
      <c r="E459" s="3"/>
      <c r="F459" s="3"/>
      <c r="G459" s="3"/>
      <c r="H459" s="3"/>
      <c r="I459" s="3"/>
    </row>
    <row r="460" spans="1:9" x14ac:dyDescent="0.25">
      <c r="A460" s="3"/>
      <c r="B460" s="3"/>
      <c r="C460" s="3"/>
      <c r="D460" s="3"/>
      <c r="E460" s="3"/>
      <c r="F460" s="3"/>
      <c r="G460" s="3"/>
      <c r="H460" s="3"/>
      <c r="I460" s="3"/>
    </row>
    <row r="461" spans="1:9" x14ac:dyDescent="0.25">
      <c r="A461" s="3"/>
      <c r="B461" s="3"/>
      <c r="C461" s="3"/>
      <c r="D461" s="3"/>
      <c r="E461" s="3"/>
      <c r="F461" s="3"/>
      <c r="G461" s="3"/>
      <c r="H461" s="3"/>
      <c r="I461" s="3"/>
    </row>
    <row r="462" spans="1:9" x14ac:dyDescent="0.25">
      <c r="A462" s="3"/>
      <c r="B462" s="3"/>
      <c r="C462" s="3"/>
      <c r="D462" s="3"/>
      <c r="E462" s="3"/>
      <c r="F462" s="3"/>
      <c r="G462" s="3"/>
      <c r="H462" s="3"/>
      <c r="I462" s="3"/>
    </row>
    <row r="463" spans="1:9" x14ac:dyDescent="0.25">
      <c r="A463" s="3"/>
      <c r="B463" s="3"/>
      <c r="C463" s="3"/>
      <c r="D463" s="3"/>
      <c r="E463" s="3"/>
      <c r="F463" s="3"/>
      <c r="G463" s="3"/>
      <c r="H463" s="3"/>
      <c r="I463" s="3"/>
    </row>
    <row r="464" spans="1:9" x14ac:dyDescent="0.25">
      <c r="A464" s="3"/>
      <c r="B464" s="3"/>
      <c r="C464" s="3"/>
      <c r="D464" s="3"/>
      <c r="E464" s="3"/>
      <c r="F464" s="3"/>
      <c r="G464" s="3"/>
      <c r="H464" s="3"/>
      <c r="I464" s="3"/>
    </row>
    <row r="465" spans="1:9" x14ac:dyDescent="0.25">
      <c r="A465" s="3"/>
      <c r="B465" s="3"/>
      <c r="C465" s="3"/>
      <c r="D465" s="3"/>
      <c r="E465" s="3"/>
      <c r="F465" s="3"/>
      <c r="G465" s="3"/>
      <c r="H465" s="3"/>
      <c r="I465" s="3"/>
    </row>
    <row r="466" spans="1:9" x14ac:dyDescent="0.25">
      <c r="A466" s="3"/>
      <c r="B466" s="3"/>
      <c r="C466" s="3"/>
      <c r="D466" s="3"/>
      <c r="E466" s="3"/>
      <c r="F466" s="3"/>
      <c r="G466" s="3"/>
      <c r="H466" s="3"/>
      <c r="I466" s="3"/>
    </row>
    <row r="467" spans="1:9" x14ac:dyDescent="0.25">
      <c r="A467" s="3"/>
      <c r="B467" s="3"/>
      <c r="C467" s="3"/>
      <c r="D467" s="3"/>
      <c r="E467" s="3"/>
      <c r="F467" s="3"/>
      <c r="G467" s="3"/>
      <c r="H467" s="3"/>
      <c r="I467" s="3"/>
    </row>
    <row r="468" spans="1:9" x14ac:dyDescent="0.25">
      <c r="A468" s="3"/>
      <c r="B468" s="3"/>
      <c r="C468" s="3"/>
      <c r="D468" s="3"/>
      <c r="E468" s="3"/>
      <c r="F468" s="3"/>
      <c r="G468" s="3"/>
      <c r="H468" s="3"/>
      <c r="I468" s="3"/>
    </row>
    <row r="469" spans="1:9" x14ac:dyDescent="0.25">
      <c r="A469" s="3"/>
      <c r="B469" s="3"/>
      <c r="C469" s="3"/>
      <c r="D469" s="3"/>
      <c r="E469" s="3"/>
      <c r="F469" s="3"/>
      <c r="G469" s="3"/>
      <c r="H469" s="3"/>
      <c r="I469" s="3"/>
    </row>
    <row r="470" spans="1:9" x14ac:dyDescent="0.25">
      <c r="A470" s="3"/>
      <c r="B470" s="3"/>
      <c r="C470" s="3"/>
      <c r="D470" s="3"/>
      <c r="E470" s="3"/>
      <c r="F470" s="3"/>
      <c r="G470" s="3"/>
      <c r="H470" s="3"/>
      <c r="I470" s="3"/>
    </row>
    <row r="471" spans="1:9" x14ac:dyDescent="0.25">
      <c r="A471" s="3"/>
      <c r="B471" s="3"/>
      <c r="C471" s="3"/>
      <c r="D471" s="3"/>
      <c r="E471" s="3"/>
      <c r="F471" s="3"/>
      <c r="G471" s="3"/>
      <c r="H471" s="3"/>
      <c r="I471" s="3"/>
    </row>
    <row r="472" spans="1:9" x14ac:dyDescent="0.25">
      <c r="A472" s="3"/>
      <c r="B472" s="3"/>
      <c r="C472" s="3"/>
      <c r="D472" s="3"/>
      <c r="E472" s="3"/>
      <c r="F472" s="3"/>
      <c r="G472" s="3"/>
      <c r="H472" s="3"/>
      <c r="I472" s="3"/>
    </row>
    <row r="473" spans="1:9" x14ac:dyDescent="0.25">
      <c r="A473" s="3"/>
      <c r="B473" s="3"/>
      <c r="C473" s="3"/>
      <c r="D473" s="3"/>
      <c r="E473" s="3"/>
      <c r="F473" s="3"/>
      <c r="G473" s="3"/>
      <c r="H473" s="3"/>
      <c r="I473" s="3"/>
    </row>
    <row r="474" spans="1:9" x14ac:dyDescent="0.25">
      <c r="A474" s="3"/>
      <c r="B474" s="3"/>
      <c r="C474" s="3"/>
      <c r="D474" s="3"/>
      <c r="E474" s="3"/>
      <c r="F474" s="3"/>
      <c r="G474" s="3"/>
      <c r="H474" s="3"/>
      <c r="I474" s="3"/>
    </row>
    <row r="475" spans="1:9" x14ac:dyDescent="0.25">
      <c r="A475" s="3"/>
      <c r="B475" s="3"/>
      <c r="C475" s="3"/>
      <c r="D475" s="3"/>
      <c r="E475" s="3"/>
      <c r="F475" s="3"/>
      <c r="G475" s="3"/>
      <c r="H475" s="3"/>
      <c r="I475" s="3"/>
    </row>
    <row r="476" spans="1:9" x14ac:dyDescent="0.25">
      <c r="A476" s="3"/>
      <c r="B476" s="3"/>
      <c r="C476" s="3"/>
      <c r="D476" s="3"/>
      <c r="E476" s="3"/>
      <c r="F476" s="3"/>
      <c r="G476" s="3"/>
      <c r="H476" s="3"/>
      <c r="I476" s="3"/>
    </row>
    <row r="477" spans="1:9" x14ac:dyDescent="0.25">
      <c r="A477" s="3"/>
      <c r="B477" s="3"/>
      <c r="C477" s="3"/>
      <c r="D477" s="3"/>
      <c r="E477" s="3"/>
      <c r="F477" s="3"/>
      <c r="G477" s="3"/>
      <c r="H477" s="3"/>
      <c r="I477" s="3"/>
    </row>
    <row r="478" spans="1:9" x14ac:dyDescent="0.25">
      <c r="A478" s="3"/>
      <c r="B478" s="3"/>
      <c r="C478" s="3"/>
      <c r="D478" s="3"/>
      <c r="E478" s="3"/>
      <c r="F478" s="3"/>
      <c r="G478" s="3"/>
      <c r="H478" s="3"/>
      <c r="I478" s="3"/>
    </row>
    <row r="479" spans="1:9" x14ac:dyDescent="0.25">
      <c r="A479" s="3"/>
      <c r="B479" s="3"/>
      <c r="C479" s="3"/>
      <c r="D479" s="3"/>
      <c r="E479" s="3"/>
      <c r="F479" s="3"/>
      <c r="G479" s="3"/>
      <c r="H479" s="3"/>
      <c r="I479" s="3"/>
    </row>
    <row r="480" spans="1:9" x14ac:dyDescent="0.25">
      <c r="A480" s="3"/>
      <c r="B480" s="3"/>
      <c r="C480" s="3"/>
      <c r="D480" s="3"/>
      <c r="E480" s="3"/>
      <c r="F480" s="3"/>
      <c r="G480" s="3"/>
      <c r="H480" s="3"/>
      <c r="I480" s="3"/>
    </row>
    <row r="481" spans="1:9" x14ac:dyDescent="0.25">
      <c r="A481" s="3"/>
      <c r="B481" s="3"/>
      <c r="C481" s="3"/>
      <c r="D481" s="3"/>
      <c r="E481" s="3"/>
      <c r="F481" s="3"/>
      <c r="G481" s="3"/>
      <c r="H481" s="3"/>
      <c r="I481" s="3"/>
    </row>
    <row r="482" spans="1:9" x14ac:dyDescent="0.25">
      <c r="A482" s="3"/>
      <c r="B482" s="3"/>
      <c r="C482" s="3"/>
      <c r="D482" s="3"/>
      <c r="E482" s="3"/>
      <c r="F482" s="3"/>
      <c r="G482" s="3"/>
      <c r="H482" s="3"/>
      <c r="I482" s="3"/>
    </row>
    <row r="483" spans="1:9" x14ac:dyDescent="0.25">
      <c r="A483" s="3"/>
      <c r="B483" s="3"/>
      <c r="C483" s="3"/>
      <c r="D483" s="3"/>
      <c r="E483" s="3"/>
      <c r="F483" s="3"/>
      <c r="G483" s="3"/>
      <c r="H483" s="3"/>
      <c r="I483" s="3"/>
    </row>
    <row r="484" spans="1:9" x14ac:dyDescent="0.25">
      <c r="A484" s="3"/>
      <c r="B484" s="3"/>
      <c r="C484" s="3"/>
      <c r="D484" s="3"/>
      <c r="E484" s="3"/>
      <c r="F484" s="3"/>
      <c r="G484" s="3"/>
      <c r="H484" s="3"/>
      <c r="I484" s="3"/>
    </row>
    <row r="485" spans="1:9" x14ac:dyDescent="0.25">
      <c r="A485" s="3"/>
      <c r="B485" s="3"/>
      <c r="C485" s="3"/>
      <c r="D485" s="3"/>
      <c r="E485" s="3"/>
      <c r="F485" s="3"/>
      <c r="G485" s="3"/>
      <c r="H485" s="3"/>
      <c r="I485" s="3"/>
    </row>
    <row r="486" spans="1:9" x14ac:dyDescent="0.25">
      <c r="A486" s="3"/>
      <c r="B486" s="3"/>
      <c r="C486" s="3"/>
      <c r="D486" s="3"/>
      <c r="E486" s="3"/>
      <c r="F486" s="3"/>
      <c r="G486" s="3"/>
      <c r="H486" s="3"/>
      <c r="I486" s="3"/>
    </row>
    <row r="487" spans="1:9" x14ac:dyDescent="0.25">
      <c r="A487" s="3"/>
      <c r="B487" s="3"/>
      <c r="C487" s="3"/>
      <c r="D487" s="3"/>
      <c r="E487" s="3"/>
      <c r="F487" s="3"/>
      <c r="G487" s="3"/>
      <c r="H487" s="3"/>
      <c r="I487" s="3"/>
    </row>
    <row r="488" spans="1:9" x14ac:dyDescent="0.25">
      <c r="A488" s="3"/>
      <c r="B488" s="3"/>
      <c r="C488" s="3"/>
      <c r="D488" s="3"/>
      <c r="E488" s="3"/>
      <c r="F488" s="3"/>
      <c r="G488" s="3"/>
      <c r="H488" s="3"/>
      <c r="I488" s="3"/>
    </row>
    <row r="489" spans="1:9" x14ac:dyDescent="0.25">
      <c r="A489" s="3"/>
      <c r="B489" s="3"/>
      <c r="C489" s="3"/>
      <c r="D489" s="3"/>
      <c r="E489" s="3"/>
      <c r="F489" s="3"/>
      <c r="G489" s="3"/>
      <c r="H489" s="3"/>
      <c r="I489" s="3"/>
    </row>
    <row r="490" spans="1:9" x14ac:dyDescent="0.25">
      <c r="A490" s="3"/>
      <c r="B490" s="3"/>
      <c r="C490" s="3"/>
      <c r="D490" s="3"/>
      <c r="E490" s="3"/>
      <c r="F490" s="3"/>
      <c r="G490" s="3"/>
      <c r="H490" s="3"/>
      <c r="I490" s="3"/>
    </row>
    <row r="491" spans="1:9" x14ac:dyDescent="0.25">
      <c r="A491" s="3"/>
      <c r="B491" s="3"/>
      <c r="C491" s="3"/>
      <c r="D491" s="3"/>
      <c r="E491" s="3"/>
      <c r="F491" s="3"/>
      <c r="G491" s="3"/>
      <c r="H491" s="3"/>
      <c r="I491" s="3"/>
    </row>
    <row r="492" spans="1:9" x14ac:dyDescent="0.25">
      <c r="A492" s="3"/>
      <c r="B492" s="3"/>
      <c r="C492" s="3"/>
      <c r="D492" s="3"/>
      <c r="E492" s="3"/>
      <c r="F492" s="3"/>
      <c r="G492" s="3"/>
      <c r="H492" s="3"/>
      <c r="I492" s="3"/>
    </row>
    <row r="493" spans="1:9" x14ac:dyDescent="0.25">
      <c r="A493" s="3"/>
      <c r="B493" s="3"/>
      <c r="C493" s="3"/>
      <c r="D493" s="3"/>
      <c r="E493" s="3"/>
      <c r="F493" s="3"/>
      <c r="G493" s="3"/>
      <c r="H493" s="3"/>
      <c r="I493" s="3"/>
    </row>
    <row r="494" spans="1:9" x14ac:dyDescent="0.25">
      <c r="A494" s="3"/>
      <c r="B494" s="3"/>
      <c r="C494" s="3"/>
      <c r="D494" s="3"/>
      <c r="E494" s="3"/>
      <c r="F494" s="3"/>
      <c r="G494" s="3"/>
      <c r="H494" s="3"/>
      <c r="I494" s="3"/>
    </row>
    <row r="495" spans="1:9" x14ac:dyDescent="0.25">
      <c r="A495" s="3"/>
      <c r="B495" s="3"/>
      <c r="C495" s="3"/>
      <c r="D495" s="3"/>
      <c r="E495" s="3"/>
      <c r="F495" s="3"/>
      <c r="G495" s="3"/>
      <c r="H495" s="3"/>
      <c r="I495" s="3"/>
    </row>
    <row r="496" spans="1:9" x14ac:dyDescent="0.25">
      <c r="A496" s="3"/>
      <c r="B496" s="3"/>
      <c r="C496" s="3"/>
      <c r="D496" s="3"/>
      <c r="E496" s="3"/>
      <c r="F496" s="3"/>
      <c r="G496" s="3"/>
      <c r="H496" s="3"/>
      <c r="I496" s="3"/>
    </row>
    <row r="497" spans="1:9" x14ac:dyDescent="0.25">
      <c r="A497" s="3"/>
      <c r="B497" s="3"/>
      <c r="C497" s="3"/>
      <c r="D497" s="3"/>
      <c r="E497" s="3"/>
      <c r="F497" s="3"/>
      <c r="G497" s="3"/>
      <c r="H497" s="3"/>
      <c r="I497" s="3"/>
    </row>
    <row r="498" spans="1:9" x14ac:dyDescent="0.25">
      <c r="A498" s="3"/>
      <c r="B498" s="3"/>
      <c r="C498" s="3"/>
      <c r="D498" s="3"/>
      <c r="E498" s="3"/>
      <c r="F498" s="3"/>
      <c r="G498" s="3"/>
      <c r="H498" s="3"/>
      <c r="I498" s="3"/>
    </row>
    <row r="499" spans="1:9" x14ac:dyDescent="0.25">
      <c r="A499" s="3"/>
      <c r="B499" s="3"/>
      <c r="C499" s="3"/>
      <c r="D499" s="3"/>
      <c r="E499" s="3"/>
      <c r="F499" s="3"/>
      <c r="G499" s="3"/>
      <c r="H499" s="3"/>
      <c r="I499" s="3"/>
    </row>
    <row r="500" spans="1:9" x14ac:dyDescent="0.25">
      <c r="A500" s="3"/>
      <c r="B500" s="3"/>
      <c r="C500" s="3"/>
      <c r="D500" s="3"/>
      <c r="E500" s="3"/>
      <c r="F500" s="3"/>
      <c r="G500" s="3"/>
      <c r="H500" s="3"/>
      <c r="I500" s="3"/>
    </row>
    <row r="501" spans="1:9" x14ac:dyDescent="0.25">
      <c r="A501" s="3"/>
      <c r="B501" s="3"/>
      <c r="C501" s="3"/>
      <c r="D501" s="3"/>
      <c r="E501" s="3"/>
      <c r="F501" s="3"/>
      <c r="G501" s="3"/>
      <c r="H501" s="3"/>
      <c r="I501" s="3"/>
    </row>
    <row r="502" spans="1:9" x14ac:dyDescent="0.25">
      <c r="A502" s="3"/>
      <c r="B502" s="3"/>
      <c r="C502" s="3"/>
      <c r="D502" s="3"/>
      <c r="E502" s="3"/>
      <c r="F502" s="3"/>
      <c r="G502" s="3"/>
      <c r="H502" s="3"/>
      <c r="I502" s="3"/>
    </row>
    <row r="503" spans="1:9" x14ac:dyDescent="0.25">
      <c r="A503" s="3"/>
      <c r="B503" s="3"/>
      <c r="C503" s="3"/>
      <c r="D503" s="3"/>
      <c r="E503" s="3"/>
      <c r="F503" s="3"/>
      <c r="G503" s="3"/>
      <c r="H503" s="3"/>
      <c r="I503" s="3"/>
    </row>
    <row r="504" spans="1:9" x14ac:dyDescent="0.25">
      <c r="A504" s="3"/>
      <c r="B504" s="3"/>
      <c r="C504" s="3"/>
      <c r="D504" s="3"/>
      <c r="E504" s="3"/>
      <c r="F504" s="3"/>
      <c r="G504" s="3"/>
      <c r="H504" s="3"/>
      <c r="I504" s="3"/>
    </row>
    <row r="505" spans="1:9" x14ac:dyDescent="0.25">
      <c r="A505" s="3"/>
      <c r="B505" s="3"/>
      <c r="C505" s="3"/>
      <c r="D505" s="3"/>
      <c r="E505" s="3"/>
      <c r="F505" s="3"/>
      <c r="G505" s="3"/>
      <c r="H505" s="3"/>
      <c r="I505" s="3"/>
    </row>
    <row r="506" spans="1:9" x14ac:dyDescent="0.25">
      <c r="A506" s="3"/>
      <c r="B506" s="3"/>
      <c r="C506" s="3"/>
      <c r="D506" s="3"/>
      <c r="E506" s="3"/>
      <c r="F506" s="3"/>
      <c r="G506" s="3"/>
      <c r="H506" s="3"/>
      <c r="I506" s="3"/>
    </row>
    <row r="507" spans="1:9" x14ac:dyDescent="0.25">
      <c r="A507" s="3"/>
      <c r="B507" s="3"/>
      <c r="C507" s="3"/>
      <c r="D507" s="3"/>
      <c r="E507" s="3"/>
      <c r="F507" s="3"/>
      <c r="G507" s="3"/>
      <c r="H507" s="3"/>
      <c r="I507" s="3"/>
    </row>
    <row r="508" spans="1:9" x14ac:dyDescent="0.25">
      <c r="A508" s="3"/>
      <c r="B508" s="3"/>
      <c r="C508" s="3"/>
      <c r="D508" s="3"/>
      <c r="E508" s="3"/>
      <c r="F508" s="3"/>
      <c r="G508" s="3"/>
      <c r="H508" s="3"/>
      <c r="I508" s="3"/>
    </row>
    <row r="509" spans="1:9" x14ac:dyDescent="0.25">
      <c r="A509" s="3"/>
      <c r="B509" s="3"/>
      <c r="C509" s="3"/>
      <c r="D509" s="3"/>
      <c r="E509" s="3"/>
      <c r="F509" s="3"/>
      <c r="G509" s="3"/>
      <c r="H509" s="3"/>
      <c r="I509" s="3"/>
    </row>
    <row r="510" spans="1:9" x14ac:dyDescent="0.25">
      <c r="A510" s="3"/>
      <c r="B510" s="3"/>
      <c r="C510" s="3"/>
      <c r="D510" s="3"/>
      <c r="E510" s="3"/>
      <c r="F510" s="3"/>
      <c r="G510" s="3"/>
      <c r="H510" s="3"/>
      <c r="I510" s="3"/>
    </row>
    <row r="511" spans="1:9" x14ac:dyDescent="0.25">
      <c r="A511" s="3"/>
      <c r="B511" s="3"/>
      <c r="C511" s="3"/>
      <c r="D511" s="3"/>
      <c r="E511" s="3"/>
      <c r="F511" s="3"/>
      <c r="G511" s="3"/>
      <c r="H511" s="3"/>
      <c r="I511" s="3"/>
    </row>
    <row r="512" spans="1:9" x14ac:dyDescent="0.25">
      <c r="A512" s="3"/>
      <c r="B512" s="3"/>
      <c r="C512" s="3"/>
      <c r="D512" s="3"/>
      <c r="E512" s="3"/>
      <c r="F512" s="3"/>
      <c r="G512" s="3"/>
      <c r="H512" s="3"/>
      <c r="I512" s="3"/>
    </row>
    <row r="513" spans="1:9" x14ac:dyDescent="0.25">
      <c r="A513" s="3"/>
      <c r="B513" s="3"/>
      <c r="C513" s="3"/>
      <c r="D513" s="3"/>
      <c r="E513" s="3"/>
      <c r="F513" s="3"/>
      <c r="G513" s="3"/>
      <c r="H513" s="3"/>
      <c r="I513" s="3"/>
    </row>
    <row r="514" spans="1:9" x14ac:dyDescent="0.25">
      <c r="A514" s="3"/>
      <c r="B514" s="3"/>
      <c r="C514" s="3"/>
      <c r="D514" s="3"/>
      <c r="E514" s="3"/>
      <c r="F514" s="3"/>
      <c r="G514" s="3"/>
      <c r="H514" s="3"/>
      <c r="I514" s="3"/>
    </row>
    <row r="515" spans="1:9" x14ac:dyDescent="0.25">
      <c r="A515" s="3"/>
      <c r="B515" s="3"/>
      <c r="C515" s="3"/>
      <c r="D515" s="3"/>
      <c r="E515" s="3"/>
      <c r="F515" s="3"/>
      <c r="G515" s="3"/>
      <c r="H515" s="3"/>
      <c r="I515" s="3"/>
    </row>
    <row r="516" spans="1:9" x14ac:dyDescent="0.25">
      <c r="A516" s="3"/>
      <c r="B516" s="3"/>
      <c r="C516" s="3"/>
      <c r="D516" s="3"/>
      <c r="E516" s="3"/>
      <c r="F516" s="3"/>
      <c r="G516" s="3"/>
      <c r="H516" s="3"/>
      <c r="I516" s="3"/>
    </row>
    <row r="517" spans="1:9" x14ac:dyDescent="0.25">
      <c r="A517" s="3"/>
      <c r="B517" s="3"/>
      <c r="C517" s="3"/>
      <c r="D517" s="3"/>
      <c r="E517" s="3"/>
      <c r="F517" s="3"/>
      <c r="G517" s="3"/>
      <c r="H517" s="3"/>
      <c r="I517" s="3"/>
    </row>
    <row r="518" spans="1:9" x14ac:dyDescent="0.25">
      <c r="A518" s="3"/>
      <c r="B518" s="3"/>
      <c r="C518" s="3"/>
      <c r="D518" s="3"/>
      <c r="E518" s="3"/>
      <c r="F518" s="3"/>
      <c r="G518" s="3"/>
      <c r="H518" s="3"/>
      <c r="I518" s="3"/>
    </row>
    <row r="519" spans="1:9" x14ac:dyDescent="0.25">
      <c r="A519" s="3"/>
      <c r="B519" s="3"/>
      <c r="C519" s="3"/>
      <c r="D519" s="3"/>
      <c r="E519" s="3"/>
      <c r="F519" s="3"/>
      <c r="G519" s="3"/>
      <c r="H519" s="3"/>
      <c r="I519" s="3"/>
    </row>
    <row r="520" spans="1:9" x14ac:dyDescent="0.25">
      <c r="A520" s="3"/>
      <c r="B520" s="3"/>
      <c r="C520" s="3"/>
      <c r="D520" s="3"/>
      <c r="E520" s="3"/>
      <c r="F520" s="3"/>
      <c r="G520" s="3"/>
      <c r="H520" s="3"/>
      <c r="I520" s="3"/>
    </row>
    <row r="521" spans="1:9" x14ac:dyDescent="0.25">
      <c r="A521" s="3"/>
      <c r="B521" s="3"/>
      <c r="C521" s="3"/>
      <c r="D521" s="3"/>
      <c r="E521" s="3"/>
      <c r="F521" s="3"/>
      <c r="G521" s="3"/>
      <c r="H521" s="3"/>
      <c r="I521" s="3"/>
    </row>
    <row r="522" spans="1:9" x14ac:dyDescent="0.25">
      <c r="A522" s="3"/>
      <c r="B522" s="3"/>
      <c r="C522" s="3"/>
      <c r="D522" s="3"/>
      <c r="E522" s="3"/>
      <c r="F522" s="3"/>
      <c r="G522" s="3"/>
      <c r="H522" s="3"/>
      <c r="I522" s="3"/>
    </row>
    <row r="523" spans="1:9" x14ac:dyDescent="0.25">
      <c r="A523" s="3"/>
      <c r="B523" s="3"/>
      <c r="C523" s="3"/>
      <c r="D523" s="3"/>
      <c r="E523" s="3"/>
      <c r="F523" s="3"/>
      <c r="G523" s="3"/>
      <c r="H523" s="3"/>
      <c r="I523" s="3"/>
    </row>
    <row r="524" spans="1:9" x14ac:dyDescent="0.25">
      <c r="A524" s="3"/>
      <c r="B524" s="3"/>
      <c r="C524" s="3"/>
      <c r="D524" s="3"/>
      <c r="E524" s="3"/>
      <c r="F524" s="3"/>
      <c r="G524" s="3"/>
      <c r="H524" s="3"/>
      <c r="I524" s="3"/>
    </row>
    <row r="525" spans="1:9" x14ac:dyDescent="0.25">
      <c r="A525" s="3"/>
      <c r="B525" s="3"/>
      <c r="C525" s="3"/>
      <c r="D525" s="3"/>
      <c r="E525" s="3"/>
      <c r="F525" s="3"/>
      <c r="G525" s="3"/>
      <c r="H525" s="3"/>
      <c r="I525" s="3"/>
    </row>
    <row r="526" spans="1:9" x14ac:dyDescent="0.25">
      <c r="A526" s="3"/>
      <c r="B526" s="3"/>
      <c r="C526" s="3"/>
      <c r="D526" s="3"/>
      <c r="E526" s="3"/>
      <c r="F526" s="3"/>
      <c r="G526" s="3"/>
      <c r="H526" s="3"/>
      <c r="I526" s="3"/>
    </row>
    <row r="527" spans="1:9" x14ac:dyDescent="0.25">
      <c r="A527" s="3"/>
      <c r="B527" s="3"/>
      <c r="C527" s="3"/>
      <c r="D527" s="3"/>
      <c r="E527" s="3"/>
      <c r="F527" s="3"/>
      <c r="G527" s="3"/>
      <c r="H527" s="3"/>
      <c r="I527" s="3"/>
    </row>
    <row r="528" spans="1:9" x14ac:dyDescent="0.25">
      <c r="A528" s="3"/>
      <c r="B528" s="3"/>
      <c r="C528" s="3"/>
      <c r="D528" s="3"/>
      <c r="E528" s="3"/>
      <c r="F528" s="3"/>
      <c r="G528" s="3"/>
      <c r="H528" s="3"/>
      <c r="I528" s="3"/>
    </row>
    <row r="529" spans="1:9" x14ac:dyDescent="0.25">
      <c r="A529" s="3"/>
      <c r="B529" s="3"/>
      <c r="C529" s="3"/>
      <c r="D529" s="3"/>
      <c r="E529" s="3"/>
      <c r="F529" s="3"/>
      <c r="G529" s="3"/>
      <c r="H529" s="3"/>
      <c r="I529" s="3"/>
    </row>
    <row r="530" spans="1:9" x14ac:dyDescent="0.25">
      <c r="A530" s="3"/>
      <c r="B530" s="3"/>
      <c r="C530" s="3"/>
      <c r="D530" s="3"/>
      <c r="E530" s="3"/>
      <c r="F530" s="3"/>
      <c r="G530" s="3"/>
      <c r="H530" s="3"/>
      <c r="I530" s="3"/>
    </row>
    <row r="531" spans="1:9" x14ac:dyDescent="0.25">
      <c r="A531" s="3"/>
      <c r="B531" s="3"/>
      <c r="C531" s="3"/>
      <c r="D531" s="3"/>
      <c r="E531" s="3"/>
      <c r="F531" s="3"/>
      <c r="G531" s="3"/>
      <c r="H531" s="3"/>
      <c r="I531" s="3"/>
    </row>
    <row r="532" spans="1:9" x14ac:dyDescent="0.25">
      <c r="A532" s="3"/>
      <c r="B532" s="3"/>
      <c r="C532" s="3"/>
      <c r="D532" s="3"/>
      <c r="E532" s="3"/>
      <c r="F532" s="3"/>
      <c r="G532" s="3"/>
      <c r="H532" s="3"/>
      <c r="I532" s="3"/>
    </row>
    <row r="533" spans="1:9" x14ac:dyDescent="0.25">
      <c r="A533" s="3"/>
      <c r="B533" s="3"/>
      <c r="C533" s="3"/>
      <c r="D533" s="3"/>
      <c r="E533" s="3"/>
      <c r="F533" s="3"/>
      <c r="G533" s="3"/>
      <c r="H533" s="3"/>
      <c r="I533" s="3"/>
    </row>
    <row r="534" spans="1:9" x14ac:dyDescent="0.25">
      <c r="A534" s="3"/>
      <c r="B534" s="3"/>
      <c r="C534" s="3"/>
      <c r="D534" s="3"/>
      <c r="E534" s="3"/>
      <c r="F534" s="3"/>
      <c r="G534" s="3"/>
      <c r="H534" s="3"/>
      <c r="I534" s="3"/>
    </row>
  </sheetData>
  <sheetProtection password="B056" sheet="1" objects="1" scenarios="1"/>
  <mergeCells count="19">
    <mergeCell ref="A45:D45"/>
    <mergeCell ref="A26:B26"/>
    <mergeCell ref="A2:D2"/>
    <mergeCell ref="A20:F20"/>
    <mergeCell ref="A33:A34"/>
    <mergeCell ref="B33:B34"/>
    <mergeCell ref="C33:D33"/>
    <mergeCell ref="E33:E34"/>
    <mergeCell ref="F33:F34"/>
    <mergeCell ref="A32:F32"/>
    <mergeCell ref="B132:E132"/>
    <mergeCell ref="B72:E72"/>
    <mergeCell ref="B87:E87"/>
    <mergeCell ref="A150:C150"/>
    <mergeCell ref="A51:B51"/>
    <mergeCell ref="B102:E102"/>
    <mergeCell ref="A56:E56"/>
    <mergeCell ref="B117:E117"/>
    <mergeCell ref="B57:E57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zoomScaleNormal="100" workbookViewId="0">
      <selection activeCell="O16" sqref="O16"/>
    </sheetView>
  </sheetViews>
  <sheetFormatPr defaultRowHeight="15" x14ac:dyDescent="0.25"/>
  <cols>
    <col min="1" max="1" width="41.85546875" customWidth="1"/>
    <col min="2" max="2" width="11.5703125" customWidth="1"/>
    <col min="3" max="5" width="10" bestFit="1" customWidth="1"/>
    <col min="6" max="6" width="12.5703125" bestFit="1" customWidth="1"/>
    <col min="7" max="13" width="10" bestFit="1" customWidth="1"/>
    <col min="14" max="14" width="10.85546875" bestFit="1" customWidth="1"/>
    <col min="17" max="17" width="10.42578125" customWidth="1"/>
    <col min="18" max="18" width="9" customWidth="1"/>
    <col min="26" max="26" width="9.5703125" customWidth="1"/>
    <col min="27" max="29" width="10.85546875" bestFit="1" customWidth="1"/>
  </cols>
  <sheetData>
    <row r="1" spans="1:42" x14ac:dyDescent="0.25">
      <c r="A1" s="35" t="s">
        <v>376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x14ac:dyDescent="0.25">
      <c r="A3" s="197" t="s">
        <v>30</v>
      </c>
      <c r="B3" s="131" t="s">
        <v>48</v>
      </c>
      <c r="C3" s="153" t="s">
        <v>50</v>
      </c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5"/>
      <c r="O3" s="2"/>
      <c r="P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197"/>
      <c r="B4" s="131" t="s">
        <v>49</v>
      </c>
      <c r="C4" s="134">
        <v>40360</v>
      </c>
      <c r="D4" s="134">
        <v>40391</v>
      </c>
      <c r="E4" s="134">
        <v>40575</v>
      </c>
      <c r="F4" s="134">
        <v>40634</v>
      </c>
      <c r="G4" s="134">
        <v>40756</v>
      </c>
      <c r="H4" s="134">
        <v>41395</v>
      </c>
      <c r="I4" s="134">
        <v>41579</v>
      </c>
      <c r="J4" s="134">
        <v>41791</v>
      </c>
      <c r="K4" s="134">
        <v>42125</v>
      </c>
      <c r="L4" s="134">
        <v>42522</v>
      </c>
      <c r="M4" s="134">
        <v>42856</v>
      </c>
      <c r="N4" s="134">
        <v>43070</v>
      </c>
      <c r="O4" s="2"/>
      <c r="P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196" t="s">
        <v>36</v>
      </c>
      <c r="B5" s="12" t="s">
        <v>56</v>
      </c>
      <c r="C5" s="82">
        <v>46.720894999999999</v>
      </c>
      <c r="D5" s="82" t="s">
        <v>17</v>
      </c>
      <c r="E5" s="82" t="s">
        <v>17</v>
      </c>
      <c r="F5" s="82">
        <v>48.215229000000001</v>
      </c>
      <c r="G5" s="82" t="s">
        <v>17</v>
      </c>
      <c r="H5" s="82" t="s">
        <v>17</v>
      </c>
      <c r="I5" s="82" t="s">
        <v>17</v>
      </c>
      <c r="J5" s="82">
        <v>27.3</v>
      </c>
      <c r="K5" s="82" t="s">
        <v>17</v>
      </c>
      <c r="L5" s="82" t="s">
        <v>17</v>
      </c>
      <c r="M5" s="82" t="s">
        <v>17</v>
      </c>
      <c r="N5" s="82">
        <v>20.5</v>
      </c>
      <c r="O5" s="2"/>
      <c r="P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196"/>
      <c r="B6" s="12" t="s">
        <v>51</v>
      </c>
      <c r="C6" s="82">
        <v>0.32210490000000003</v>
      </c>
      <c r="D6" s="82" t="s">
        <v>17</v>
      </c>
      <c r="E6" s="82" t="s">
        <v>17</v>
      </c>
      <c r="F6" s="82">
        <v>0.39169480000000001</v>
      </c>
      <c r="G6" s="82" t="s">
        <v>17</v>
      </c>
      <c r="H6" s="82" t="s">
        <v>17</v>
      </c>
      <c r="I6" s="82" t="s">
        <v>17</v>
      </c>
      <c r="J6" s="82">
        <v>0.24</v>
      </c>
      <c r="K6" s="82" t="s">
        <v>17</v>
      </c>
      <c r="L6" s="82" t="s">
        <v>17</v>
      </c>
      <c r="M6" s="82" t="s">
        <v>17</v>
      </c>
      <c r="N6" s="82">
        <v>0.14666670000000001</v>
      </c>
      <c r="O6" s="2"/>
      <c r="P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96"/>
      <c r="B7" s="12" t="s">
        <v>57</v>
      </c>
      <c r="C7" s="82">
        <v>6902.4264999999996</v>
      </c>
      <c r="D7" s="82" t="s">
        <v>17</v>
      </c>
      <c r="E7" s="82" t="s">
        <v>17</v>
      </c>
      <c r="F7" s="82">
        <v>8129.6683000000003</v>
      </c>
      <c r="G7" s="82" t="s">
        <v>17</v>
      </c>
      <c r="H7" s="82" t="s">
        <v>17</v>
      </c>
      <c r="I7" s="82" t="s">
        <v>17</v>
      </c>
      <c r="J7" s="82">
        <v>8774.3333000000002</v>
      </c>
      <c r="K7" s="82" t="s">
        <v>17</v>
      </c>
      <c r="L7" s="82" t="s">
        <v>17</v>
      </c>
      <c r="M7" s="82" t="s">
        <v>17</v>
      </c>
      <c r="N7" s="82">
        <v>7271.6666999999998</v>
      </c>
      <c r="O7" s="2"/>
      <c r="P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96"/>
      <c r="B8" s="12" t="s">
        <v>52</v>
      </c>
      <c r="C8" s="82">
        <v>647.36</v>
      </c>
      <c r="D8" s="82" t="s">
        <v>17</v>
      </c>
      <c r="E8" s="82" t="s">
        <v>17</v>
      </c>
      <c r="F8" s="82">
        <v>567.95000000000005</v>
      </c>
      <c r="G8" s="82" t="s">
        <v>17</v>
      </c>
      <c r="H8" s="82" t="s">
        <v>17</v>
      </c>
      <c r="I8" s="82" t="s">
        <v>17</v>
      </c>
      <c r="J8" s="82">
        <v>469</v>
      </c>
      <c r="K8" s="82" t="s">
        <v>17</v>
      </c>
      <c r="L8" s="82" t="s">
        <v>17</v>
      </c>
      <c r="M8" s="82" t="s">
        <v>17</v>
      </c>
      <c r="N8" s="82">
        <v>808.33333000000005</v>
      </c>
      <c r="O8" s="2"/>
      <c r="P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96" t="s">
        <v>38</v>
      </c>
      <c r="B9" s="12" t="s">
        <v>56</v>
      </c>
      <c r="C9" s="82" t="s">
        <v>17</v>
      </c>
      <c r="D9" s="82">
        <v>47.667757000000002</v>
      </c>
      <c r="E9" s="82" t="s">
        <v>17</v>
      </c>
      <c r="F9" s="82" t="s">
        <v>17</v>
      </c>
      <c r="G9" s="82">
        <v>45.245556000000001</v>
      </c>
      <c r="H9" s="82">
        <v>49.833333000000003</v>
      </c>
      <c r="I9" s="82" t="s">
        <v>17</v>
      </c>
      <c r="J9" s="82" t="s">
        <v>17</v>
      </c>
      <c r="K9" s="83">
        <v>49.566667000000002</v>
      </c>
      <c r="L9" s="82" t="s">
        <v>17</v>
      </c>
      <c r="M9" s="82" t="s">
        <v>17</v>
      </c>
      <c r="N9" s="82" t="s">
        <v>17</v>
      </c>
      <c r="O9" s="2"/>
      <c r="P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196"/>
      <c r="B10" s="12" t="s">
        <v>51</v>
      </c>
      <c r="C10" s="82" t="s">
        <v>17</v>
      </c>
      <c r="D10" s="82">
        <v>0.31529439999999997</v>
      </c>
      <c r="E10" s="82" t="s">
        <v>17</v>
      </c>
      <c r="F10" s="82" t="s">
        <v>17</v>
      </c>
      <c r="G10" s="82">
        <v>0.2478119</v>
      </c>
      <c r="H10" s="82">
        <v>0.31666670000000002</v>
      </c>
      <c r="I10" s="82" t="s">
        <v>17</v>
      </c>
      <c r="J10" s="82" t="s">
        <v>17</v>
      </c>
      <c r="K10" s="83">
        <v>0.39666669999999998</v>
      </c>
      <c r="L10" s="82" t="s">
        <v>17</v>
      </c>
      <c r="M10" s="82" t="s">
        <v>17</v>
      </c>
      <c r="N10" s="82" t="s">
        <v>17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196"/>
      <c r="B11" s="12" t="s">
        <v>57</v>
      </c>
      <c r="C11" s="82" t="s">
        <v>17</v>
      </c>
      <c r="D11" s="82">
        <v>6622.9916999999996</v>
      </c>
      <c r="E11" s="82" t="s">
        <v>17</v>
      </c>
      <c r="F11" s="82" t="s">
        <v>17</v>
      </c>
      <c r="G11" s="82">
        <v>5476.4480999999996</v>
      </c>
      <c r="H11" s="82">
        <v>6384.6666999999998</v>
      </c>
      <c r="I11" s="82" t="s">
        <v>17</v>
      </c>
      <c r="J11" s="82" t="s">
        <v>17</v>
      </c>
      <c r="K11" s="83">
        <v>7943.3333000000002</v>
      </c>
      <c r="L11" s="82" t="s">
        <v>17</v>
      </c>
      <c r="M11" s="82" t="s">
        <v>17</v>
      </c>
      <c r="N11" s="82" t="s">
        <v>17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x14ac:dyDescent="0.25">
      <c r="A12" s="196"/>
      <c r="B12" s="12" t="s">
        <v>52</v>
      </c>
      <c r="C12" s="82" t="s">
        <v>17</v>
      </c>
      <c r="D12" s="82">
        <v>654.09</v>
      </c>
      <c r="E12" s="82" t="s">
        <v>17</v>
      </c>
      <c r="F12" s="82" t="s">
        <v>17</v>
      </c>
      <c r="G12" s="82">
        <v>571.53</v>
      </c>
      <c r="H12" s="82">
        <v>604.66999999999996</v>
      </c>
      <c r="I12" s="82" t="s">
        <v>17</v>
      </c>
      <c r="J12" s="82" t="s">
        <v>17</v>
      </c>
      <c r="K12" s="83">
        <v>602.66999999999996</v>
      </c>
      <c r="L12" s="82" t="s">
        <v>17</v>
      </c>
      <c r="M12" s="82" t="s">
        <v>17</v>
      </c>
      <c r="N12" s="82" t="s">
        <v>17</v>
      </c>
      <c r="O12" s="2"/>
      <c r="P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25">
      <c r="A13" s="196" t="s">
        <v>39</v>
      </c>
      <c r="B13" s="12" t="s">
        <v>56</v>
      </c>
      <c r="C13" s="82" t="s">
        <v>17</v>
      </c>
      <c r="D13" s="82" t="s">
        <v>17</v>
      </c>
      <c r="E13" s="82">
        <v>43.285974000000003</v>
      </c>
      <c r="F13" s="82" t="s">
        <v>17</v>
      </c>
      <c r="G13" s="82" t="s">
        <v>17</v>
      </c>
      <c r="H13" s="82" t="s">
        <v>17</v>
      </c>
      <c r="I13" s="82">
        <v>47.566667000000002</v>
      </c>
      <c r="J13" s="82" t="s">
        <v>17</v>
      </c>
      <c r="K13" s="82" t="s">
        <v>17</v>
      </c>
      <c r="L13" s="82">
        <v>27.066666999999999</v>
      </c>
      <c r="M13" s="82" t="s">
        <v>17</v>
      </c>
      <c r="N13" s="82" t="s">
        <v>17</v>
      </c>
      <c r="O13" s="50"/>
      <c r="P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x14ac:dyDescent="0.25">
      <c r="A14" s="196"/>
      <c r="B14" s="12" t="s">
        <v>51</v>
      </c>
      <c r="C14" s="82" t="s">
        <v>17</v>
      </c>
      <c r="D14" s="82" t="s">
        <v>17</v>
      </c>
      <c r="E14" s="82">
        <v>0.2908577</v>
      </c>
      <c r="F14" s="82" t="s">
        <v>17</v>
      </c>
      <c r="G14" s="82" t="s">
        <v>17</v>
      </c>
      <c r="H14" s="82" t="s">
        <v>17</v>
      </c>
      <c r="I14" s="82">
        <v>0.37</v>
      </c>
      <c r="J14" s="82" t="s">
        <v>17</v>
      </c>
      <c r="K14" s="82" t="s">
        <v>17</v>
      </c>
      <c r="L14" s="82">
        <v>0.1966667</v>
      </c>
      <c r="M14" s="82" t="s">
        <v>17</v>
      </c>
      <c r="N14" s="82" t="s">
        <v>17</v>
      </c>
      <c r="O14" s="51"/>
      <c r="P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25">
      <c r="A15" s="196"/>
      <c r="B15" s="12" t="s">
        <v>57</v>
      </c>
      <c r="C15" s="82" t="s">
        <v>17</v>
      </c>
      <c r="D15" s="82" t="s">
        <v>17</v>
      </c>
      <c r="E15" s="82">
        <v>6719.5009</v>
      </c>
      <c r="F15" s="82" t="s">
        <v>17</v>
      </c>
      <c r="G15" s="82" t="s">
        <v>17</v>
      </c>
      <c r="H15" s="82" t="s">
        <v>17</v>
      </c>
      <c r="I15" s="82">
        <v>7783</v>
      </c>
      <c r="J15" s="82" t="s">
        <v>17</v>
      </c>
      <c r="K15" s="82" t="s">
        <v>17</v>
      </c>
      <c r="L15" s="82">
        <v>7310.6666999999998</v>
      </c>
      <c r="M15" s="82" t="s">
        <v>17</v>
      </c>
      <c r="N15" s="82" t="s">
        <v>17</v>
      </c>
      <c r="O15" s="2"/>
      <c r="P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25">
      <c r="A16" s="196"/>
      <c r="B16" s="12" t="s">
        <v>52</v>
      </c>
      <c r="C16" s="82" t="s">
        <v>17</v>
      </c>
      <c r="D16" s="82" t="s">
        <v>17</v>
      </c>
      <c r="E16" s="82">
        <v>647.36</v>
      </c>
      <c r="F16" s="82" t="s">
        <v>17</v>
      </c>
      <c r="G16" s="82" t="s">
        <v>17</v>
      </c>
      <c r="H16" s="82" t="s">
        <v>17</v>
      </c>
      <c r="I16" s="82">
        <v>493.33</v>
      </c>
      <c r="J16" s="82" t="s">
        <v>17</v>
      </c>
      <c r="K16" s="82" t="s">
        <v>17</v>
      </c>
      <c r="L16" s="82">
        <v>501.33</v>
      </c>
      <c r="M16" s="82" t="s">
        <v>17</v>
      </c>
      <c r="N16" s="82" t="s">
        <v>17</v>
      </c>
      <c r="O16" s="2"/>
      <c r="P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x14ac:dyDescent="0.25">
      <c r="A17" s="196" t="s">
        <v>40</v>
      </c>
      <c r="B17" s="47" t="s">
        <v>56</v>
      </c>
      <c r="C17" s="82" t="s">
        <v>17</v>
      </c>
      <c r="D17" s="82" t="s">
        <v>17</v>
      </c>
      <c r="E17" s="82" t="s">
        <v>17</v>
      </c>
      <c r="F17" s="82" t="s">
        <v>17</v>
      </c>
      <c r="G17" s="82" t="s">
        <v>17</v>
      </c>
      <c r="H17" s="82" t="s">
        <v>17</v>
      </c>
      <c r="I17" s="82" t="s">
        <v>17</v>
      </c>
      <c r="J17" s="82" t="s">
        <v>17</v>
      </c>
      <c r="K17" s="82" t="s">
        <v>17</v>
      </c>
      <c r="L17" s="82" t="s">
        <v>17</v>
      </c>
      <c r="M17" s="82">
        <v>29.666667</v>
      </c>
      <c r="N17" s="82" t="s">
        <v>17</v>
      </c>
      <c r="O17" s="2"/>
      <c r="P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25">
      <c r="A18" s="196"/>
      <c r="B18" s="47" t="s">
        <v>51</v>
      </c>
      <c r="C18" s="82" t="s">
        <v>17</v>
      </c>
      <c r="D18" s="82" t="s">
        <v>17</v>
      </c>
      <c r="E18" s="82" t="s">
        <v>17</v>
      </c>
      <c r="F18" s="82" t="s">
        <v>17</v>
      </c>
      <c r="G18" s="82" t="s">
        <v>17</v>
      </c>
      <c r="H18" s="82" t="s">
        <v>17</v>
      </c>
      <c r="I18" s="82" t="s">
        <v>17</v>
      </c>
      <c r="J18" s="82" t="s">
        <v>17</v>
      </c>
      <c r="K18" s="82" t="s">
        <v>17</v>
      </c>
      <c r="L18" s="82" t="s">
        <v>17</v>
      </c>
      <c r="M18" s="82">
        <v>0.19</v>
      </c>
      <c r="N18" s="82" t="s">
        <v>17</v>
      </c>
      <c r="O18" s="2"/>
      <c r="P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25">
      <c r="A19" s="196"/>
      <c r="B19" s="47" t="s">
        <v>57</v>
      </c>
      <c r="C19" s="82" t="s">
        <v>17</v>
      </c>
      <c r="D19" s="82" t="s">
        <v>17</v>
      </c>
      <c r="E19" s="82" t="s">
        <v>17</v>
      </c>
      <c r="F19" s="82" t="s">
        <v>17</v>
      </c>
      <c r="G19" s="82" t="s">
        <v>17</v>
      </c>
      <c r="H19" s="82" t="s">
        <v>17</v>
      </c>
      <c r="I19" s="82" t="s">
        <v>17</v>
      </c>
      <c r="J19" s="82" t="s">
        <v>17</v>
      </c>
      <c r="K19" s="82" t="s">
        <v>17</v>
      </c>
      <c r="L19" s="82" t="s">
        <v>17</v>
      </c>
      <c r="M19" s="82">
        <v>6547.6666999999998</v>
      </c>
      <c r="N19" s="82" t="s">
        <v>17</v>
      </c>
      <c r="O19" s="2"/>
      <c r="P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25">
      <c r="A20" s="196"/>
      <c r="B20" s="47" t="s">
        <v>52</v>
      </c>
      <c r="C20" s="82" t="s">
        <v>17</v>
      </c>
      <c r="D20" s="82" t="s">
        <v>17</v>
      </c>
      <c r="E20" s="82" t="s">
        <v>17</v>
      </c>
      <c r="F20" s="82" t="s">
        <v>17</v>
      </c>
      <c r="G20" s="82" t="s">
        <v>17</v>
      </c>
      <c r="H20" s="82" t="s">
        <v>17</v>
      </c>
      <c r="I20" s="82" t="s">
        <v>17</v>
      </c>
      <c r="J20" s="82" t="s">
        <v>17</v>
      </c>
      <c r="K20" s="82" t="s">
        <v>17</v>
      </c>
      <c r="L20" s="82" t="s">
        <v>17</v>
      </c>
      <c r="M20" s="82">
        <v>446</v>
      </c>
      <c r="N20" s="82" t="s">
        <v>17</v>
      </c>
      <c r="O20" s="2"/>
      <c r="P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25">
      <c r="A21" s="196" t="s">
        <v>53</v>
      </c>
      <c r="B21" s="12" t="s">
        <v>56</v>
      </c>
      <c r="C21" s="82">
        <v>32.685887999999998</v>
      </c>
      <c r="D21" s="82">
        <v>34.282800999999999</v>
      </c>
      <c r="E21" s="82">
        <v>33.051918999999998</v>
      </c>
      <c r="F21" s="82">
        <v>31.476293999999999</v>
      </c>
      <c r="G21" s="82">
        <v>38.245767000000001</v>
      </c>
      <c r="H21" s="82">
        <v>5.3666666999999997</v>
      </c>
      <c r="I21" s="82">
        <v>14.5</v>
      </c>
      <c r="J21" s="82">
        <v>12.066667000000001</v>
      </c>
      <c r="K21" s="82">
        <v>42.266666999999998</v>
      </c>
      <c r="L21" s="82">
        <v>17.5</v>
      </c>
      <c r="M21" s="82">
        <v>18.5</v>
      </c>
      <c r="N21" s="82">
        <v>9.1999999999999993</v>
      </c>
      <c r="O21" s="2"/>
      <c r="P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25">
      <c r="A22" s="196"/>
      <c r="B22" s="12" t="s">
        <v>51</v>
      </c>
      <c r="C22" s="82">
        <v>0.87157130000000005</v>
      </c>
      <c r="D22" s="82">
        <v>0.88722869999999998</v>
      </c>
      <c r="E22" s="82">
        <v>0.86386410000000002</v>
      </c>
      <c r="F22" s="82">
        <v>0.74535410000000002</v>
      </c>
      <c r="G22" s="82">
        <v>1.1024384</v>
      </c>
      <c r="H22" s="82">
        <v>0.23333329999999999</v>
      </c>
      <c r="I22" s="82">
        <v>0.62666670000000002</v>
      </c>
      <c r="J22" s="82">
        <v>0.56333330000000004</v>
      </c>
      <c r="K22" s="82">
        <v>2.0366667000000001</v>
      </c>
      <c r="L22" s="82">
        <v>0.6433333</v>
      </c>
      <c r="M22" s="82">
        <v>0.57666669999999998</v>
      </c>
      <c r="N22" s="82">
        <v>0.47333330000000001</v>
      </c>
      <c r="O22" s="2"/>
      <c r="P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25">
      <c r="A23" s="196"/>
      <c r="B23" s="12" t="s">
        <v>57</v>
      </c>
      <c r="C23" s="82">
        <v>26638.559000000001</v>
      </c>
      <c r="D23" s="82">
        <v>25892.703000000001</v>
      </c>
      <c r="E23" s="82">
        <v>26134.214</v>
      </c>
      <c r="F23" s="82">
        <v>23689871</v>
      </c>
      <c r="G23" s="82">
        <v>28835.048999999999</v>
      </c>
      <c r="H23" s="82">
        <v>43403.667000000001</v>
      </c>
      <c r="I23" s="82">
        <v>43245</v>
      </c>
      <c r="J23" s="82">
        <v>46660.332999999999</v>
      </c>
      <c r="K23" s="82">
        <v>48212.332999999999</v>
      </c>
      <c r="L23" s="82">
        <v>36526</v>
      </c>
      <c r="M23" s="82">
        <v>31154</v>
      </c>
      <c r="N23" s="82">
        <v>51546.667000000001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25">
      <c r="A24" s="196"/>
      <c r="B24" s="12" t="s">
        <v>52</v>
      </c>
      <c r="C24" s="82">
        <v>29.46</v>
      </c>
      <c r="D24" s="82">
        <v>30.24</v>
      </c>
      <c r="E24" s="82">
        <v>29.46</v>
      </c>
      <c r="F24" s="82">
        <v>31.11</v>
      </c>
      <c r="G24" s="82">
        <v>31.34</v>
      </c>
      <c r="H24" s="82">
        <v>35.33</v>
      </c>
      <c r="I24" s="82">
        <v>33.67</v>
      </c>
      <c r="J24" s="82">
        <v>34</v>
      </c>
      <c r="K24" s="82">
        <v>35</v>
      </c>
      <c r="L24" s="82">
        <v>33</v>
      </c>
      <c r="M24" s="82">
        <v>29.33</v>
      </c>
      <c r="N24" s="82">
        <v>31.33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25">
      <c r="A25" s="195" t="s">
        <v>55</v>
      </c>
      <c r="B25" s="12" t="s">
        <v>56</v>
      </c>
      <c r="C25" s="82">
        <v>37.170211000000002</v>
      </c>
      <c r="D25" s="82">
        <v>35.889138000000003</v>
      </c>
      <c r="E25" s="82">
        <v>36.153497999999999</v>
      </c>
      <c r="F25" s="82">
        <v>35.784593000000001</v>
      </c>
      <c r="G25" s="82">
        <v>32.168134999999999</v>
      </c>
      <c r="H25" s="82">
        <v>44.933332999999998</v>
      </c>
      <c r="I25" s="82">
        <v>12.833333</v>
      </c>
      <c r="J25" s="82">
        <v>10.233333</v>
      </c>
      <c r="K25" s="82">
        <v>40.266666999999998</v>
      </c>
      <c r="L25" s="82">
        <v>36.566667000000002</v>
      </c>
      <c r="M25" s="82">
        <v>10.033333000000001</v>
      </c>
      <c r="N25" s="82">
        <v>9.1333333000000003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25">
      <c r="A26" s="195" t="s">
        <v>43</v>
      </c>
      <c r="B26" s="12" t="s">
        <v>51</v>
      </c>
      <c r="C26" s="82">
        <v>1.3571778000000001</v>
      </c>
      <c r="D26" s="82">
        <v>1.2808995999999999</v>
      </c>
      <c r="E26" s="82">
        <v>1.2696996</v>
      </c>
      <c r="F26" s="82">
        <v>0.98345190000000005</v>
      </c>
      <c r="G26" s="82">
        <v>0.79154789999999997</v>
      </c>
      <c r="H26" s="82">
        <v>1.08</v>
      </c>
      <c r="I26" s="82">
        <v>0.3</v>
      </c>
      <c r="J26" s="82">
        <v>0.25666670000000003</v>
      </c>
      <c r="K26" s="82">
        <v>0.83333330000000005</v>
      </c>
      <c r="L26" s="82">
        <v>0.89</v>
      </c>
      <c r="M26" s="82">
        <v>0.24666669999999999</v>
      </c>
      <c r="N26" s="82">
        <v>0.19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25">
      <c r="A27" s="195"/>
      <c r="B27" s="12" t="s">
        <v>57</v>
      </c>
      <c r="C27" s="82">
        <v>36493.591</v>
      </c>
      <c r="D27" s="82">
        <v>35710.453999999998</v>
      </c>
      <c r="E27" s="82">
        <v>35114.373</v>
      </c>
      <c r="F27" s="82">
        <v>27467.552</v>
      </c>
      <c r="G27" s="82">
        <v>24614.703000000001</v>
      </c>
      <c r="H27" s="82">
        <v>24064.332999999999</v>
      </c>
      <c r="I27" s="82">
        <v>23264.332999999999</v>
      </c>
      <c r="J27" s="82">
        <v>25005</v>
      </c>
      <c r="K27" s="82">
        <v>20716</v>
      </c>
      <c r="L27" s="82">
        <v>24236</v>
      </c>
      <c r="M27" s="82">
        <v>24661.332999999999</v>
      </c>
      <c r="N27" s="82">
        <v>20654.667000000001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25">
      <c r="A28" s="195"/>
      <c r="B28" s="12" t="s">
        <v>52</v>
      </c>
      <c r="C28" s="82">
        <v>30.31</v>
      </c>
      <c r="D28" s="82">
        <v>30.31</v>
      </c>
      <c r="E28" s="82">
        <v>30.31</v>
      </c>
      <c r="F28" s="82">
        <v>42.03</v>
      </c>
      <c r="G28" s="82">
        <v>34.89</v>
      </c>
      <c r="H28" s="82">
        <v>39</v>
      </c>
      <c r="I28" s="82">
        <v>29.33</v>
      </c>
      <c r="J28" s="82">
        <v>33</v>
      </c>
      <c r="K28" s="82">
        <v>39.33</v>
      </c>
      <c r="L28" s="82">
        <v>31.33</v>
      </c>
      <c r="M28" s="82">
        <v>27.67</v>
      </c>
      <c r="N28" s="82">
        <v>36.33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25">
      <c r="A29" s="196" t="s">
        <v>54</v>
      </c>
      <c r="B29" s="12" t="s">
        <v>56</v>
      </c>
      <c r="C29" s="82" t="s">
        <v>17</v>
      </c>
      <c r="D29" s="82" t="s">
        <v>17</v>
      </c>
      <c r="E29" s="82" t="s">
        <v>17</v>
      </c>
      <c r="F29" s="82">
        <v>31.057872</v>
      </c>
      <c r="G29" s="82">
        <v>29.247291000000001</v>
      </c>
      <c r="H29" s="82">
        <v>49.6</v>
      </c>
      <c r="I29" s="82">
        <v>49.8</v>
      </c>
      <c r="J29" s="82">
        <v>48.5</v>
      </c>
      <c r="K29" s="82">
        <v>11.766667</v>
      </c>
      <c r="L29" s="82">
        <v>23.666667</v>
      </c>
      <c r="M29" s="82">
        <v>17.5</v>
      </c>
      <c r="N29" s="82">
        <v>6.3333332999999996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25">
      <c r="A30" s="196"/>
      <c r="B30" s="12" t="s">
        <v>51</v>
      </c>
      <c r="C30" s="82" t="s">
        <v>17</v>
      </c>
      <c r="D30" s="82" t="s">
        <v>17</v>
      </c>
      <c r="E30" s="82" t="s">
        <v>17</v>
      </c>
      <c r="F30" s="82">
        <v>5.8094699999999999E-2</v>
      </c>
      <c r="G30" s="82">
        <v>7.1895899999999999E-2</v>
      </c>
      <c r="H30" s="82">
        <v>0.1433333</v>
      </c>
      <c r="I30" s="82">
        <v>0.17</v>
      </c>
      <c r="J30" s="82">
        <v>0.26666669999999998</v>
      </c>
      <c r="K30" s="82">
        <v>5.33333E-2</v>
      </c>
      <c r="L30" s="82">
        <v>0.12</v>
      </c>
      <c r="M30" s="82">
        <v>0.1</v>
      </c>
      <c r="N30" s="82">
        <v>0.03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25">
      <c r="A31" s="196"/>
      <c r="B31" s="12" t="s">
        <v>57</v>
      </c>
      <c r="C31" s="82" t="s">
        <v>17</v>
      </c>
      <c r="D31" s="82" t="s">
        <v>17</v>
      </c>
      <c r="E31" s="82" t="s">
        <v>17</v>
      </c>
      <c r="F31" s="82">
        <v>1871.6469</v>
      </c>
      <c r="G31" s="82">
        <v>2458.2386000000001</v>
      </c>
      <c r="H31" s="82">
        <v>2905</v>
      </c>
      <c r="I31" s="82">
        <v>3458.3332999999998</v>
      </c>
      <c r="J31" s="82">
        <v>5514.3333000000002</v>
      </c>
      <c r="K31" s="82">
        <v>4605</v>
      </c>
      <c r="L31" s="82">
        <v>4968</v>
      </c>
      <c r="M31" s="82">
        <v>5937.3333000000002</v>
      </c>
      <c r="N31" s="82">
        <v>4590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25">
      <c r="A32" s="196"/>
      <c r="B32" s="12" t="s">
        <v>52</v>
      </c>
      <c r="C32" s="82" t="s">
        <v>17</v>
      </c>
      <c r="D32" s="82" t="s">
        <v>17</v>
      </c>
      <c r="E32" s="82" t="s">
        <v>17</v>
      </c>
      <c r="F32" s="82">
        <v>34.880000000000003</v>
      </c>
      <c r="G32" s="82">
        <v>30.21</v>
      </c>
      <c r="H32" s="82">
        <v>38</v>
      </c>
      <c r="I32" s="82">
        <v>27</v>
      </c>
      <c r="J32" s="82">
        <v>34.67</v>
      </c>
      <c r="K32" s="82">
        <v>29.33</v>
      </c>
      <c r="L32" s="82">
        <v>47.67</v>
      </c>
      <c r="M32" s="82">
        <v>32</v>
      </c>
      <c r="N32" s="82">
        <v>31.67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x14ac:dyDescent="0.25">
      <c r="A33" s="196" t="s">
        <v>178</v>
      </c>
      <c r="B33" s="12" t="s">
        <v>56</v>
      </c>
      <c r="C33" s="82" t="s">
        <v>17</v>
      </c>
      <c r="D33" s="82" t="s">
        <v>17</v>
      </c>
      <c r="E33" s="82" t="s">
        <v>17</v>
      </c>
      <c r="F33" s="82" t="s">
        <v>17</v>
      </c>
      <c r="G33" s="82" t="s">
        <v>17</v>
      </c>
      <c r="H33" s="82" t="s">
        <v>17</v>
      </c>
      <c r="I33" s="82" t="s">
        <v>17</v>
      </c>
      <c r="J33" s="82" t="s">
        <v>17</v>
      </c>
      <c r="K33" s="82" t="s">
        <v>17</v>
      </c>
      <c r="L33" s="82" t="s">
        <v>17</v>
      </c>
      <c r="M33" s="82" t="s">
        <v>17</v>
      </c>
      <c r="N33" s="82">
        <v>7.5666666999999999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x14ac:dyDescent="0.25">
      <c r="A34" s="196"/>
      <c r="B34" s="12" t="s">
        <v>51</v>
      </c>
      <c r="C34" s="82" t="s">
        <v>17</v>
      </c>
      <c r="D34" s="82" t="s">
        <v>17</v>
      </c>
      <c r="E34" s="82" t="s">
        <v>17</v>
      </c>
      <c r="F34" s="82" t="s">
        <v>17</v>
      </c>
      <c r="G34" s="82" t="s">
        <v>17</v>
      </c>
      <c r="H34" s="82" t="s">
        <v>17</v>
      </c>
      <c r="I34" s="82" t="s">
        <v>17</v>
      </c>
      <c r="J34" s="82" t="s">
        <v>17</v>
      </c>
      <c r="K34" s="82" t="s">
        <v>17</v>
      </c>
      <c r="L34" s="82" t="s">
        <v>17</v>
      </c>
      <c r="M34" s="82" t="s">
        <v>17</v>
      </c>
      <c r="N34" s="82">
        <v>0.17666670000000001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x14ac:dyDescent="0.25">
      <c r="A35" s="196"/>
      <c r="B35" s="12" t="s">
        <v>57</v>
      </c>
      <c r="C35" s="82" t="s">
        <v>17</v>
      </c>
      <c r="D35" s="82" t="s">
        <v>17</v>
      </c>
      <c r="E35" s="82" t="s">
        <v>17</v>
      </c>
      <c r="F35" s="82" t="s">
        <v>17</v>
      </c>
      <c r="G35" s="82" t="s">
        <v>17</v>
      </c>
      <c r="H35" s="82" t="s">
        <v>17</v>
      </c>
      <c r="I35" s="82" t="s">
        <v>17</v>
      </c>
      <c r="J35" s="82" t="s">
        <v>17</v>
      </c>
      <c r="K35" s="82" t="s">
        <v>17</v>
      </c>
      <c r="L35" s="82" t="s">
        <v>17</v>
      </c>
      <c r="M35" s="82" t="s">
        <v>17</v>
      </c>
      <c r="N35" s="82">
        <v>23289.332999999999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x14ac:dyDescent="0.25">
      <c r="A36" s="196"/>
      <c r="B36" s="12" t="s">
        <v>52</v>
      </c>
      <c r="C36" s="82" t="s">
        <v>17</v>
      </c>
      <c r="D36" s="82" t="s">
        <v>17</v>
      </c>
      <c r="E36" s="82" t="s">
        <v>17</v>
      </c>
      <c r="F36" s="82" t="s">
        <v>17</v>
      </c>
      <c r="G36" s="82" t="s">
        <v>17</v>
      </c>
      <c r="H36" s="82" t="s">
        <v>17</v>
      </c>
      <c r="I36" s="82" t="s">
        <v>17</v>
      </c>
      <c r="J36" s="82" t="s">
        <v>17</v>
      </c>
      <c r="K36" s="82" t="s">
        <v>17</v>
      </c>
      <c r="L36" s="82" t="s">
        <v>17</v>
      </c>
      <c r="M36" s="82" t="s">
        <v>17</v>
      </c>
      <c r="N36" s="82">
        <v>39.33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x14ac:dyDescent="0.25">
      <c r="A38" s="4" t="s">
        <v>58</v>
      </c>
      <c r="B38" s="2"/>
      <c r="C38" s="2"/>
      <c r="D38" s="2"/>
      <c r="E38" s="45"/>
      <c r="F38" s="4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x14ac:dyDescent="0.25">
      <c r="A39" s="4" t="s">
        <v>61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x14ac:dyDescent="0.25">
      <c r="A40" s="4" t="s">
        <v>59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x14ac:dyDescent="0.25">
      <c r="A41" s="4" t="s">
        <v>62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x14ac:dyDescent="0.25">
      <c r="A42" s="4" t="s">
        <v>60</v>
      </c>
    </row>
    <row r="43" spans="1:42" x14ac:dyDescent="0.25">
      <c r="A43" s="4" t="s">
        <v>63</v>
      </c>
    </row>
    <row r="45" spans="1:42" x14ac:dyDescent="0.25">
      <c r="A45" s="4" t="s">
        <v>200</v>
      </c>
    </row>
  </sheetData>
  <sheetProtection password="B056" sheet="1" objects="1" scenarios="1"/>
  <mergeCells count="10">
    <mergeCell ref="A25:A28"/>
    <mergeCell ref="A33:A36"/>
    <mergeCell ref="A17:A20"/>
    <mergeCell ref="A29:A32"/>
    <mergeCell ref="C3:N3"/>
    <mergeCell ref="A3:A4"/>
    <mergeCell ref="A5:A8"/>
    <mergeCell ref="A9:A12"/>
    <mergeCell ref="A13:A16"/>
    <mergeCell ref="A21:A24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0"/>
  <sheetViews>
    <sheetView workbookViewId="0">
      <selection activeCell="I18" sqref="I18"/>
    </sheetView>
  </sheetViews>
  <sheetFormatPr defaultRowHeight="15" x14ac:dyDescent="0.25"/>
  <cols>
    <col min="1" max="1" width="42.85546875" customWidth="1"/>
    <col min="2" max="2" width="27.42578125" customWidth="1"/>
    <col min="3" max="3" width="32.85546875" customWidth="1"/>
    <col min="4" max="4" width="12.5703125" customWidth="1"/>
    <col min="5" max="6" width="12.7109375" customWidth="1"/>
    <col min="7" max="7" width="13.5703125" customWidth="1"/>
    <col min="8" max="9" width="10.7109375" customWidth="1"/>
    <col min="10" max="10" width="13.5703125" customWidth="1"/>
    <col min="11" max="11" width="10.7109375" customWidth="1"/>
    <col min="12" max="12" width="14.42578125" customWidth="1"/>
    <col min="13" max="16" width="10.7109375" customWidth="1"/>
    <col min="17" max="18" width="9.7109375" customWidth="1"/>
    <col min="19" max="21" width="10.7109375" customWidth="1"/>
    <col min="22" max="22" width="9.28515625" customWidth="1"/>
  </cols>
  <sheetData>
    <row r="1" spans="1:25" x14ac:dyDescent="0.25">
      <c r="A1" s="54" t="s">
        <v>195</v>
      </c>
      <c r="B1" s="55">
        <v>24</v>
      </c>
    </row>
    <row r="2" spans="1:25" x14ac:dyDescent="0.25">
      <c r="A2" s="54" t="s">
        <v>244</v>
      </c>
      <c r="B2" s="41">
        <f>Dados!B17/(365*24)</f>
        <v>8.6740194063926932</v>
      </c>
    </row>
    <row r="3" spans="1:25" x14ac:dyDescent="0.25">
      <c r="A3" s="43"/>
      <c r="B3" s="41"/>
    </row>
    <row r="4" spans="1:25" x14ac:dyDescent="0.25">
      <c r="A4" s="35" t="s">
        <v>376</v>
      </c>
    </row>
    <row r="5" spans="1:25" ht="22.5" customHeight="1" x14ac:dyDescent="0.25">
      <c r="A5" s="218" t="s">
        <v>104</v>
      </c>
      <c r="B5" s="219" t="s">
        <v>187</v>
      </c>
      <c r="C5" s="219" t="s">
        <v>189</v>
      </c>
      <c r="D5" s="221" t="s">
        <v>248</v>
      </c>
      <c r="E5" s="198" t="s">
        <v>416</v>
      </c>
      <c r="F5" s="198" t="s">
        <v>417</v>
      </c>
      <c r="G5" s="198" t="s">
        <v>418</v>
      </c>
      <c r="H5" s="218" t="s">
        <v>422</v>
      </c>
      <c r="I5" s="198" t="s">
        <v>419</v>
      </c>
      <c r="J5" s="198" t="s">
        <v>420</v>
      </c>
      <c r="K5" s="198" t="s">
        <v>421</v>
      </c>
      <c r="L5" s="52" t="s">
        <v>191</v>
      </c>
      <c r="M5" s="201" t="s">
        <v>243</v>
      </c>
      <c r="N5" s="202"/>
      <c r="O5" s="202"/>
      <c r="P5" s="203"/>
      <c r="Q5" s="208" t="s">
        <v>233</v>
      </c>
      <c r="R5" s="209"/>
      <c r="S5" s="199" t="s">
        <v>109</v>
      </c>
      <c r="T5" s="200"/>
      <c r="U5" s="200"/>
      <c r="V5" s="200"/>
      <c r="W5" s="200"/>
      <c r="X5" s="200"/>
      <c r="Y5" s="200"/>
    </row>
    <row r="6" spans="1:25" x14ac:dyDescent="0.25">
      <c r="A6" s="219"/>
      <c r="B6" s="220"/>
      <c r="C6" s="220"/>
      <c r="D6" s="222"/>
      <c r="E6" s="198"/>
      <c r="F6" s="198"/>
      <c r="G6" s="198"/>
      <c r="H6" s="219"/>
      <c r="I6" s="198"/>
      <c r="J6" s="198"/>
      <c r="K6" s="198"/>
      <c r="L6" s="53" t="s">
        <v>110</v>
      </c>
      <c r="M6" s="18" t="s">
        <v>111</v>
      </c>
      <c r="N6" s="18" t="s">
        <v>112</v>
      </c>
      <c r="O6" s="18" t="s">
        <v>113</v>
      </c>
      <c r="P6" s="18" t="s">
        <v>415</v>
      </c>
      <c r="Q6" s="76" t="s">
        <v>114</v>
      </c>
      <c r="R6" s="76" t="s">
        <v>192</v>
      </c>
      <c r="S6" s="48" t="s">
        <v>110</v>
      </c>
      <c r="T6" s="48" t="s">
        <v>114</v>
      </c>
      <c r="U6" s="48" t="s">
        <v>192</v>
      </c>
      <c r="V6" s="18" t="s">
        <v>111</v>
      </c>
      <c r="W6" s="18" t="s">
        <v>112</v>
      </c>
      <c r="X6" s="18" t="s">
        <v>113</v>
      </c>
      <c r="Y6" s="18" t="s">
        <v>415</v>
      </c>
    </row>
    <row r="7" spans="1:25" x14ac:dyDescent="0.25">
      <c r="A7" s="30" t="str">
        <f>Dados!A35</f>
        <v>Chaminé Glendon 1</v>
      </c>
      <c r="B7" s="74" t="s">
        <v>37</v>
      </c>
      <c r="C7" s="74" t="str">
        <f>Dados!$A$48</f>
        <v>Ciclone + Lavador de Gases + Desumificador</v>
      </c>
      <c r="D7" s="123">
        <v>80</v>
      </c>
      <c r="E7" s="89">
        <v>-20.400500000000001</v>
      </c>
      <c r="F7" s="89">
        <v>-40.368949999999998</v>
      </c>
      <c r="G7" s="74">
        <v>0.8</v>
      </c>
      <c r="H7" s="90">
        <f>Monitoramento!J7</f>
        <v>8774.3333000000002</v>
      </c>
      <c r="I7" s="90">
        <f>H7*(273.15+J7)/273.15</f>
        <v>23839.910154109468</v>
      </c>
      <c r="J7" s="91">
        <f>Monitoramento!J8</f>
        <v>469</v>
      </c>
      <c r="K7" s="74">
        <v>22.5</v>
      </c>
      <c r="L7" s="32">
        <f>Monitoramento!J5</f>
        <v>27.3</v>
      </c>
      <c r="M7" s="74">
        <f>'FE-Combustão'!$B$9</f>
        <v>8</v>
      </c>
      <c r="N7" s="74">
        <f>'FE-Combustão'!B11</f>
        <v>38</v>
      </c>
      <c r="O7" s="74">
        <f>'FE-Combustão'!$B$10</f>
        <v>27</v>
      </c>
      <c r="P7" s="74" t="s">
        <v>17</v>
      </c>
      <c r="Q7" s="32">
        <f>'FE-Iron and Steel'!D21/100</f>
        <v>0.51</v>
      </c>
      <c r="R7" s="32">
        <f>'FE-Iron and Steel'!D19/100</f>
        <v>0.23</v>
      </c>
      <c r="S7" s="86">
        <f t="shared" ref="S7:S14" si="0">(H7*L7)/10^6</f>
        <v>0.23953929909000002</v>
      </c>
      <c r="T7" s="96">
        <f>S7*Q7</f>
        <v>0.12216504253590001</v>
      </c>
      <c r="U7" s="96">
        <f>S7*R7</f>
        <v>5.5094038790700003E-2</v>
      </c>
      <c r="V7" s="96">
        <f>($B$2/4)*M7/1000</f>
        <v>1.7348038812785387E-2</v>
      </c>
      <c r="W7" s="96">
        <f>($B$2/4)*(N7/1000)*(1-D7/100)</f>
        <v>1.6480636872146116E-2</v>
      </c>
      <c r="X7" s="96">
        <f>($B$2/4)*O7/1000</f>
        <v>5.8549630993150678E-2</v>
      </c>
      <c r="Y7" s="86" t="s">
        <v>17</v>
      </c>
    </row>
    <row r="8" spans="1:25" x14ac:dyDescent="0.25">
      <c r="A8" s="30" t="str">
        <f>Dados!A36</f>
        <v>Chaminé Glendon 2</v>
      </c>
      <c r="B8" s="74" t="s">
        <v>37</v>
      </c>
      <c r="C8" s="74" t="str">
        <f>Dados!$A$48</f>
        <v>Ciclone + Lavador de Gases + Desumificador</v>
      </c>
      <c r="D8" s="123">
        <v>80</v>
      </c>
      <c r="E8" s="89">
        <v>-20.400466999999999</v>
      </c>
      <c r="F8" s="89">
        <v>-40.368949999999998</v>
      </c>
      <c r="G8" s="74">
        <v>0.95</v>
      </c>
      <c r="H8" s="90">
        <f>Monitoramento!K11</f>
        <v>7943.3333000000002</v>
      </c>
      <c r="I8" s="90">
        <f t="shared" ref="I8:I14" si="1">H8*(273.15+J8)/273.15</f>
        <v>25469.266596397585</v>
      </c>
      <c r="J8" s="91">
        <f>Monitoramento!K12</f>
        <v>602.66999999999996</v>
      </c>
      <c r="K8" s="74">
        <v>22.5</v>
      </c>
      <c r="L8" s="32">
        <f>Monitoramento!K9</f>
        <v>49.566667000000002</v>
      </c>
      <c r="M8" s="74">
        <f>'FE-Combustão'!$B$9</f>
        <v>8</v>
      </c>
      <c r="N8" s="123">
        <f>'FE-Combustão'!B11</f>
        <v>38</v>
      </c>
      <c r="O8" s="74">
        <f>'FE-Combustão'!$B$10</f>
        <v>27</v>
      </c>
      <c r="P8" s="74" t="s">
        <v>17</v>
      </c>
      <c r="Q8" s="32">
        <f>'FE-Iron and Steel'!D21/100</f>
        <v>0.51</v>
      </c>
      <c r="R8" s="32">
        <f>'FE-Iron and Steel'!D19/100</f>
        <v>0.23</v>
      </c>
      <c r="S8" s="86">
        <f t="shared" si="0"/>
        <v>0.3937245565511111</v>
      </c>
      <c r="T8" s="96">
        <f t="shared" ref="T8:T10" si="2">S8*Q8</f>
        <v>0.20079952384106667</v>
      </c>
      <c r="U8" s="96">
        <f t="shared" ref="U8:U10" si="3">S8*R8</f>
        <v>9.0556648006755558E-2</v>
      </c>
      <c r="V8" s="96">
        <f t="shared" ref="V8:V10" si="4">($B$2/4)*M8/1000</f>
        <v>1.7348038812785387E-2</v>
      </c>
      <c r="W8" s="96">
        <f t="shared" ref="W8:W10" si="5">($B$2/4)*(N8/1000)*(1-D8/100)</f>
        <v>1.6480636872146116E-2</v>
      </c>
      <c r="X8" s="96">
        <f>($B$2/4)*O8/1000</f>
        <v>5.8549630993150678E-2</v>
      </c>
      <c r="Y8" s="86" t="s">
        <v>17</v>
      </c>
    </row>
    <row r="9" spans="1:25" x14ac:dyDescent="0.25">
      <c r="A9" s="30" t="str">
        <f>Dados!A37</f>
        <v>Chaminé Glendon 3</v>
      </c>
      <c r="B9" s="74" t="s">
        <v>37</v>
      </c>
      <c r="C9" s="74" t="str">
        <f>Dados!$A$48</f>
        <v>Ciclone + Lavador de Gases + Desumificador</v>
      </c>
      <c r="D9" s="123">
        <v>80</v>
      </c>
      <c r="E9" s="89">
        <v>-20.400449999999999</v>
      </c>
      <c r="F9" s="89">
        <v>-40.368949999999998</v>
      </c>
      <c r="G9" s="74">
        <v>0.95</v>
      </c>
      <c r="H9" s="90">
        <f>Monitoramento!L15</f>
        <v>7310.6666999999998</v>
      </c>
      <c r="I9" s="90">
        <f t="shared" si="1"/>
        <v>20728.409832751237</v>
      </c>
      <c r="J9" s="91">
        <f>Monitoramento!L16</f>
        <v>501.33</v>
      </c>
      <c r="K9" s="74">
        <v>22.5</v>
      </c>
      <c r="L9" s="32">
        <f>Monitoramento!L13</f>
        <v>27.066666999999999</v>
      </c>
      <c r="M9" s="74">
        <f>'FE-Combustão'!$B$9</f>
        <v>8</v>
      </c>
      <c r="N9" s="123">
        <f>'FE-Combustão'!B11</f>
        <v>38</v>
      </c>
      <c r="O9" s="74">
        <f>'FE-Combustão'!$B$10</f>
        <v>27</v>
      </c>
      <c r="P9" s="74" t="s">
        <v>17</v>
      </c>
      <c r="Q9" s="32">
        <f>'FE-Iron and Steel'!D21/100</f>
        <v>0.51</v>
      </c>
      <c r="R9" s="32">
        <f>'FE-Iron and Steel'!D19/100</f>
        <v>0.23</v>
      </c>
      <c r="S9" s="86">
        <f t="shared" si="0"/>
        <v>0.1978753811168889</v>
      </c>
      <c r="T9" s="96">
        <f t="shared" si="2"/>
        <v>0.10091644436961335</v>
      </c>
      <c r="U9" s="96">
        <f t="shared" si="3"/>
        <v>4.5511337656884449E-2</v>
      </c>
      <c r="V9" s="96">
        <f t="shared" si="4"/>
        <v>1.7348038812785387E-2</v>
      </c>
      <c r="W9" s="96">
        <f>($B$2/4)*(N9/1000)*(1-D9/100)</f>
        <v>1.6480636872146116E-2</v>
      </c>
      <c r="X9" s="96">
        <f t="shared" ref="X9:X10" si="6">($B$2/4)*O9/1000</f>
        <v>5.8549630993150678E-2</v>
      </c>
      <c r="Y9" s="86" t="s">
        <v>17</v>
      </c>
    </row>
    <row r="10" spans="1:25" x14ac:dyDescent="0.25">
      <c r="A10" s="30" t="str">
        <f>Dados!A38</f>
        <v>Chaminé Glendon 4</v>
      </c>
      <c r="B10" s="74" t="s">
        <v>37</v>
      </c>
      <c r="C10" s="74" t="str">
        <f>Dados!$A$48</f>
        <v>Ciclone + Lavador de Gases + Desumificador</v>
      </c>
      <c r="D10" s="123">
        <v>80</v>
      </c>
      <c r="E10" s="89">
        <v>-20.400433</v>
      </c>
      <c r="F10" s="89">
        <v>-40.368949999999998</v>
      </c>
      <c r="G10" s="74">
        <v>0.95</v>
      </c>
      <c r="H10" s="90">
        <f>Monitoramento!M19</f>
        <v>6547.6666999999998</v>
      </c>
      <c r="I10" s="90">
        <f t="shared" si="1"/>
        <v>17238.713188010253</v>
      </c>
      <c r="J10" s="91">
        <f>Monitoramento!M20</f>
        <v>446</v>
      </c>
      <c r="K10" s="74">
        <v>22.5</v>
      </c>
      <c r="L10" s="32">
        <f>Monitoramento!M17</f>
        <v>29.666667</v>
      </c>
      <c r="M10" s="74">
        <f>'FE-Combustão'!$B$9</f>
        <v>8</v>
      </c>
      <c r="N10" s="123">
        <f>'FE-Combustão'!B11</f>
        <v>38</v>
      </c>
      <c r="O10" s="74">
        <f>'FE-Combustão'!$B$10</f>
        <v>27</v>
      </c>
      <c r="P10" s="74" t="s">
        <v>17</v>
      </c>
      <c r="Q10" s="32">
        <f>'FE-Iron and Steel'!D21/100</f>
        <v>0.51</v>
      </c>
      <c r="R10" s="32">
        <f>'FE-Iron and Steel'!D19/100</f>
        <v>0.23</v>
      </c>
      <c r="S10" s="86">
        <f t="shared" si="0"/>
        <v>0.19424744761588891</v>
      </c>
      <c r="T10" s="96">
        <f t="shared" si="2"/>
        <v>9.9066198284103346E-2</v>
      </c>
      <c r="U10" s="96">
        <f t="shared" si="3"/>
        <v>4.4676912951654449E-2</v>
      </c>
      <c r="V10" s="96">
        <f t="shared" si="4"/>
        <v>1.7348038812785387E-2</v>
      </c>
      <c r="W10" s="96">
        <f t="shared" si="5"/>
        <v>1.6480636872146116E-2</v>
      </c>
      <c r="X10" s="96">
        <f t="shared" si="6"/>
        <v>5.8549630993150678E-2</v>
      </c>
      <c r="Y10" s="86" t="s">
        <v>17</v>
      </c>
    </row>
    <row r="11" spans="1:25" ht="15" customHeight="1" x14ac:dyDescent="0.25">
      <c r="A11" s="81" t="s">
        <v>183</v>
      </c>
      <c r="B11" s="74" t="s">
        <v>42</v>
      </c>
      <c r="C11" s="74" t="s">
        <v>41</v>
      </c>
      <c r="D11" s="123" t="s">
        <v>17</v>
      </c>
      <c r="E11" s="89">
        <v>-20.400921</v>
      </c>
      <c r="F11" s="89">
        <v>-40.368690000000001</v>
      </c>
      <c r="G11" s="74">
        <v>1.3</v>
      </c>
      <c r="H11" s="90">
        <f>Monitoramento!K23</f>
        <v>48212.332999999999</v>
      </c>
      <c r="I11" s="90">
        <f t="shared" si="1"/>
        <v>54390.007006955886</v>
      </c>
      <c r="J11" s="91">
        <f>Monitoramento!K24</f>
        <v>35</v>
      </c>
      <c r="K11" s="74">
        <v>11</v>
      </c>
      <c r="L11" s="32">
        <f>Monitoramento!K21</f>
        <v>42.266666999999998</v>
      </c>
      <c r="M11" s="11" t="s">
        <v>17</v>
      </c>
      <c r="N11" s="11" t="s">
        <v>17</v>
      </c>
      <c r="O11" s="11" t="s">
        <v>17</v>
      </c>
      <c r="P11" s="11" t="s">
        <v>17</v>
      </c>
      <c r="Q11" s="97">
        <f>85/100</f>
        <v>0.85</v>
      </c>
      <c r="R11" s="97">
        <f>30/100</f>
        <v>0.3</v>
      </c>
      <c r="S11" s="86">
        <f>(H11*L11)/10^6</f>
        <v>2.0377746242041108</v>
      </c>
      <c r="T11" s="86">
        <f>S11*Q11</f>
        <v>1.7321084305734942</v>
      </c>
      <c r="U11" s="86">
        <f>S11*R11</f>
        <v>0.61133238726123318</v>
      </c>
      <c r="V11" s="86" t="s">
        <v>17</v>
      </c>
      <c r="W11" s="86" t="s">
        <v>17</v>
      </c>
      <c r="X11" s="86" t="s">
        <v>17</v>
      </c>
      <c r="Y11" s="86" t="s">
        <v>17</v>
      </c>
    </row>
    <row r="12" spans="1:25" x14ac:dyDescent="0.25">
      <c r="A12" s="81" t="s">
        <v>184</v>
      </c>
      <c r="B12" s="74" t="s">
        <v>43</v>
      </c>
      <c r="C12" s="74" t="s">
        <v>41</v>
      </c>
      <c r="D12" s="123" t="s">
        <v>17</v>
      </c>
      <c r="E12" s="89">
        <v>-20.400207999999999</v>
      </c>
      <c r="F12" s="89">
        <v>-40.368656999999999</v>
      </c>
      <c r="G12" s="74">
        <v>0.95</v>
      </c>
      <c r="H12" s="90">
        <f>Monitoramento!K27</f>
        <v>20716</v>
      </c>
      <c r="I12" s="90">
        <f t="shared" si="1"/>
        <v>23698.830971993408</v>
      </c>
      <c r="J12" s="91">
        <f>Monitoramento!K28</f>
        <v>39.33</v>
      </c>
      <c r="K12" s="74">
        <v>11.1</v>
      </c>
      <c r="L12" s="32">
        <f>Monitoramento!K25</f>
        <v>40.266666999999998</v>
      </c>
      <c r="M12" s="11" t="s">
        <v>17</v>
      </c>
      <c r="N12" s="11" t="s">
        <v>17</v>
      </c>
      <c r="O12" s="11" t="s">
        <v>17</v>
      </c>
      <c r="P12" s="11" t="s">
        <v>17</v>
      </c>
      <c r="Q12" s="97">
        <f>85/100</f>
        <v>0.85</v>
      </c>
      <c r="R12" s="97">
        <f>30/100</f>
        <v>0.3</v>
      </c>
      <c r="S12" s="86">
        <f t="shared" si="0"/>
        <v>0.83416427357199996</v>
      </c>
      <c r="T12" s="86">
        <f t="shared" ref="T12:T13" si="7">S12*Q12</f>
        <v>0.70903963253619995</v>
      </c>
      <c r="U12" s="86">
        <f t="shared" ref="U12:U13" si="8">S12*R12</f>
        <v>0.25024928207159997</v>
      </c>
      <c r="V12" s="86" t="s">
        <v>17</v>
      </c>
      <c r="W12" s="86" t="s">
        <v>17</v>
      </c>
      <c r="X12" s="86" t="s">
        <v>17</v>
      </c>
      <c r="Y12" s="86" t="s">
        <v>17</v>
      </c>
    </row>
    <row r="13" spans="1:25" x14ac:dyDescent="0.25">
      <c r="A13" s="81" t="s">
        <v>185</v>
      </c>
      <c r="B13" s="74" t="s">
        <v>44</v>
      </c>
      <c r="C13" s="74" t="s">
        <v>41</v>
      </c>
      <c r="D13" s="123" t="s">
        <v>17</v>
      </c>
      <c r="E13" s="89">
        <v>-20.401036000000001</v>
      </c>
      <c r="F13" s="89">
        <v>-40.368803</v>
      </c>
      <c r="G13" s="74">
        <v>0.45</v>
      </c>
      <c r="H13" s="90">
        <f>Monitoramento!K31</f>
        <v>4605</v>
      </c>
      <c r="I13" s="90">
        <f t="shared" si="1"/>
        <v>5099.4706205381663</v>
      </c>
      <c r="J13" s="91">
        <f>Monitoramento!K32</f>
        <v>29.33</v>
      </c>
      <c r="K13" s="74">
        <v>9.6</v>
      </c>
      <c r="L13" s="32">
        <f>Monitoramento!K29</f>
        <v>11.766667</v>
      </c>
      <c r="M13" s="11" t="s">
        <v>17</v>
      </c>
      <c r="N13" s="11" t="s">
        <v>17</v>
      </c>
      <c r="O13" s="11" t="s">
        <v>17</v>
      </c>
      <c r="P13" s="11" t="s">
        <v>17</v>
      </c>
      <c r="Q13" s="97">
        <f>85/100</f>
        <v>0.85</v>
      </c>
      <c r="R13" s="97">
        <f>30/100</f>
        <v>0.3</v>
      </c>
      <c r="S13" s="86">
        <f t="shared" si="0"/>
        <v>5.4185501535E-2</v>
      </c>
      <c r="T13" s="86">
        <f t="shared" si="7"/>
        <v>4.6057676304750002E-2</v>
      </c>
      <c r="U13" s="86">
        <f t="shared" si="8"/>
        <v>1.6255650460499999E-2</v>
      </c>
      <c r="V13" s="86" t="s">
        <v>17</v>
      </c>
      <c r="W13" s="86" t="s">
        <v>17</v>
      </c>
      <c r="X13" s="86" t="s">
        <v>17</v>
      </c>
      <c r="Y13" s="86" t="s">
        <v>17</v>
      </c>
    </row>
    <row r="14" spans="1:25" x14ac:dyDescent="0.25">
      <c r="A14" s="81" t="s">
        <v>186</v>
      </c>
      <c r="B14" s="74" t="s">
        <v>45</v>
      </c>
      <c r="C14" s="74" t="s">
        <v>41</v>
      </c>
      <c r="D14" s="123" t="s">
        <v>17</v>
      </c>
      <c r="E14" s="85">
        <v>-20.400563999999999</v>
      </c>
      <c r="F14" s="85">
        <v>-40.368934000000003</v>
      </c>
      <c r="G14" s="74">
        <v>2.5</v>
      </c>
      <c r="H14" s="90">
        <f>Monitoramento!N35</f>
        <v>23289.332999999999</v>
      </c>
      <c r="I14" s="90">
        <f t="shared" si="1"/>
        <v>26642.690008566718</v>
      </c>
      <c r="J14" s="91">
        <f>Monitoramento!N36</f>
        <v>39.33</v>
      </c>
      <c r="K14" s="74">
        <v>10</v>
      </c>
      <c r="L14" s="32">
        <f>Monitoramento!N33</f>
        <v>7.5666666999999999</v>
      </c>
      <c r="M14" s="11" t="s">
        <v>17</v>
      </c>
      <c r="N14" s="11" t="s">
        <v>17</v>
      </c>
      <c r="O14" s="11" t="s">
        <v>17</v>
      </c>
      <c r="P14" s="11" t="s">
        <v>17</v>
      </c>
      <c r="Q14" s="32">
        <f>'FE-Iron and Steel'!D21/100</f>
        <v>0.51</v>
      </c>
      <c r="R14" s="32">
        <f>'FE-Iron and Steel'!D19/100</f>
        <v>0.23</v>
      </c>
      <c r="S14" s="86">
        <f t="shared" si="0"/>
        <v>0.17622262047631107</v>
      </c>
      <c r="T14" s="86">
        <f t="shared" ref="T14" si="9">S14*Q14</f>
        <v>8.987353644291865E-2</v>
      </c>
      <c r="U14" s="86">
        <f t="shared" ref="U14" si="10">S14*R14</f>
        <v>4.0531202709551545E-2</v>
      </c>
      <c r="V14" s="86" t="s">
        <v>17</v>
      </c>
      <c r="W14" s="86" t="s">
        <v>17</v>
      </c>
      <c r="X14" s="86" t="s">
        <v>17</v>
      </c>
      <c r="Y14" s="86" t="s">
        <v>17</v>
      </c>
    </row>
    <row r="15" spans="1:25" x14ac:dyDescent="0.25">
      <c r="A15" s="207" t="s">
        <v>196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56">
        <f>SUM(S7:S14)</f>
        <v>4.1277337041613107</v>
      </c>
      <c r="T15" s="56">
        <f>SUM(T7:T14)</f>
        <v>3.1000264848880468</v>
      </c>
      <c r="U15" s="56">
        <f t="shared" ref="U15:Y15" si="11">SUM(U7:U14)</f>
        <v>1.1542074599088792</v>
      </c>
      <c r="V15" s="56">
        <f t="shared" si="11"/>
        <v>6.9392155251141549E-2</v>
      </c>
      <c r="W15" s="56">
        <f t="shared" si="11"/>
        <v>6.5922547488584463E-2</v>
      </c>
      <c r="X15" s="56">
        <f t="shared" si="11"/>
        <v>0.23419852397260271</v>
      </c>
      <c r="Y15" s="56">
        <f t="shared" si="11"/>
        <v>0</v>
      </c>
    </row>
    <row r="17" spans="1:4" x14ac:dyDescent="0.25">
      <c r="A17" s="204" t="s">
        <v>102</v>
      </c>
      <c r="B17" s="214"/>
    </row>
    <row r="18" spans="1:4" x14ac:dyDescent="0.25">
      <c r="A18" s="205"/>
      <c r="B18" s="215"/>
    </row>
    <row r="19" spans="1:4" x14ac:dyDescent="0.25">
      <c r="A19" s="205"/>
      <c r="B19" s="216"/>
    </row>
    <row r="20" spans="1:4" ht="15" customHeight="1" x14ac:dyDescent="0.25">
      <c r="A20" s="205"/>
      <c r="B20" s="217" t="s">
        <v>194</v>
      </c>
    </row>
    <row r="21" spans="1:4" x14ac:dyDescent="0.25">
      <c r="A21" s="205"/>
      <c r="B21" s="217"/>
    </row>
    <row r="22" spans="1:4" x14ac:dyDescent="0.25">
      <c r="A22" s="205"/>
      <c r="B22" s="217"/>
    </row>
    <row r="23" spans="1:4" x14ac:dyDescent="0.25">
      <c r="A23" s="206"/>
      <c r="B23" s="217"/>
    </row>
    <row r="24" spans="1:4" x14ac:dyDescent="0.25">
      <c r="A24" s="2"/>
      <c r="B24" s="2"/>
    </row>
    <row r="25" spans="1:4" x14ac:dyDescent="0.25">
      <c r="A25" s="204" t="s">
        <v>102</v>
      </c>
      <c r="B25" s="210"/>
      <c r="C25" s="211"/>
      <c r="D25" s="124"/>
    </row>
    <row r="26" spans="1:4" x14ac:dyDescent="0.25">
      <c r="A26" s="205"/>
      <c r="B26" s="210"/>
      <c r="C26" s="211"/>
      <c r="D26" s="124"/>
    </row>
    <row r="27" spans="1:4" x14ac:dyDescent="0.25">
      <c r="A27" s="205"/>
      <c r="B27" s="210"/>
      <c r="C27" s="211"/>
      <c r="D27" s="124"/>
    </row>
    <row r="28" spans="1:4" ht="15" customHeight="1" x14ac:dyDescent="0.25">
      <c r="A28" s="205"/>
      <c r="B28" s="212" t="s">
        <v>193</v>
      </c>
      <c r="C28" s="213"/>
      <c r="D28" s="125"/>
    </row>
    <row r="29" spans="1:4" x14ac:dyDescent="0.25">
      <c r="A29" s="205"/>
      <c r="B29" s="212"/>
      <c r="C29" s="213"/>
      <c r="D29" s="125"/>
    </row>
    <row r="30" spans="1:4" x14ac:dyDescent="0.25">
      <c r="A30" s="206"/>
      <c r="B30" s="212"/>
      <c r="C30" s="213"/>
      <c r="D30" s="125"/>
    </row>
  </sheetData>
  <sheetProtection password="B056" sheet="1" objects="1" scenarios="1"/>
  <mergeCells count="21">
    <mergeCell ref="A25:A30"/>
    <mergeCell ref="A15:R15"/>
    <mergeCell ref="Q5:R5"/>
    <mergeCell ref="B25:C27"/>
    <mergeCell ref="B28:C30"/>
    <mergeCell ref="B17:B19"/>
    <mergeCell ref="A17:A23"/>
    <mergeCell ref="B20:B23"/>
    <mergeCell ref="E5:E6"/>
    <mergeCell ref="F5:F6"/>
    <mergeCell ref="H5:H6"/>
    <mergeCell ref="A5:A6"/>
    <mergeCell ref="B5:B6"/>
    <mergeCell ref="C5:C6"/>
    <mergeCell ref="D5:D6"/>
    <mergeCell ref="G5:G6"/>
    <mergeCell ref="I5:I6"/>
    <mergeCell ref="J5:J6"/>
    <mergeCell ref="K5:K6"/>
    <mergeCell ref="S5:Y5"/>
    <mergeCell ref="M5:P5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</vt:i4>
      </vt:variant>
    </vt:vector>
  </HeadingPairs>
  <TitlesOfParts>
    <vt:vector size="16" baseType="lpstr">
      <vt:lpstr>FE-Iron and Steel</vt:lpstr>
      <vt:lpstr>FE-Transferências</vt:lpstr>
      <vt:lpstr>FE-Combustão</vt:lpstr>
      <vt:lpstr>FE-Maq e Equip</vt:lpstr>
      <vt:lpstr>FE-Vias</vt:lpstr>
      <vt:lpstr>Controles</vt:lpstr>
      <vt:lpstr>Dados</vt:lpstr>
      <vt:lpstr>Monitoramento</vt:lpstr>
      <vt:lpstr>Emissão Chaminés</vt:lpstr>
      <vt:lpstr>Emissão Transferências</vt:lpstr>
      <vt:lpstr>Emissão Fugitiva</vt:lpstr>
      <vt:lpstr>Emissão Maq e Equip</vt:lpstr>
      <vt:lpstr>Emissão Vias </vt:lpstr>
      <vt:lpstr>Resumo</vt:lpstr>
      <vt:lpstr>FE_Maq_Equip</vt:lpstr>
      <vt:lpstr>Pot_Equip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Aarão Gonçalves</dc:creator>
  <cp:lastModifiedBy>Vanessa Brusco Filete</cp:lastModifiedBy>
  <dcterms:created xsi:type="dcterms:W3CDTF">2018-12-19T18:14:11Z</dcterms:created>
  <dcterms:modified xsi:type="dcterms:W3CDTF">2019-06-06T20:19:31Z</dcterms:modified>
</cp:coreProperties>
</file>