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obrita\"/>
    </mc:Choice>
  </mc:AlternateContent>
  <bookViews>
    <workbookView xWindow="0" yWindow="0" windowWidth="24000" windowHeight="9135" tabRatio="897" firstSheet="3" activeTab="11"/>
  </bookViews>
  <sheets>
    <sheet name="Dados" sheetId="16" r:id="rId1"/>
    <sheet name="FE-Perfuração e Detonação" sheetId="20" r:id="rId2"/>
    <sheet name="FE-Maq Equip" sheetId="6" r:id="rId3"/>
    <sheet name="FE-Transferências" sheetId="10" r:id="rId4"/>
    <sheet name="FE-Britagem e Peneiramento" sheetId="25" r:id="rId5"/>
    <sheet name="FE-Vias" sheetId="13" r:id="rId6"/>
    <sheet name="Emissão Perfuração e Detonação" sheetId="18" r:id="rId7"/>
    <sheet name="Emissão Maq e Equip" sheetId="5" r:id="rId8"/>
    <sheet name="Emissão Transf" sheetId="8" r:id="rId9"/>
    <sheet name="Emissão Brit e Pen" sheetId="22" r:id="rId10"/>
    <sheet name="Emissão Vias " sheetId="9" r:id="rId11"/>
    <sheet name="Resumo" sheetId="26" r:id="rId12"/>
  </sheets>
  <definedNames>
    <definedName name="FE_Equip">'FE-Maq Equip'!$B$3:$I$17</definedName>
    <definedName name="Pot_Equip">'FE-Maq Equip'!$B$3:$B$17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6" l="1"/>
  <c r="E9" i="26" l="1"/>
  <c r="G3" i="26"/>
  <c r="H11" i="8" l="1"/>
  <c r="I11" i="8"/>
  <c r="J11" i="8"/>
  <c r="P5" i="9" l="1"/>
  <c r="O5" i="9"/>
  <c r="N5" i="9"/>
  <c r="G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G15" i="13"/>
  <c r="P3" i="9" s="1"/>
  <c r="J14" i="13"/>
  <c r="J13" i="13"/>
  <c r="J12" i="13"/>
  <c r="J11" i="13"/>
  <c r="J10" i="13"/>
  <c r="J9" i="13"/>
  <c r="J8" i="13"/>
  <c r="J7" i="13"/>
  <c r="J6" i="13"/>
  <c r="J5" i="13"/>
  <c r="J4" i="13"/>
  <c r="J3" i="13"/>
  <c r="N4" i="9" l="1"/>
  <c r="N3" i="9"/>
  <c r="O3" i="9"/>
  <c r="P4" i="9"/>
  <c r="O4" i="9"/>
  <c r="AA5" i="9" l="1"/>
  <c r="AB5" i="9"/>
  <c r="AC5" i="9"/>
  <c r="Z5" i="9"/>
  <c r="Y5" i="9"/>
  <c r="X5" i="9"/>
  <c r="J9" i="18" l="1"/>
  <c r="H8" i="8" l="1"/>
  <c r="I8" i="8"/>
  <c r="J8" i="8"/>
  <c r="H7" i="8" l="1"/>
  <c r="I7" i="8"/>
  <c r="J7" i="8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F9" i="18"/>
  <c r="B22" i="16"/>
  <c r="C22" i="16" s="1"/>
  <c r="D11" i="8" s="1"/>
  <c r="L11" i="8" l="1"/>
  <c r="K11" i="8"/>
  <c r="M11" i="8"/>
  <c r="D3" i="22"/>
  <c r="D3" i="8"/>
  <c r="F5" i="9"/>
  <c r="F3" i="9"/>
  <c r="F4" i="9"/>
  <c r="M3" i="8" l="1"/>
  <c r="L3" i="8"/>
  <c r="K3" i="8"/>
  <c r="D4" i="22"/>
  <c r="D9" i="22" s="1"/>
  <c r="V5" i="9"/>
  <c r="V4" i="9"/>
  <c r="V3" i="9"/>
  <c r="U5" i="9"/>
  <c r="U4" i="9"/>
  <c r="U3" i="9"/>
  <c r="G9" i="22" l="1"/>
  <c r="G4" i="22"/>
  <c r="G3" i="22"/>
  <c r="Q5" i="9" l="1"/>
  <c r="R5" i="9"/>
  <c r="S5" i="9"/>
  <c r="T5" i="9"/>
  <c r="W5" i="9"/>
  <c r="T4" i="9"/>
  <c r="S4" i="9"/>
  <c r="R4" i="9"/>
  <c r="Q4" i="9"/>
  <c r="W4" i="9"/>
  <c r="H10" i="8" l="1"/>
  <c r="H9" i="8"/>
  <c r="H6" i="8"/>
  <c r="H5" i="8"/>
  <c r="H4" i="8"/>
  <c r="F4" i="22"/>
  <c r="F3" i="22"/>
  <c r="E4" i="22"/>
  <c r="E3" i="22"/>
  <c r="I10" i="8" l="1"/>
  <c r="J10" i="8"/>
  <c r="I6" i="8"/>
  <c r="J6" i="8"/>
  <c r="I9" i="8"/>
  <c r="J9" i="8"/>
  <c r="I5" i="8"/>
  <c r="J5" i="8"/>
  <c r="J4" i="8"/>
  <c r="I4" i="8"/>
  <c r="F9" i="22"/>
  <c r="E9" i="22"/>
  <c r="E9" i="18" l="1"/>
  <c r="D9" i="18"/>
  <c r="G9" i="18" s="1"/>
  <c r="D3" i="18"/>
  <c r="F3" i="18"/>
  <c r="E3" i="18"/>
  <c r="G3" i="18" s="1"/>
  <c r="K9" i="18" l="1"/>
  <c r="K10" i="18" s="1"/>
  <c r="N9" i="18"/>
  <c r="N10" i="18" s="1"/>
  <c r="I3" i="18"/>
  <c r="I4" i="18" s="1"/>
  <c r="J3" i="18"/>
  <c r="J4" i="18" s="1"/>
  <c r="H3" i="18"/>
  <c r="H4" i="18" s="1"/>
  <c r="B3" i="26" s="1"/>
  <c r="I9" i="18"/>
  <c r="M9" i="18" s="1"/>
  <c r="M10" i="18" s="1"/>
  <c r="H9" i="18"/>
  <c r="L9" i="18" s="1"/>
  <c r="L10" i="18" s="1"/>
  <c r="C3" i="26" l="1"/>
  <c r="D3" i="26"/>
  <c r="H6" i="5" l="1"/>
  <c r="I6" i="5" s="1"/>
  <c r="K6" i="5"/>
  <c r="L6" i="5"/>
  <c r="M6" i="5"/>
  <c r="N6" i="5"/>
  <c r="H7" i="5"/>
  <c r="I7" i="5" s="1"/>
  <c r="K7" i="5"/>
  <c r="L7" i="5"/>
  <c r="M7" i="5"/>
  <c r="N7" i="5"/>
  <c r="D4" i="8" l="1"/>
  <c r="H3" i="9"/>
  <c r="K3" i="22"/>
  <c r="L3" i="22"/>
  <c r="J3" i="22"/>
  <c r="J9" i="22"/>
  <c r="H9" i="22"/>
  <c r="H10" i="22" s="1"/>
  <c r="I9" i="22"/>
  <c r="K4" i="22"/>
  <c r="J4" i="22"/>
  <c r="L4" i="22"/>
  <c r="J6" i="5"/>
  <c r="J7" i="5"/>
  <c r="R3" i="9"/>
  <c r="S3" i="9"/>
  <c r="T3" i="9"/>
  <c r="W3" i="9"/>
  <c r="Q3" i="9"/>
  <c r="L4" i="8" l="1"/>
  <c r="M4" i="8"/>
  <c r="K4" i="8"/>
  <c r="D5" i="8"/>
  <c r="K5" i="22"/>
  <c r="J10" i="22"/>
  <c r="I10" i="22"/>
  <c r="J5" i="22"/>
  <c r="B6" i="26" s="1"/>
  <c r="L5" i="22"/>
  <c r="K5" i="8" l="1"/>
  <c r="L5" i="8"/>
  <c r="M5" i="8"/>
  <c r="D6" i="8"/>
  <c r="D6" i="26"/>
  <c r="C6" i="26"/>
  <c r="D7" i="8" l="1"/>
  <c r="L6" i="8"/>
  <c r="M6" i="8"/>
  <c r="K6" i="8"/>
  <c r="H4" i="9"/>
  <c r="I4" i="9" s="1"/>
  <c r="I3" i="9"/>
  <c r="D8" i="8" l="1"/>
  <c r="K7" i="8"/>
  <c r="L7" i="8"/>
  <c r="M7" i="8"/>
  <c r="H5" i="9"/>
  <c r="I5" i="9" s="1"/>
  <c r="AF3" i="9"/>
  <c r="AE3" i="9"/>
  <c r="AD3" i="9"/>
  <c r="AE4" i="9"/>
  <c r="AF4" i="9"/>
  <c r="AD4" i="9"/>
  <c r="AH4" i="9"/>
  <c r="AI4" i="9"/>
  <c r="AJ4" i="9"/>
  <c r="AG4" i="9"/>
  <c r="AH3" i="9"/>
  <c r="AG3" i="9"/>
  <c r="AI3" i="9"/>
  <c r="AJ3" i="9"/>
  <c r="J3" i="8"/>
  <c r="I3" i="8"/>
  <c r="H3" i="8"/>
  <c r="D9" i="8" l="1"/>
  <c r="M8" i="8"/>
  <c r="L8" i="8"/>
  <c r="K8" i="8"/>
  <c r="AF5" i="9"/>
  <c r="AE5" i="9"/>
  <c r="AD5" i="9"/>
  <c r="AD6" i="9" s="1"/>
  <c r="AI5" i="9"/>
  <c r="AI6" i="9" s="1"/>
  <c r="G7" i="26" s="1"/>
  <c r="AJ5" i="9"/>
  <c r="AG5" i="9"/>
  <c r="AG6" i="9" s="1"/>
  <c r="E7" i="26" s="1"/>
  <c r="AE6" i="9"/>
  <c r="C7" i="26" s="1"/>
  <c r="AH5" i="9"/>
  <c r="AH6" i="9" s="1"/>
  <c r="F7" i="26" s="1"/>
  <c r="AJ6" i="9"/>
  <c r="H7" i="26" s="1"/>
  <c r="AF6" i="9"/>
  <c r="D7" i="26" s="1"/>
  <c r="H5" i="5"/>
  <c r="J5" i="5" s="1"/>
  <c r="K5" i="5"/>
  <c r="L5" i="5"/>
  <c r="M5" i="5"/>
  <c r="N5" i="5"/>
  <c r="D10" i="8" l="1"/>
  <c r="K9" i="8"/>
  <c r="L9" i="8"/>
  <c r="M9" i="8"/>
  <c r="B7" i="26"/>
  <c r="I5" i="5"/>
  <c r="M10" i="8" l="1"/>
  <c r="M12" i="8" s="1"/>
  <c r="D4" i="26" s="1"/>
  <c r="L10" i="8"/>
  <c r="L12" i="8" s="1"/>
  <c r="C4" i="26" s="1"/>
  <c r="K10" i="8"/>
  <c r="K12" i="8" s="1"/>
  <c r="B4" i="26" s="1"/>
  <c r="H4" i="5"/>
  <c r="H8" i="5" s="1"/>
  <c r="B5" i="26" s="1"/>
  <c r="K4" i="5" l="1"/>
  <c r="K8" i="5" s="1"/>
  <c r="E5" i="26" s="1"/>
  <c r="N4" i="5"/>
  <c r="N8" i="5" s="1"/>
  <c r="H5" i="26" s="1"/>
  <c r="H9" i="26" s="1"/>
  <c r="I4" i="5"/>
  <c r="I8" i="5" s="1"/>
  <c r="C5" i="26" s="1"/>
  <c r="M4" i="5"/>
  <c r="M8" i="5" s="1"/>
  <c r="G5" i="26" s="1"/>
  <c r="G9" i="26" s="1"/>
  <c r="L4" i="5"/>
  <c r="L8" i="5" s="1"/>
  <c r="F5" i="26" s="1"/>
  <c r="F9" i="26" s="1"/>
  <c r="J4" i="5" l="1"/>
  <c r="J8" i="5" s="1"/>
  <c r="D5" i="26" s="1"/>
  <c r="D9" i="26" l="1"/>
  <c r="C9" i="26"/>
</calcChain>
</file>

<file path=xl/comments1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Em ofício não foi informado os dias da semana que houve funcionamento, apenas o horário.</t>
        </r>
      </text>
    </comment>
    <comment ref="A21" authorId="0" shapeId="0">
      <text>
        <r>
          <rPr>
            <sz val="9"/>
            <color indexed="81"/>
            <rFont val="Segoe UI"/>
            <family val="2"/>
          </rPr>
          <t xml:space="preserve">Foi considerado a emissão da pedra detonada apenas na expedição e no transporte através das vias de tráfego.
</t>
        </r>
      </text>
    </comment>
  </commentList>
</comments>
</file>

<file path=xl/comments10.xml><?xml version="1.0" encoding="utf-8"?>
<comments xmlns="http://schemas.openxmlformats.org/spreadsheetml/2006/main">
  <authors>
    <author>Alinie Rossi dos Santos</author>
    <author>Vanessa Brusco Filete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>O empreendimento não informou o modelo de caminhão utilizado no ano de 2015. Com base nos modelos e capacidades destes contidos em processos existentes no IEMA da empresa (M Benz 2831 K),  foi considerado a capacidade média do caminhão.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 xml:space="preserve">O empreendimento não informou o modelo de caminhão utilizado no ano de 2015. Com base nos modelos e capacidades destes contidos em processos existentes no IEMA da empresa (M Benz 2831 K),  foi considerado o peso médio do caminhão.
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>Informado pela empresa que ocorre umectação das vias oito vezes ao dia.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 xml:space="preserve">WRAP (2006) </t>
        </r>
      </text>
    </comment>
    <comment ref="W2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USEPA (2006) - Unpaved Roads. Table 13.2.2-1 - Stone quarrying and processing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J4" authorId="0" shapeId="0">
      <text>
        <r>
          <rPr>
            <sz val="9"/>
            <color indexed="81"/>
            <rFont val="Segoe UI"/>
            <family val="2"/>
          </rPr>
          <t>USEPA (2006) - Unpaved Roads. Table 13.2.2-1 - Stone quarrying and processing</t>
        </r>
      </text>
    </comment>
    <comment ref="J5" authorId="0" shapeId="0">
      <text>
        <r>
          <rPr>
            <sz val="9"/>
            <color indexed="81"/>
            <rFont val="Segoe UI"/>
            <family val="2"/>
          </rPr>
          <t>USEPA (2011) - Paved Roads. Table 13.2.1-3 - Quarry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D6" authorId="0" shapeId="0">
      <text>
        <r>
          <rPr>
            <sz val="9"/>
            <color indexed="81"/>
            <rFont val="Segoe UI"/>
            <family val="2"/>
          </rPr>
          <t>Fonte: National Pollutant Inventory. Emission Estimation Technique Manual for Mining. Australian Government. January 2012.
http://www.npi.gov.au/resource/emission-estimation-technique-manual-mining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</commentList>
</comments>
</file>

<file path=xl/comments4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 No data available, but emission factors for PM-10 for tertiary crushers can be used as an upper limit for
primary or secondary crushing 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F19" authorId="1" shapeId="0">
      <text>
        <r>
          <rPr>
            <sz val="9"/>
            <color indexed="81"/>
            <rFont val="Segoe UI"/>
            <family val="2"/>
          </rPr>
          <t>Fonte: Estação INMET 
ES_A612_Vitoria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39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39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39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>Considerado o mesmo fator PM2.5/PM do processo de detonação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  <author>Alinie Rossi dos Santos</author>
  </authors>
  <commentList>
    <comment ref="I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B4" authorId="1" shapeId="0">
      <text>
        <r>
          <rPr>
            <sz val="9"/>
            <color indexed="81"/>
            <rFont val="Segoe UI"/>
            <family val="2"/>
          </rPr>
          <t>Dado obtido no catálogo do modelo fornecido pelo empreendimento.  Fonte: https://www.liebherr.com/external/products/products-assets/460399-2/Bildprospekt%20L%20524%20-%20L%20580.pdf</t>
        </r>
      </text>
    </comment>
    <comment ref="B5" authorId="1" shapeId="0">
      <text>
        <r>
          <rPr>
            <sz val="9"/>
            <color indexed="81"/>
            <rFont val="Segoe UI"/>
            <family val="2"/>
          </rPr>
          <t>Dado obtido no catálogo do modelo fornecido pelo empreendimento. Fonte: http://s7d2.scene7.com/is/content/Caterpillar/C305746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B6" authorId="1" shapeId="0">
      <text>
        <r>
          <rPr>
            <sz val="9"/>
            <color indexed="81"/>
            <rFont val="Segoe UI"/>
            <family val="2"/>
          </rPr>
          <t xml:space="preserve">Dado obtido no catálogo de modelo similar ao fornecido pelo empreendimento. https://www.volvoce.com/brasil/pt-br/products/excavators/crawler/ec480d/
</t>
        </r>
      </text>
    </comment>
    <comment ref="B7" authorId="1" shapeId="0">
      <text>
        <r>
          <rPr>
            <sz val="9"/>
            <color indexed="81"/>
            <rFont val="Segoe UI"/>
            <family val="2"/>
          </rPr>
          <t>Dado obtido no catálogo do modelo fornecido pelo empreendimento. 
Fonte: http://s7d2.scene7.com/is/content/Caterpillar/C253822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</authors>
  <commentList>
    <comment ref="D1" authorId="0" shapeId="0">
      <text>
        <r>
          <rPr>
            <sz val="9"/>
            <color indexed="81"/>
            <rFont val="Segoe UI"/>
            <family val="2"/>
          </rPr>
          <t xml:space="preserve">Como não foi informado pelo empreendimento um fluxograma do processo produtivo, foi considerado que todo material movimentado passa por todo o processo, com exceto da pedra detonada (considerada que teria transferência apenas para o caminhão para expedição).
</t>
        </r>
      </text>
    </comment>
    <comment ref="E1" authorId="0" shapeId="0">
      <text>
        <r>
          <rPr>
            <sz val="9"/>
            <color indexed="81"/>
            <rFont val="Segoe UI"/>
            <family val="2"/>
          </rPr>
          <t>USEPA (2003) Background Information for Revised AP-42 Section 11.19.2, Crushed Stone Processing
and Pulverized Mineral Processing:
The targeted moisture contents of the raw material (granite) during the uncontrolled  runs were &lt;1.5 percent. Assim, foi considerado o teor de umidade de 1%.</t>
        </r>
      </text>
    </comment>
    <comment ref="F2" authorId="0" shapeId="0">
      <text>
        <r>
          <rPr>
            <sz val="9"/>
            <color indexed="81"/>
            <rFont val="Segoe UI"/>
            <family val="2"/>
          </rPr>
          <t>Baseado no que foi informado pelo empreendimento: umectação na pedreira e no processo de britagem.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>WRAP (2006) - Implement wet supression</t>
        </r>
      </text>
    </comment>
    <comment ref="A14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</commentList>
</comments>
</file>

<file path=xl/comments9.xml><?xml version="1.0" encoding="utf-8"?>
<comments xmlns="http://schemas.openxmlformats.org/spreadsheetml/2006/main">
  <authors>
    <author>Alinie Rossi dos Santos</author>
  </authors>
  <commentList>
    <comment ref="I1" authorId="0" shapeId="0">
      <text>
        <r>
          <rPr>
            <sz val="9"/>
            <color indexed="81"/>
            <rFont val="Segoe UI"/>
            <family val="2"/>
          </rPr>
          <t>WRAP (2006) - Implement wet suppression. Informado pelo empreendimento, através do Ofício, que existe aspersão no processo de britagem.</t>
        </r>
      </text>
    </comment>
    <comment ref="E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F2" authorId="0" shapeId="0">
      <text>
        <r>
          <rPr>
            <sz val="9"/>
            <color indexed="81"/>
            <rFont val="Segoe UI"/>
            <family val="2"/>
          </rPr>
          <t xml:space="preserve"> Fonte: USEPA, (2004). Section 11.19.2 . Table 11.19.2-1 = No data available, but emission factors for PM-10 for tertiary crushers can be used as an upper limit for
primary or secondary crushing.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A4" authorId="0" shapeId="0">
      <text>
        <r>
          <rPr>
            <sz val="9"/>
            <color indexed="81"/>
            <rFont val="Segoe UI"/>
            <family val="2"/>
          </rPr>
          <t>Como não foi informado pelo empreedimento qual percentual do material que passa pelos britadores cone, foi considerado que 50% do material que passa pelo bitadro primário, é destinado ao britador cone.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Considerada a mesma relação PM2.5/PM10 para o fator de "Tertiary Crushing (controlled)"
</t>
        </r>
      </text>
    </comment>
    <comment ref="A9" authorId="0" shapeId="0">
      <text>
        <r>
          <rPr>
            <sz val="9"/>
            <color indexed="81"/>
            <rFont val="Segoe UI"/>
            <family val="2"/>
          </rPr>
          <t xml:space="preserve">Como não foi informado pelo empreendimento o percentual de material que passa em cada processo, foi considerado que a quantidade de material  movimentada nos britadores primário e cone, passam pelo peneiramento. </t>
        </r>
      </text>
    </comment>
    <comment ref="G9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</commentList>
</comments>
</file>

<file path=xl/sharedStrings.xml><?xml version="1.0" encoding="utf-8"?>
<sst xmlns="http://schemas.openxmlformats.org/spreadsheetml/2006/main" count="426" uniqueCount="232">
  <si>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</si>
  <si>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</si>
  <si>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</si>
  <si>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</si>
  <si>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</si>
  <si>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</si>
  <si>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</si>
  <si>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</si>
  <si>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</si>
  <si>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</si>
  <si>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</si>
  <si>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</si>
  <si>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</si>
  <si>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</si>
  <si>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</si>
  <si>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</si>
  <si>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</si>
  <si>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</si>
  <si>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</si>
  <si>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</si>
  <si>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</si>
  <si>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</si>
  <si>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</si>
  <si>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</si>
  <si>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Tipo</t>
  </si>
  <si>
    <t>Pá Carregadeira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</si>
  <si>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</si>
  <si>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</si>
  <si>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</si>
  <si>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</si>
  <si>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</si>
  <si>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</si>
  <si>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</si>
  <si>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</si>
  <si>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</si>
  <si>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</si>
  <si>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</si>
  <si>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</si>
  <si>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</si>
  <si>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</si>
  <si>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- https://www3.epa.gov/ttn/chief/ap42/ch13/final/c13s0204.pdf</t>
  </si>
  <si>
    <t>Velocidade do Vento (m/s)</t>
  </si>
  <si>
    <t>Escavadeira</t>
  </si>
  <si>
    <t>Material</t>
  </si>
  <si>
    <t xml:space="preserve">Fonte Emissora </t>
  </si>
  <si>
    <t>Não Pavimentada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</si>
  <si>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</si>
  <si>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</si>
  <si>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</si>
  <si>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</si>
  <si>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</si>
  <si>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</si>
  <si>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</si>
  <si>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</si>
  <si>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</si>
  <si>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</si>
  <si>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</si>
  <si>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</si>
  <si>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</si>
  <si>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</si>
  <si>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</si>
  <si>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</si>
  <si>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</si>
  <si>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</si>
  <si>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</si>
  <si>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</si>
  <si>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</si>
  <si>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</si>
  <si>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</si>
  <si>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</si>
  <si>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</si>
  <si>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</si>
  <si>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</si>
  <si>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</si>
  <si>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</si>
  <si>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</si>
  <si>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</si>
  <si>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</si>
  <si>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</si>
  <si>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</si>
  <si>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</si>
  <si>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</si>
  <si>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</si>
  <si>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</si>
  <si>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</si>
  <si>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</si>
  <si>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</si>
  <si>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</si>
  <si>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</si>
  <si>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Excavator
(Escavadeira)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</si>
  <si>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</si>
  <si>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</si>
  <si>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</si>
  <si>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</si>
  <si>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</si>
  <si>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</si>
  <si>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</si>
  <si>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>Quantidade Movimentada (t)</t>
  </si>
  <si>
    <t>Área superficial detonada (m²)</t>
  </si>
  <si>
    <t>Número de Detonações/ano</t>
  </si>
  <si>
    <t xml:space="preserve">Fator de Emissão </t>
  </si>
  <si>
    <t>DET - Detonação</t>
  </si>
  <si>
    <t>Tipo de Explosivo</t>
  </si>
  <si>
    <t>Número de furos/ano</t>
  </si>
  <si>
    <t xml:space="preserve">PER - Perfuração </t>
  </si>
  <si>
    <t>Fator de Emissão [kg/hole]</t>
  </si>
  <si>
    <t>Drilling - Overburden</t>
  </si>
  <si>
    <t>AP42 - 11.9 Western Surface Coal Mining</t>
  </si>
  <si>
    <t xml:space="preserve"> Table 11.9-2 - Emission Factor Equations for Uncontrolled Open Dust Sources at Western Surface Coal Mines</t>
  </si>
  <si>
    <t>Fator de Emissão [kg/blast]</t>
  </si>
  <si>
    <t>Coal or Overburden</t>
  </si>
  <si>
    <t>Explosivo</t>
  </si>
  <si>
    <t>Fator de Emissão [kg/Mg]</t>
  </si>
  <si>
    <t>Quantidade Movimentada (t/h)</t>
  </si>
  <si>
    <t>Source</t>
  </si>
  <si>
    <t>Screening</t>
  </si>
  <si>
    <t>ND</t>
  </si>
  <si>
    <t>Fonte: USEPA (1998) https://www3.epa.gov/ttn/chief/ap42/ch11/final/c11s09.pdf
NPI (2012) http://www.npi.gov.au/system/files/resources/7e04163a-12ba-6864-d19a-f57d960aae58/files/mining.pdf</t>
  </si>
  <si>
    <t>AP42 - 11.9 Western Surface Coal Mining/NPI  - Emission Estimation Technique Manual for Mining</t>
  </si>
  <si>
    <t xml:space="preserve"> Table 11.9-4 - AP-42/ Table 2 - NPI </t>
  </si>
  <si>
    <t>Controle</t>
  </si>
  <si>
    <t>Número de detonações/ano</t>
  </si>
  <si>
    <t>A = área superficial detonada (m²)</t>
  </si>
  <si>
    <t>Equação</t>
  </si>
  <si>
    <r>
      <t>PM</t>
    </r>
    <r>
      <rPr>
        <vertAlign val="subscript"/>
        <sz val="8"/>
        <color theme="1"/>
        <rFont val="Arial"/>
        <family val="2"/>
      </rPr>
      <t>2.5</t>
    </r>
  </si>
  <si>
    <t>Transferências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</si>
  <si>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</si>
  <si>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 xml:space="preserve">BRT - Britador Primário </t>
  </si>
  <si>
    <t>TR - Car. Caminhão Lavra</t>
  </si>
  <si>
    <t>Fonte: USEPA (2004) https://www3.epa.gov/ttn/chief/ap42/ch11/final/c11s1902.pdf</t>
  </si>
  <si>
    <t>AP42 - 11.19.2  Crushed Stone Processing and Pulverized Mineral Processing</t>
  </si>
  <si>
    <t xml:space="preserve"> Table 11.19.2-1 Emission Factors for Crushed Stone Processing Operations (kg/Mg)</t>
  </si>
  <si>
    <t xml:space="preserve">Tertiary Crushing </t>
  </si>
  <si>
    <t>Tertiary Crushing (Controlled)</t>
  </si>
  <si>
    <t>Screnning (Controlled)</t>
  </si>
  <si>
    <r>
      <t>PM</t>
    </r>
    <r>
      <rPr>
        <b/>
        <vertAlign val="subscript"/>
        <sz val="8"/>
        <color theme="0"/>
        <rFont val="Arial"/>
        <family val="2"/>
      </rPr>
      <t xml:space="preserve">2,5 </t>
    </r>
  </si>
  <si>
    <t>Emission Factor Rating</t>
  </si>
  <si>
    <t>E</t>
  </si>
  <si>
    <t>C</t>
  </si>
  <si>
    <t xml:space="preserve">PEN - Peneiramento </t>
  </si>
  <si>
    <t>Horário de Funcionamento</t>
  </si>
  <si>
    <t>TR - Desc. Britador Primário</t>
  </si>
  <si>
    <t>Umectação</t>
  </si>
  <si>
    <t>Via Trecho 1</t>
  </si>
  <si>
    <t>Via Trecho 2</t>
  </si>
  <si>
    <t>Via Trecho 3</t>
  </si>
  <si>
    <t>Perfuração e Detonação</t>
  </si>
  <si>
    <t>Máquinas e Equipamentos</t>
  </si>
  <si>
    <t>Britagem e Peneiramento</t>
  </si>
  <si>
    <t>Vias de Tráfego</t>
  </si>
  <si>
    <t>Erosão Eólica</t>
  </si>
  <si>
    <t>Fontes Emissoras</t>
  </si>
  <si>
    <t>Total</t>
  </si>
  <si>
    <t>-</t>
  </si>
  <si>
    <t>06:00 às 12:00</t>
  </si>
  <si>
    <t>13:00 às 17:00</t>
  </si>
  <si>
    <t>Quant. explosivos por detonação (kg/detonação)</t>
  </si>
  <si>
    <t>Pó de Brita</t>
  </si>
  <si>
    <t>Granalha</t>
  </si>
  <si>
    <t>Brita 0</t>
  </si>
  <si>
    <t>Brita 1</t>
  </si>
  <si>
    <t>Brita 2</t>
  </si>
  <si>
    <t>Brita 3</t>
  </si>
  <si>
    <t>Brita 4</t>
  </si>
  <si>
    <t>Pedra Marroada</t>
  </si>
  <si>
    <t>Solo Brita</t>
  </si>
  <si>
    <t>Bica Corrida C</t>
  </si>
  <si>
    <t>Graduada FX C</t>
  </si>
  <si>
    <t>Pedra Enroc.</t>
  </si>
  <si>
    <t>BGS</t>
  </si>
  <si>
    <t>Graduada Faixa</t>
  </si>
  <si>
    <t>Pedra Detonada</t>
  </si>
  <si>
    <t>TR - Empilhamento Pilha Pulmão 1</t>
  </si>
  <si>
    <t>TR - Pilha Pulmão 1-2</t>
  </si>
  <si>
    <t>TR - Empilhamento Pilha Pulmão 2</t>
  </si>
  <si>
    <t>Fonte: USEPA (1980) https://www3.epa.gov/ttn/chief/ap42/ch13/final/c13s03.pdf</t>
  </si>
  <si>
    <t>AP42 - 13.3 Explosives Detonation</t>
  </si>
  <si>
    <t>TR - Britadores Cone</t>
  </si>
  <si>
    <t>TR - Peneiras</t>
  </si>
  <si>
    <t>BRT - Britadores Cone</t>
  </si>
  <si>
    <t>Table 13.3-1 Emission Factors for Detonation of Explosives</t>
  </si>
  <si>
    <t>Dynamite, ammonia</t>
  </si>
  <si>
    <t>Pavimentada</t>
  </si>
  <si>
    <t>Desgaste Pneus e Freio</t>
  </si>
  <si>
    <t>Desgaste da Pista</t>
  </si>
  <si>
    <t>Número de Horas com Precipitação &gt; 0,254 mm</t>
  </si>
  <si>
    <t>Table 13.2.1-1. PARTICLE SIZE MULTIPLIERS FOR PAVED ROAD EQUATION</t>
  </si>
  <si>
    <t>Size Range</t>
  </si>
  <si>
    <t>Particle Size Multiplier (k)</t>
  </si>
  <si>
    <t xml:space="preserve">Fonte: USEPA (2011)https://www3.epa.gov/ttn/chief/ap42/ch13/final/c13s0201.pdf </t>
  </si>
  <si>
    <t>Onde:
FE - fator de emissão de material particulado (g/km)
k - constante de tamanho da partícula (g/VKT)
sL - taxa de silt na superfície de rodagem (g/m²)
W - peso médio dos veículos que trafegam na via (t)
P - número de horas onde a precipitação durante o período observado foi no mínimo 0,254 mm
N - número de horas do período observado (Ex: 8760 para anual, 2124 por estação, 720 para mensal)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</si>
  <si>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</si>
  <si>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Fonte: Informações fornecidos pelo empreendimento à solicitação dos Ofícios</t>
  </si>
  <si>
    <t>TR - Empilhamento Produto Final</t>
  </si>
  <si>
    <t>TR - Car. Caminhão</t>
  </si>
  <si>
    <t>Dinamite</t>
  </si>
  <si>
    <t>Eficiência [%]</t>
  </si>
  <si>
    <t>Umidade do Material [%]</t>
  </si>
  <si>
    <t>Movimentação material [t/h]</t>
  </si>
  <si>
    <t>Fator de Emissão [kg/t]</t>
  </si>
  <si>
    <t>Quantidade Movimentada [t/h]</t>
  </si>
  <si>
    <t>Eficiência de Controle [%]</t>
  </si>
  <si>
    <t>Fator - Desgaste da Pista [kg/km]</t>
  </si>
  <si>
    <t>Fator - Desgaste Pneus e Freio [kg/km]</t>
  </si>
  <si>
    <t>Fator de Emissão - Gases Escapamento [kg/km]</t>
  </si>
  <si>
    <t>Fator de Emissão - Ressuspensão [kg/VKT]</t>
  </si>
  <si>
    <t>Peso Médio dos Caminhões [t]</t>
  </si>
  <si>
    <t>Teor de Silte [%] ou [g/m²]</t>
  </si>
  <si>
    <t>DMT  [km/h]</t>
  </si>
  <si>
    <t>Capacidade do Caminhão [t]</t>
  </si>
  <si>
    <t>Comprimento [m]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</si>
  <si>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</si>
  <si>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Fator de Emissão [kg/furo]</t>
  </si>
  <si>
    <t>Área Superficial Detonada [m²/detonação]</t>
  </si>
  <si>
    <t>Explosivo
[t/ano]</t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</si>
  <si>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[kg/det]</t>
    </r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</si>
  <si>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[kg/det]</t>
    </r>
  </si>
  <si>
    <t>PM [kg/det]</t>
  </si>
  <si>
    <t>CO [kg/t]</t>
  </si>
  <si>
    <t>Aspersão</t>
  </si>
  <si>
    <t>Fonte: Informações fornecidas pelo empreendimento através de resposta ao Ofício</t>
  </si>
  <si>
    <t>Número de furos (por bancada)</t>
  </si>
  <si>
    <t>Nota: Como não foi informado o ano dos equipamentos, foi considerado, de forma conservadora, os fatores de 2007.</t>
  </si>
  <si>
    <t>TOTAL</t>
  </si>
  <si>
    <t>TOTAL (PERFURAÇÃO)</t>
  </si>
  <si>
    <t>TOTAL (DETONAÇÃO)</t>
  </si>
  <si>
    <t>TOTAL (BRITAGEM)</t>
  </si>
  <si>
    <t>TOTAL (PENEIRAMENTO)</t>
  </si>
  <si>
    <t>VOC</t>
  </si>
  <si>
    <t>Latitude [º]</t>
  </si>
  <si>
    <t>Longitude [º]</t>
  </si>
  <si>
    <t>Nota: "Erosão Eólica" foi calculada na Planilha: Erosão Eólica_Sobrita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</si>
</sst>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0.000000"/>
    <numFmt numFmtId="170" formatCode="#,##0.00000"/>
    <numFmt numFmtId="171" formatCode="0.00000000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0"/>
      <name val="Arial"/>
      <family val="2"/>
    </font>
    <font>
      <sz val="8"/>
      <color theme="0"/>
      <name val="Arial"/>
      <family val="2"/>
    </font>
    <font>
      <b/>
      <sz val="9"/>
      <color indexed="81"/>
      <name val="Segoe UI"/>
      <family val="2"/>
    </font>
    <font>
      <b/>
      <sz val="8"/>
      <color rgb="FFFF0000"/>
      <name val="Arial"/>
      <family val="2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1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6" xfId="0" applyFont="1" applyFill="1" applyBorder="1" applyAlignment="1"/>
    <xf numFmtId="0" fontId="1" fillId="4" borderId="20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2" fontId="1" fillId="3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1" fontId="1" fillId="0" borderId="6" xfId="0" applyNumberFormat="1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2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67" fontId="0" fillId="0" borderId="0" xfId="0" applyNumberFormat="1"/>
    <xf numFmtId="2" fontId="0" fillId="0" borderId="0" xfId="0" applyNumberFormat="1"/>
    <xf numFmtId="0" fontId="8" fillId="0" borderId="0" xfId="0" applyFont="1" applyFill="1"/>
    <xf numFmtId="0" fontId="1" fillId="0" borderId="1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13" fillId="0" borderId="1" xfId="0" applyFont="1" applyFill="1" applyBorder="1" applyAlignment="1">
      <alignment horizontal="center" vertical="center"/>
    </xf>
    <xf numFmtId="171" fontId="0" fillId="0" borderId="0" xfId="0" applyNumberFormat="1"/>
    <xf numFmtId="3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2" fontId="1" fillId="0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Border="1"/>
    <xf numFmtId="165" fontId="1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4" fontId="1" fillId="0" borderId="20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1" fontId="0" fillId="0" borderId="0" xfId="0" applyNumberForma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6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/>
    </xf>
    <xf numFmtId="170" fontId="1" fillId="0" borderId="20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2" xfId="0" applyNumberFormat="1" applyFont="1" applyFill="1" applyBorder="1" applyAlignment="1" applyProtection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11</xdr:row>
      <xdr:rowOff>80962</xdr:rowOff>
    </xdr:from>
    <xdr:ext cx="8423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2</xdr:col>
      <xdr:colOff>0</xdr:colOff>
      <xdr:row>11</xdr:row>
      <xdr:rowOff>80962</xdr:rowOff>
    </xdr:from>
    <xdr:ext cx="1230144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0,52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0,52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3</xdr:col>
      <xdr:colOff>9525</xdr:colOff>
      <xdr:row>11</xdr:row>
      <xdr:rowOff>80962</xdr:rowOff>
    </xdr:from>
    <xdr:ext cx="12301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0,03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0,03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19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9</xdr:row>
      <xdr:rowOff>76200</xdr:rowOff>
    </xdr:from>
    <xdr:to>
      <xdr:col>3</xdr:col>
      <xdr:colOff>809625</xdr:colOff>
      <xdr:row>11</xdr:row>
      <xdr:rowOff>1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466975" y="2028825"/>
          <a:ext cx="102870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1</xdr:col>
      <xdr:colOff>95250</xdr:colOff>
      <xdr:row>24</xdr:row>
      <xdr:rowOff>185737</xdr:rowOff>
    </xdr:from>
    <xdr:ext cx="23431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990600" y="4852987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𝑠𝐿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0,91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1,02</m:t>
                            </m:r>
                          </m:sup>
                        </m:s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1−1,2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990600" y="4852987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𝐹𝐸=(𝑘 . 〖𝑠𝐿〗^0,91. 𝑊^1,02 )  . (1−1,2𝑃/𝑁)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571501</xdr:colOff>
      <xdr:row>24</xdr:row>
      <xdr:rowOff>104775</xdr:rowOff>
    </xdr:from>
    <xdr:to>
      <xdr:col>3</xdr:col>
      <xdr:colOff>790575</xdr:colOff>
      <xdr:row>26</xdr:row>
      <xdr:rowOff>47625</xdr:rowOff>
    </xdr:to>
    <xdr:sp macro="" textlink="">
      <xdr:nvSpPr>
        <xdr:cNvPr id="6" name="Elipse 5"/>
        <xdr:cNvSpPr/>
      </xdr:nvSpPr>
      <xdr:spPr>
        <a:xfrm>
          <a:off x="2362201" y="5219700"/>
          <a:ext cx="1114424" cy="32385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581025</xdr:colOff>
      <xdr:row>9</xdr:row>
      <xdr:rowOff>66675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81025" y="201930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581025" y="201930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workbookViewId="0">
      <selection activeCell="C29" sqref="C29"/>
    </sheetView>
  </sheetViews>
  <sheetFormatPr defaultColWidth="16" defaultRowHeight="15" customHeight="1" x14ac:dyDescent="0.2"/>
  <cols>
    <col min="1" max="1" width="34.5703125" style="1" customWidth="1"/>
    <col min="2" max="2" width="20.5703125" style="1" customWidth="1"/>
    <col min="3" max="3" width="21.7109375" style="1" customWidth="1"/>
    <col min="4" max="16384" width="16" style="1"/>
  </cols>
  <sheetData>
    <row r="1" spans="1:4" ht="15" customHeight="1" x14ac:dyDescent="0.2">
      <c r="A1" s="3" t="s">
        <v>220</v>
      </c>
    </row>
    <row r="2" spans="1:4" ht="15" customHeight="1" x14ac:dyDescent="0.25">
      <c r="A2" s="141" t="s">
        <v>140</v>
      </c>
      <c r="B2"/>
    </row>
    <row r="3" spans="1:4" ht="15" customHeight="1" x14ac:dyDescent="0.2">
      <c r="A3" s="32" t="s">
        <v>154</v>
      </c>
    </row>
    <row r="4" spans="1:4" ht="15" customHeight="1" x14ac:dyDescent="0.2">
      <c r="A4" s="32" t="s">
        <v>155</v>
      </c>
    </row>
    <row r="6" spans="1:4" ht="15" customHeight="1" x14ac:dyDescent="0.2">
      <c r="A6" s="101" t="s">
        <v>43</v>
      </c>
      <c r="B6" s="101" t="s">
        <v>97</v>
      </c>
      <c r="C6" s="101" t="s">
        <v>113</v>
      </c>
      <c r="D6" s="113"/>
    </row>
    <row r="7" spans="1:4" ht="15" customHeight="1" x14ac:dyDescent="0.2">
      <c r="A7" s="6" t="s">
        <v>157</v>
      </c>
      <c r="B7" s="135">
        <v>81051.649999999994</v>
      </c>
      <c r="C7" s="116">
        <f>B7/8760</f>
        <v>9.2524714611872145</v>
      </c>
      <c r="D7" s="48"/>
    </row>
    <row r="8" spans="1:4" ht="15" customHeight="1" x14ac:dyDescent="0.2">
      <c r="A8" s="6" t="s">
        <v>158</v>
      </c>
      <c r="B8" s="135">
        <v>73318.87</v>
      </c>
      <c r="C8" s="116">
        <f t="shared" ref="C8:C22" si="0">B8/8760</f>
        <v>8.3697340182648396</v>
      </c>
      <c r="D8" s="110"/>
    </row>
    <row r="9" spans="1:4" ht="15" customHeight="1" x14ac:dyDescent="0.2">
      <c r="A9" s="6" t="s">
        <v>159</v>
      </c>
      <c r="B9" s="135">
        <v>100309.2</v>
      </c>
      <c r="C9" s="116">
        <f t="shared" si="0"/>
        <v>11.450821917808218</v>
      </c>
      <c r="D9" s="110"/>
    </row>
    <row r="10" spans="1:4" ht="15" customHeight="1" x14ac:dyDescent="0.2">
      <c r="A10" s="6" t="s">
        <v>160</v>
      </c>
      <c r="B10" s="135">
        <v>59913.88</v>
      </c>
      <c r="C10" s="116">
        <f t="shared" si="0"/>
        <v>6.83948401826484</v>
      </c>
      <c r="D10" s="110"/>
    </row>
    <row r="11" spans="1:4" ht="15" customHeight="1" x14ac:dyDescent="0.2">
      <c r="A11" s="6" t="s">
        <v>161</v>
      </c>
      <c r="B11" s="135">
        <v>1709.48</v>
      </c>
      <c r="C11" s="116">
        <f t="shared" si="0"/>
        <v>0.19514611872146118</v>
      </c>
      <c r="D11" s="110"/>
    </row>
    <row r="12" spans="1:4" ht="15" customHeight="1" x14ac:dyDescent="0.2">
      <c r="A12" s="6" t="s">
        <v>162</v>
      </c>
      <c r="B12" s="135">
        <v>487.84</v>
      </c>
      <c r="C12" s="116">
        <f t="shared" si="0"/>
        <v>5.5689497716894971E-2</v>
      </c>
      <c r="D12" s="110"/>
    </row>
    <row r="13" spans="1:4" ht="15" customHeight="1" x14ac:dyDescent="0.2">
      <c r="A13" s="6" t="s">
        <v>163</v>
      </c>
      <c r="B13" s="135">
        <v>71.02</v>
      </c>
      <c r="C13" s="116">
        <f t="shared" si="0"/>
        <v>8.1073059360730598E-3</v>
      </c>
      <c r="D13" s="110"/>
    </row>
    <row r="14" spans="1:4" ht="15" customHeight="1" x14ac:dyDescent="0.2">
      <c r="A14" s="6" t="s">
        <v>164</v>
      </c>
      <c r="B14" s="135">
        <v>17519.060000000001</v>
      </c>
      <c r="C14" s="116">
        <f t="shared" si="0"/>
        <v>1.999892694063927</v>
      </c>
      <c r="D14" s="110"/>
    </row>
    <row r="15" spans="1:4" ht="15" customHeight="1" x14ac:dyDescent="0.2">
      <c r="A15" s="6" t="s">
        <v>165</v>
      </c>
      <c r="B15" s="135">
        <v>50284.639999999999</v>
      </c>
      <c r="C15" s="116">
        <f t="shared" si="0"/>
        <v>5.7402557077625573</v>
      </c>
      <c r="D15" s="118"/>
    </row>
    <row r="16" spans="1:4" ht="15" customHeight="1" x14ac:dyDescent="0.2">
      <c r="A16" s="32" t="s">
        <v>166</v>
      </c>
      <c r="B16" s="143">
        <v>19719.77</v>
      </c>
      <c r="C16" s="116">
        <f t="shared" si="0"/>
        <v>2.2511152968036532</v>
      </c>
      <c r="D16" s="110"/>
    </row>
    <row r="17" spans="1:4" ht="15" customHeight="1" x14ac:dyDescent="0.2">
      <c r="A17" s="32" t="s">
        <v>167</v>
      </c>
      <c r="B17" s="143">
        <v>379.28</v>
      </c>
      <c r="C17" s="116">
        <f t="shared" si="0"/>
        <v>4.3296803652968036E-2</v>
      </c>
      <c r="D17" s="110"/>
    </row>
    <row r="18" spans="1:4" ht="15" customHeight="1" x14ac:dyDescent="0.2">
      <c r="A18" s="32" t="s">
        <v>168</v>
      </c>
      <c r="B18" s="143">
        <v>307.73</v>
      </c>
      <c r="C18" s="116">
        <f t="shared" si="0"/>
        <v>3.5128995433789958E-2</v>
      </c>
      <c r="D18" s="110"/>
    </row>
    <row r="19" spans="1:4" ht="15" customHeight="1" x14ac:dyDescent="0.2">
      <c r="A19" s="32" t="s">
        <v>169</v>
      </c>
      <c r="B19" s="143">
        <v>833.96</v>
      </c>
      <c r="C19" s="116">
        <f t="shared" si="0"/>
        <v>9.5200913242009133E-2</v>
      </c>
      <c r="D19" s="110"/>
    </row>
    <row r="20" spans="1:4" ht="15" customHeight="1" x14ac:dyDescent="0.2">
      <c r="A20" s="32" t="s">
        <v>170</v>
      </c>
      <c r="B20" s="143">
        <v>364.74</v>
      </c>
      <c r="C20" s="116">
        <f t="shared" si="0"/>
        <v>4.1636986301369867E-2</v>
      </c>
      <c r="D20" s="110"/>
    </row>
    <row r="21" spans="1:4" ht="15" customHeight="1" x14ac:dyDescent="0.2">
      <c r="A21" s="32" t="s">
        <v>171</v>
      </c>
      <c r="B21" s="143">
        <v>131069.85</v>
      </c>
      <c r="C21" s="116">
        <f t="shared" si="0"/>
        <v>14.962311643835617</v>
      </c>
      <c r="D21" s="110"/>
    </row>
    <row r="22" spans="1:4" ht="15" customHeight="1" x14ac:dyDescent="0.2">
      <c r="A22" s="51" t="s">
        <v>152</v>
      </c>
      <c r="B22" s="114">
        <f>SUM(B7:B21)</f>
        <v>537340.97000000009</v>
      </c>
      <c r="C22" s="117">
        <f t="shared" si="0"/>
        <v>61.340293378995447</v>
      </c>
      <c r="D22" s="110"/>
    </row>
    <row r="23" spans="1:4" ht="15" customHeight="1" x14ac:dyDescent="0.2">
      <c r="A23" s="111"/>
      <c r="B23" s="112"/>
      <c r="C23" s="112"/>
      <c r="D23" s="112"/>
    </row>
    <row r="25" spans="1:4" ht="15" customHeight="1" x14ac:dyDescent="0.2">
      <c r="A25" s="52" t="s">
        <v>221</v>
      </c>
      <c r="B25" s="32">
        <v>25</v>
      </c>
      <c r="C25" s="2"/>
    </row>
    <row r="26" spans="1:4" ht="15" customHeight="1" x14ac:dyDescent="0.2">
      <c r="A26" s="2"/>
    </row>
    <row r="27" spans="1:4" ht="15" customHeight="1" x14ac:dyDescent="0.2">
      <c r="A27" s="33" t="s">
        <v>98</v>
      </c>
      <c r="B27" s="6">
        <v>800</v>
      </c>
    </row>
    <row r="28" spans="1:4" ht="15" customHeight="1" x14ac:dyDescent="0.2">
      <c r="A28" s="33" t="s">
        <v>102</v>
      </c>
      <c r="B28" s="6" t="s">
        <v>195</v>
      </c>
    </row>
    <row r="29" spans="1:4" ht="15" customHeight="1" x14ac:dyDescent="0.2">
      <c r="A29" s="33" t="s">
        <v>156</v>
      </c>
      <c r="B29" s="6">
        <v>850</v>
      </c>
    </row>
    <row r="30" spans="1:4" ht="15" customHeight="1" x14ac:dyDescent="0.2">
      <c r="A30" s="52" t="s">
        <v>121</v>
      </c>
      <c r="B30" s="6">
        <v>22</v>
      </c>
    </row>
    <row r="33" spans="1:7" ht="15" customHeight="1" x14ac:dyDescent="0.2">
      <c r="F33" s="115"/>
    </row>
    <row r="35" spans="1:7" ht="15" customHeight="1" x14ac:dyDescent="0.2">
      <c r="A35" s="140"/>
      <c r="B35" s="140"/>
      <c r="C35" s="137"/>
      <c r="D35" s="137"/>
      <c r="E35" s="137"/>
      <c r="F35" s="137"/>
      <c r="G35" s="137"/>
    </row>
    <row r="36" spans="1:7" ht="15" customHeight="1" x14ac:dyDescent="0.2">
      <c r="A36" s="138"/>
      <c r="B36" s="138"/>
      <c r="C36" s="137"/>
      <c r="D36" s="137"/>
      <c r="E36" s="137"/>
      <c r="F36" s="137"/>
      <c r="G36" s="137"/>
    </row>
    <row r="37" spans="1:7" ht="15" customHeight="1" x14ac:dyDescent="0.2">
      <c r="A37" s="137"/>
      <c r="B37" s="137"/>
      <c r="C37" s="137"/>
      <c r="D37" s="137"/>
      <c r="E37" s="137"/>
      <c r="F37" s="137"/>
      <c r="G37" s="137"/>
    </row>
    <row r="38" spans="1:7" ht="15" customHeight="1" x14ac:dyDescent="0.2">
      <c r="A38" s="137"/>
      <c r="B38" s="137"/>
      <c r="C38" s="137"/>
      <c r="D38" s="137"/>
      <c r="E38" s="137"/>
      <c r="F38" s="137"/>
      <c r="G38" s="137"/>
    </row>
    <row r="39" spans="1:7" ht="15" customHeight="1" x14ac:dyDescent="0.2">
      <c r="A39" s="137"/>
      <c r="B39" s="137"/>
      <c r="C39" s="137"/>
      <c r="D39" s="137"/>
      <c r="E39" s="137"/>
      <c r="F39" s="137"/>
      <c r="G39" s="137"/>
    </row>
    <row r="40" spans="1:7" ht="15" customHeight="1" x14ac:dyDescent="0.2">
      <c r="A40" s="137"/>
      <c r="B40" s="137"/>
      <c r="C40" s="137"/>
      <c r="D40" s="137"/>
      <c r="E40" s="137"/>
      <c r="F40" s="137"/>
      <c r="G40" s="137"/>
    </row>
    <row r="41" spans="1:7" ht="15" customHeight="1" x14ac:dyDescent="0.2">
      <c r="A41" s="139"/>
      <c r="B41" s="137"/>
      <c r="C41" s="137"/>
      <c r="D41" s="137"/>
      <c r="E41" s="137"/>
      <c r="F41" s="137"/>
      <c r="G41" s="137"/>
    </row>
    <row r="42" spans="1:7" ht="15" customHeight="1" x14ac:dyDescent="0.2">
      <c r="A42" s="139"/>
      <c r="B42" s="137"/>
      <c r="C42" s="137"/>
      <c r="D42" s="137"/>
      <c r="E42" s="137"/>
      <c r="F42" s="137"/>
      <c r="G42" s="137"/>
    </row>
    <row r="43" spans="1:7" ht="15" customHeight="1" x14ac:dyDescent="0.2">
      <c r="A43" s="139"/>
      <c r="B43" s="137"/>
      <c r="C43" s="137"/>
      <c r="D43" s="137"/>
      <c r="E43" s="137"/>
      <c r="F43" s="137"/>
      <c r="G43" s="137"/>
    </row>
    <row r="44" spans="1:7" ht="15" customHeight="1" x14ac:dyDescent="0.2">
      <c r="A44" s="137"/>
      <c r="B44" s="137"/>
      <c r="C44" s="137"/>
      <c r="D44" s="137"/>
      <c r="E44" s="137"/>
      <c r="F44" s="137"/>
      <c r="G44" s="137"/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workbookViewId="0">
      <selection activeCell="E17" sqref="E17"/>
    </sheetView>
  </sheetViews>
  <sheetFormatPr defaultRowHeight="15" x14ac:dyDescent="0.25"/>
  <cols>
    <col min="1" max="1" width="52.140625" bestFit="1" customWidth="1"/>
    <col min="2" max="2" width="14.140625" customWidth="1"/>
    <col min="3" max="3" width="16.7109375" customWidth="1"/>
    <col min="4" max="4" width="13.7109375" customWidth="1"/>
    <col min="5" max="5" width="13.140625" customWidth="1"/>
    <col min="6" max="10" width="11.140625" customWidth="1"/>
    <col min="11" max="11" width="9.28515625" customWidth="1"/>
    <col min="12" max="12" width="11" customWidth="1"/>
  </cols>
  <sheetData>
    <row r="1" spans="1:13" ht="18" customHeight="1" x14ac:dyDescent="0.25">
      <c r="A1" s="205" t="s">
        <v>0</v>
      </c>
      <c r="B1" s="211" t="s">
        <v>229</v>
      </c>
      <c r="C1" s="211" t="s">
        <v>230</v>
      </c>
      <c r="D1" s="205" t="s">
        <v>200</v>
      </c>
      <c r="E1" s="208" t="s">
        <v>199</v>
      </c>
      <c r="F1" s="209"/>
      <c r="G1" s="209"/>
      <c r="H1" s="205" t="s">
        <v>120</v>
      </c>
      <c r="I1" s="205" t="s">
        <v>201</v>
      </c>
      <c r="J1" s="207" t="s">
        <v>1</v>
      </c>
      <c r="K1" s="207"/>
      <c r="L1" s="224"/>
    </row>
    <row r="2" spans="1:13" ht="18" customHeight="1" x14ac:dyDescent="0.25">
      <c r="A2" s="205"/>
      <c r="B2" s="211"/>
      <c r="C2" s="211"/>
      <c r="D2" s="205"/>
      <c r="E2" s="74" t="s">
        <v>35</v>
      </c>
      <c r="F2" s="74" t="s">
        <v>60</v>
      </c>
      <c r="G2" s="77" t="s">
        <v>135</v>
      </c>
      <c r="H2" s="205"/>
      <c r="I2" s="205"/>
      <c r="J2" s="78" t="s">
        <v>35</v>
      </c>
      <c r="K2" s="63" t="s">
        <v>60</v>
      </c>
      <c r="L2" s="63" t="s">
        <v>135</v>
      </c>
    </row>
    <row r="3" spans="1:13" x14ac:dyDescent="0.25">
      <c r="A3" s="4" t="s">
        <v>127</v>
      </c>
      <c r="B3" s="119">
        <v>-20.173967000000001</v>
      </c>
      <c r="C3" s="119">
        <v>-40.270024999999997</v>
      </c>
      <c r="D3" s="67">
        <f>SUM(Dados!C7:C20)</f>
        <v>46.377981735159821</v>
      </c>
      <c r="E3" s="65">
        <f>'FE-Britagem e Peneiramento'!B5</f>
        <v>2.7000000000000001E-3</v>
      </c>
      <c r="F3" s="65">
        <f>'FE-Britagem e Peneiramento'!D5</f>
        <v>1.1999999999999999E-3</v>
      </c>
      <c r="G3" s="84">
        <f>('FE-Britagem e Peneiramento'!$F$6/'FE-Britagem e Peneiramento'!$D$6)*'FE-Britagem e Peneiramento'!$D$5</f>
        <v>2.2222222222222223E-4</v>
      </c>
      <c r="H3" s="6" t="s">
        <v>142</v>
      </c>
      <c r="I3" s="6">
        <v>50</v>
      </c>
      <c r="J3" s="148">
        <f>D3*E3*(1-I3/100)</f>
        <v>6.2610275342465757E-2</v>
      </c>
      <c r="K3" s="148">
        <f>D3*F3*(1-I3/100)</f>
        <v>2.7826789041095892E-2</v>
      </c>
      <c r="L3" s="149">
        <f>D3*G3*(1-I3/100)</f>
        <v>5.1531090816844252E-3</v>
      </c>
    </row>
    <row r="4" spans="1:13" x14ac:dyDescent="0.25">
      <c r="A4" s="4" t="s">
        <v>179</v>
      </c>
      <c r="B4" s="119">
        <v>-20.175103</v>
      </c>
      <c r="C4" s="119">
        <v>-40.269328999999999</v>
      </c>
      <c r="D4" s="67">
        <f>D3*0.5</f>
        <v>23.188990867579911</v>
      </c>
      <c r="E4" s="76">
        <f>'FE-Britagem e Peneiramento'!B5</f>
        <v>2.7000000000000001E-3</v>
      </c>
      <c r="F4" s="76">
        <f>'FE-Britagem e Peneiramento'!D5</f>
        <v>1.1999999999999999E-3</v>
      </c>
      <c r="G4" s="84">
        <f>('FE-Britagem e Peneiramento'!$F$6/'FE-Britagem e Peneiramento'!$D$6)*'FE-Britagem e Peneiramento'!$D$5</f>
        <v>2.2222222222222223E-4</v>
      </c>
      <c r="H4" s="6" t="s">
        <v>142</v>
      </c>
      <c r="I4" s="6">
        <v>50</v>
      </c>
      <c r="J4" s="148">
        <f>D4*E4*(1-I4/100)</f>
        <v>3.1305137671232879E-2</v>
      </c>
      <c r="K4" s="148">
        <f>D4*F4*(1-I4/100)</f>
        <v>1.3913394520547946E-2</v>
      </c>
      <c r="L4" s="148">
        <f>D4*G4*(1-I4/100)</f>
        <v>2.5765545408422126E-3</v>
      </c>
    </row>
    <row r="5" spans="1:13" x14ac:dyDescent="0.25">
      <c r="A5" s="225" t="s">
        <v>226</v>
      </c>
      <c r="B5" s="200"/>
      <c r="C5" s="200"/>
      <c r="D5" s="200"/>
      <c r="E5" s="200"/>
      <c r="F5" s="200"/>
      <c r="G5" s="200"/>
      <c r="H5" s="200"/>
      <c r="I5" s="226"/>
      <c r="J5" s="31">
        <f>SUM(J3:J4)</f>
        <v>9.3915413013698629E-2</v>
      </c>
      <c r="K5" s="31">
        <f>SUM(K3:K4)</f>
        <v>4.1740183561643836E-2</v>
      </c>
      <c r="L5" s="31">
        <f>SUM(L3:L4)</f>
        <v>7.7296636225266373E-3</v>
      </c>
    </row>
    <row r="6" spans="1:13" x14ac:dyDescent="0.25">
      <c r="A6" s="79"/>
      <c r="B6" s="79"/>
      <c r="C6" s="79"/>
      <c r="E6" s="1"/>
      <c r="F6" s="1"/>
      <c r="G6" s="1"/>
      <c r="H6" s="1"/>
      <c r="I6" s="1"/>
      <c r="J6" s="1"/>
      <c r="K6" s="1"/>
      <c r="L6" s="1"/>
    </row>
    <row r="7" spans="1:13" ht="19.5" customHeight="1" x14ac:dyDescent="0.25">
      <c r="A7" s="205" t="s">
        <v>0</v>
      </c>
      <c r="B7" s="211" t="s">
        <v>229</v>
      </c>
      <c r="C7" s="211" t="s">
        <v>230</v>
      </c>
      <c r="D7" s="205" t="s">
        <v>200</v>
      </c>
      <c r="E7" s="208" t="s">
        <v>199</v>
      </c>
      <c r="F7" s="209"/>
      <c r="G7" s="210"/>
      <c r="H7" s="206" t="s">
        <v>1</v>
      </c>
      <c r="I7" s="207"/>
      <c r="J7" s="224"/>
    </row>
    <row r="8" spans="1:13" ht="15.75" customHeight="1" x14ac:dyDescent="0.25">
      <c r="A8" s="205"/>
      <c r="B8" s="211"/>
      <c r="C8" s="211"/>
      <c r="D8" s="205"/>
      <c r="E8" s="74" t="s">
        <v>35</v>
      </c>
      <c r="F8" s="74" t="s">
        <v>60</v>
      </c>
      <c r="G8" s="74" t="s">
        <v>135</v>
      </c>
      <c r="H8" s="74" t="s">
        <v>35</v>
      </c>
      <c r="I8" s="74" t="s">
        <v>60</v>
      </c>
      <c r="J8" s="74" t="s">
        <v>135</v>
      </c>
    </row>
    <row r="9" spans="1:13" x14ac:dyDescent="0.25">
      <c r="A9" s="4" t="s">
        <v>139</v>
      </c>
      <c r="B9" s="119">
        <v>-20.174693999999999</v>
      </c>
      <c r="C9" s="119">
        <v>-40.269432000000002</v>
      </c>
      <c r="D9" s="67">
        <f>SUM(D3:D4)</f>
        <v>69.566972602739725</v>
      </c>
      <c r="E9" s="48">
        <f>'FE-Britagem e Peneiramento'!B7</f>
        <v>1.2500000000000001E-2</v>
      </c>
      <c r="F9" s="48">
        <f>'FE-Britagem e Peneiramento'!D7</f>
        <v>4.3E-3</v>
      </c>
      <c r="G9" s="80">
        <f>('FE-Britagem e Peneiramento'!$F$8/'FE-Britagem e Peneiramento'!$D$8)*'FE-Britagem e Peneiramento'!$D$7</f>
        <v>2.9054054054054054E-4</v>
      </c>
      <c r="H9" s="128">
        <f>D9*E9</f>
        <v>0.86958715753424665</v>
      </c>
      <c r="I9" s="128">
        <f>D9*F9</f>
        <v>0.29913798219178084</v>
      </c>
      <c r="J9" s="45">
        <f>D9*G9</f>
        <v>2.0212025823768975E-2</v>
      </c>
    </row>
    <row r="10" spans="1:13" x14ac:dyDescent="0.25">
      <c r="A10" s="213" t="s">
        <v>227</v>
      </c>
      <c r="B10" s="213"/>
      <c r="C10" s="213"/>
      <c r="D10" s="213"/>
      <c r="E10" s="213"/>
      <c r="F10" s="213"/>
      <c r="G10" s="213"/>
      <c r="H10" s="35">
        <f>SUM(H9:H9)</f>
        <v>0.86958715753424665</v>
      </c>
      <c r="I10" s="35">
        <f>SUM(I9:I9)</f>
        <v>0.29913798219178084</v>
      </c>
      <c r="J10" s="35">
        <f>SUM(J9:J9)</f>
        <v>2.0212025823768975E-2</v>
      </c>
    </row>
    <row r="11" spans="1:13" x14ac:dyDescent="0.25">
      <c r="A11" s="34"/>
      <c r="B11" s="34"/>
      <c r="C11" s="34"/>
      <c r="D11" s="1"/>
      <c r="E11" s="1"/>
      <c r="F11" s="34"/>
      <c r="G11" s="1"/>
      <c r="H11" s="1"/>
      <c r="I11" s="1"/>
      <c r="J11" s="1"/>
      <c r="K11" s="1"/>
      <c r="L11" s="1"/>
      <c r="M11" s="1"/>
    </row>
    <row r="13" spans="1:13" x14ac:dyDescent="0.25">
      <c r="A13" s="1"/>
      <c r="B13" s="1"/>
      <c r="C13" s="1"/>
    </row>
    <row r="15" spans="1:13" x14ac:dyDescent="0.25">
      <c r="A15" s="34"/>
      <c r="B15" s="34"/>
      <c r="C15" s="34"/>
    </row>
    <row r="16" spans="1:13" x14ac:dyDescent="0.25">
      <c r="A16" s="34"/>
      <c r="B16" s="34"/>
      <c r="C16" s="34"/>
    </row>
  </sheetData>
  <sheetProtection password="B056" sheet="1" objects="1" scenarios="1"/>
  <mergeCells count="16">
    <mergeCell ref="A10:G10"/>
    <mergeCell ref="J1:L1"/>
    <mergeCell ref="E1:G1"/>
    <mergeCell ref="A1:A2"/>
    <mergeCell ref="D1:D2"/>
    <mergeCell ref="H1:H2"/>
    <mergeCell ref="I1:I2"/>
    <mergeCell ref="B1:B2"/>
    <mergeCell ref="C1:C2"/>
    <mergeCell ref="A5:I5"/>
    <mergeCell ref="H7:J7"/>
    <mergeCell ref="E7:G7"/>
    <mergeCell ref="A7:A8"/>
    <mergeCell ref="D7:D8"/>
    <mergeCell ref="B7:B8"/>
    <mergeCell ref="C7:C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"/>
  <sheetViews>
    <sheetView zoomScaleNormal="100" workbookViewId="0">
      <selection activeCell="H22" sqref="H22"/>
    </sheetView>
  </sheetViews>
  <sheetFormatPr defaultRowHeight="15" x14ac:dyDescent="0.25"/>
  <cols>
    <col min="1" max="1" width="21.140625" customWidth="1"/>
    <col min="2" max="5" width="13.85546875" customWidth="1"/>
    <col min="6" max="7" width="15" customWidth="1"/>
    <col min="8" max="8" width="14.28515625" customWidth="1"/>
    <col min="9" max="9" width="10.42578125" customWidth="1"/>
    <col min="10" max="10" width="11.85546875" customWidth="1"/>
    <col min="11" max="13" width="14.85546875" customWidth="1"/>
    <col min="14" max="16" width="13.7109375" customWidth="1"/>
    <col min="24" max="26" width="11.28515625" customWidth="1"/>
  </cols>
  <sheetData>
    <row r="1" spans="1:36" ht="15" customHeight="1" x14ac:dyDescent="0.25">
      <c r="A1" s="205" t="s">
        <v>44</v>
      </c>
      <c r="B1" s="205" t="s">
        <v>24</v>
      </c>
      <c r="C1" s="211" t="s">
        <v>229</v>
      </c>
      <c r="D1" s="211" t="s">
        <v>230</v>
      </c>
      <c r="E1" s="205" t="s">
        <v>210</v>
      </c>
      <c r="F1" s="215" t="s">
        <v>200</v>
      </c>
      <c r="G1" s="215" t="s">
        <v>209</v>
      </c>
      <c r="H1" s="205" t="s">
        <v>211</v>
      </c>
      <c r="I1" s="205" t="s">
        <v>208</v>
      </c>
      <c r="J1" s="215" t="s">
        <v>207</v>
      </c>
      <c r="K1" s="222" t="s">
        <v>206</v>
      </c>
      <c r="L1" s="215" t="s">
        <v>120</v>
      </c>
      <c r="M1" s="215" t="s">
        <v>201</v>
      </c>
      <c r="N1" s="208" t="s">
        <v>205</v>
      </c>
      <c r="O1" s="209"/>
      <c r="P1" s="209"/>
      <c r="Q1" s="205" t="s">
        <v>204</v>
      </c>
      <c r="R1" s="205"/>
      <c r="S1" s="205"/>
      <c r="T1" s="205"/>
      <c r="U1" s="205"/>
      <c r="V1" s="205"/>
      <c r="W1" s="205"/>
      <c r="X1" s="208" t="s">
        <v>203</v>
      </c>
      <c r="Y1" s="209"/>
      <c r="Z1" s="210"/>
      <c r="AA1" s="208" t="s">
        <v>202</v>
      </c>
      <c r="AB1" s="209"/>
      <c r="AC1" s="210"/>
      <c r="AD1" s="204" t="s">
        <v>1</v>
      </c>
      <c r="AE1" s="204"/>
      <c r="AF1" s="204"/>
      <c r="AG1" s="204"/>
      <c r="AH1" s="204"/>
      <c r="AI1" s="204"/>
      <c r="AJ1" s="204"/>
    </row>
    <row r="2" spans="1:36" x14ac:dyDescent="0.25">
      <c r="A2" s="205"/>
      <c r="B2" s="205"/>
      <c r="C2" s="211"/>
      <c r="D2" s="211"/>
      <c r="E2" s="205"/>
      <c r="F2" s="216"/>
      <c r="G2" s="216"/>
      <c r="H2" s="205"/>
      <c r="I2" s="205"/>
      <c r="J2" s="216"/>
      <c r="K2" s="223"/>
      <c r="L2" s="216"/>
      <c r="M2" s="216"/>
      <c r="N2" s="36" t="s">
        <v>2</v>
      </c>
      <c r="O2" s="36" t="s">
        <v>3</v>
      </c>
      <c r="P2" s="40" t="s">
        <v>20</v>
      </c>
      <c r="Q2" s="36" t="s">
        <v>2</v>
      </c>
      <c r="R2" s="36" t="s">
        <v>3</v>
      </c>
      <c r="S2" s="36" t="s">
        <v>20</v>
      </c>
      <c r="T2" s="36" t="s">
        <v>5</v>
      </c>
      <c r="U2" s="36" t="s">
        <v>6</v>
      </c>
      <c r="V2" s="36" t="s">
        <v>4</v>
      </c>
      <c r="W2" s="142" t="s">
        <v>228</v>
      </c>
      <c r="X2" s="109" t="s">
        <v>2</v>
      </c>
      <c r="Y2" s="109" t="s">
        <v>3</v>
      </c>
      <c r="Z2" s="109" t="s">
        <v>20</v>
      </c>
      <c r="AA2" s="109" t="s">
        <v>2</v>
      </c>
      <c r="AB2" s="109" t="s">
        <v>3</v>
      </c>
      <c r="AC2" s="109" t="s">
        <v>20</v>
      </c>
      <c r="AD2" s="36" t="s">
        <v>2</v>
      </c>
      <c r="AE2" s="36" t="s">
        <v>3</v>
      </c>
      <c r="AF2" s="36" t="s">
        <v>20</v>
      </c>
      <c r="AG2" s="36" t="s">
        <v>5</v>
      </c>
      <c r="AH2" s="36" t="s">
        <v>6</v>
      </c>
      <c r="AI2" s="36" t="s">
        <v>4</v>
      </c>
      <c r="AJ2" s="36" t="s">
        <v>228</v>
      </c>
    </row>
    <row r="3" spans="1:36" x14ac:dyDescent="0.25">
      <c r="A3" s="37" t="s">
        <v>143</v>
      </c>
      <c r="B3" s="32" t="s">
        <v>45</v>
      </c>
      <c r="C3" s="32">
        <v>-20.173659000000001</v>
      </c>
      <c r="D3" s="81">
        <v>-40.272350000000003</v>
      </c>
      <c r="E3" s="32">
        <v>1201</v>
      </c>
      <c r="F3" s="135">
        <f>Dados!C22</f>
        <v>61.340293378995447</v>
      </c>
      <c r="G3" s="99">
        <v>14</v>
      </c>
      <c r="H3" s="100">
        <f>2*(F3/G3)</f>
        <v>8.7628990541422063</v>
      </c>
      <c r="I3" s="8">
        <f>E3*H3/1000</f>
        <v>10.52424176402479</v>
      </c>
      <c r="J3" s="32">
        <v>8.3000000000000007</v>
      </c>
      <c r="K3" s="6">
        <v>16</v>
      </c>
      <c r="L3" s="6" t="s">
        <v>142</v>
      </c>
      <c r="M3" s="6">
        <v>74</v>
      </c>
      <c r="N3" s="8">
        <f>('FE-Vias'!$D$6*((J3/12)^'FE-Vias'!$D$7)*((K3/3)^'FE-Vias'!$D$8)*'FE-Vias'!$B$9/1000)*'FE-Vias'!$G$15</f>
        <v>1.6952671965211552</v>
      </c>
      <c r="O3" s="8">
        <f>('FE-Vias'!$C$6*((J3/12)^'FE-Vias'!$C$7)*((K3/3)^'FE-Vias'!$C$8)*'FE-Vias'!$B$9/1000)*'FE-Vias'!$G$15</f>
        <v>0.48207288747744004</v>
      </c>
      <c r="P3" s="8">
        <f>('FE-Vias'!$B$6*((J3/12)^'FE-Vias'!$B$7)*((K3/3)^'FE-Vias'!$B$8)*'FE-Vias'!$B$9/1000)*'FE-Vias'!$G$15</f>
        <v>4.820728874774402E-2</v>
      </c>
      <c r="Q3" s="124">
        <f>'FE-Vias'!B40/1000</f>
        <v>1.7489827604766657E-4</v>
      </c>
      <c r="R3" s="124">
        <f>'FE-Vias'!C40/1000</f>
        <v>1.7489827604766657E-4</v>
      </c>
      <c r="S3" s="124">
        <f>'FE-Vias'!D40/1000</f>
        <v>1.7489827604766657E-4</v>
      </c>
      <c r="T3" s="124">
        <f>'FE-Vias'!E40/1000</f>
        <v>5.4345140567386742E-3</v>
      </c>
      <c r="U3" s="150">
        <f>'FE-Vias'!$F$40/1000</f>
        <v>2.1032135261668511E-4</v>
      </c>
      <c r="V3" s="124">
        <f>'FE-Vias'!$G$40/1000</f>
        <v>1.0383730075038094E-3</v>
      </c>
      <c r="W3" s="124">
        <f>'FE-Vias'!H40/1000</f>
        <v>2.4766340643796463E-4</v>
      </c>
      <c r="X3" s="124" t="s">
        <v>153</v>
      </c>
      <c r="Y3" s="124" t="s">
        <v>153</v>
      </c>
      <c r="Z3" s="124" t="s">
        <v>153</v>
      </c>
      <c r="AA3" s="124" t="s">
        <v>153</v>
      </c>
      <c r="AB3" s="124" t="s">
        <v>153</v>
      </c>
      <c r="AC3" s="124" t="s">
        <v>153</v>
      </c>
      <c r="AD3" s="41">
        <f>(N3*I3*(1-M3/100))+(Q3*I3)</f>
        <v>4.6406051477516188</v>
      </c>
      <c r="AE3" s="41">
        <f>(O3*I3*(1-M3/100))+(R3*I3)</f>
        <v>1.3209380918217022</v>
      </c>
      <c r="AF3" s="41">
        <f>(P3*I3*(1-M3/100))+(S3*I3)</f>
        <v>0.13375041374928337</v>
      </c>
      <c r="AG3" s="41">
        <f>T3*I3</f>
        <v>5.7194139803108945E-2</v>
      </c>
      <c r="AH3" s="41">
        <f>U3*I3</f>
        <v>2.2134727630747021E-3</v>
      </c>
      <c r="AI3" s="41">
        <f>V3*I3</f>
        <v>1.0928088572207617E-2</v>
      </c>
      <c r="AJ3" s="41">
        <f>W3*I3</f>
        <v>2.6064695654550735E-3</v>
      </c>
    </row>
    <row r="4" spans="1:36" x14ac:dyDescent="0.25">
      <c r="A4" s="37" t="s">
        <v>144</v>
      </c>
      <c r="B4" s="32" t="s">
        <v>45</v>
      </c>
      <c r="C4" s="32">
        <v>-20.174372999999999</v>
      </c>
      <c r="D4" s="32">
        <v>-40.268951999999999</v>
      </c>
      <c r="E4" s="32">
        <v>309</v>
      </c>
      <c r="F4" s="135">
        <f>Dados!C22</f>
        <v>61.340293378995447</v>
      </c>
      <c r="G4" s="99">
        <v>14</v>
      </c>
      <c r="H4" s="100">
        <f t="shared" ref="H4:H5" si="0">2*(F4/G4)</f>
        <v>8.7628990541422063</v>
      </c>
      <c r="I4" s="8">
        <f t="shared" ref="I4:I5" si="1">E4*H4/1000</f>
        <v>2.707735807729942</v>
      </c>
      <c r="J4" s="32">
        <v>8.3000000000000007</v>
      </c>
      <c r="K4" s="6">
        <v>16</v>
      </c>
      <c r="L4" s="6" t="s">
        <v>142</v>
      </c>
      <c r="M4" s="6">
        <v>74</v>
      </c>
      <c r="N4" s="8">
        <f>('FE-Vias'!$D$6*((J4/12)^'FE-Vias'!$D$7)*((K4/3)^'FE-Vias'!$D$8)*'FE-Vias'!$B$9/1000)*'FE-Vias'!$G$15</f>
        <v>1.6952671965211552</v>
      </c>
      <c r="O4" s="8">
        <f>('FE-Vias'!$C$6*((J4/12)^'FE-Vias'!$C$7)*((K4/3)^'FE-Vias'!$C$8)*'FE-Vias'!$B$9/1000)*'FE-Vias'!$G$15</f>
        <v>0.48207288747744004</v>
      </c>
      <c r="P4" s="8">
        <f>('FE-Vias'!$B$6*((J4/12)^'FE-Vias'!$B$7)*((K4/3)^'FE-Vias'!$B$8)*'FE-Vias'!$B$9/1000)*'FE-Vias'!$G$15</f>
        <v>4.820728874774402E-2</v>
      </c>
      <c r="Q4" s="124">
        <f>'FE-Vias'!$B$40/1000</f>
        <v>1.7489827604766657E-4</v>
      </c>
      <c r="R4" s="124">
        <f>'FE-Vias'!$C$40/1000</f>
        <v>1.7489827604766657E-4</v>
      </c>
      <c r="S4" s="124">
        <f>'FE-Vias'!$D$40/1000</f>
        <v>1.7489827604766657E-4</v>
      </c>
      <c r="T4" s="124">
        <f>'FE-Vias'!$E$40/1000</f>
        <v>5.4345140567386742E-3</v>
      </c>
      <c r="U4" s="150">
        <f>'FE-Vias'!$F$40/1000</f>
        <v>2.1032135261668511E-4</v>
      </c>
      <c r="V4" s="124">
        <f>'FE-Vias'!$G$40/1000</f>
        <v>1.0383730075038094E-3</v>
      </c>
      <c r="W4" s="124">
        <f>'FE-Vias'!$H$40/1000</f>
        <v>2.4766340643796463E-4</v>
      </c>
      <c r="X4" s="124" t="s">
        <v>153</v>
      </c>
      <c r="Y4" s="124" t="s">
        <v>153</v>
      </c>
      <c r="Z4" s="124" t="s">
        <v>153</v>
      </c>
      <c r="AA4" s="124" t="s">
        <v>153</v>
      </c>
      <c r="AB4" s="124" t="s">
        <v>153</v>
      </c>
      <c r="AC4" s="124" t="s">
        <v>153</v>
      </c>
      <c r="AD4" s="41">
        <f>(N4*I4*(1-M4/100))+(Q4*I4)</f>
        <v>1.1939608581642385</v>
      </c>
      <c r="AE4" s="41">
        <f>(O4*I4*(1-M4/100))+(R4*I4)</f>
        <v>0.33985834335795673</v>
      </c>
      <c r="AF4" s="41">
        <f>(P4*I4*(1-M4/100))+(S4*I4)</f>
        <v>3.4412054828083738E-2</v>
      </c>
      <c r="AG4" s="41">
        <f>T4*I4</f>
        <v>1.4715228309043017E-2</v>
      </c>
      <c r="AH4" s="41">
        <f>U4*I4</f>
        <v>5.694946576103938E-4</v>
      </c>
      <c r="AI4" s="41">
        <f>V4*I4</f>
        <v>2.8116397741982965E-3</v>
      </c>
      <c r="AJ4" s="41">
        <f>W4*I4</f>
        <v>6.7060707387645111E-4</v>
      </c>
    </row>
    <row r="5" spans="1:36" x14ac:dyDescent="0.25">
      <c r="A5" s="42" t="s">
        <v>145</v>
      </c>
      <c r="B5" s="32" t="s">
        <v>182</v>
      </c>
      <c r="C5" s="32">
        <v>-20.172777</v>
      </c>
      <c r="D5" s="32">
        <v>-40.268186999999998</v>
      </c>
      <c r="E5" s="32">
        <v>143</v>
      </c>
      <c r="F5" s="135">
        <f>Dados!C22</f>
        <v>61.340293378995447</v>
      </c>
      <c r="G5" s="99">
        <v>14</v>
      </c>
      <c r="H5" s="100">
        <f t="shared" si="0"/>
        <v>8.7628990541422063</v>
      </c>
      <c r="I5" s="8">
        <f t="shared" si="1"/>
        <v>1.2530945647423355</v>
      </c>
      <c r="J5" s="32">
        <v>8.1999999999999993</v>
      </c>
      <c r="K5" s="6">
        <v>16</v>
      </c>
      <c r="L5" s="6" t="s">
        <v>142</v>
      </c>
      <c r="M5" s="6">
        <v>74</v>
      </c>
      <c r="N5" s="8">
        <f>('FE-Vias'!$D$23*(J5^0.91)*(K5^1.02)/1000)*'FE-Vias'!$G$33</f>
        <v>0.35354853774173572</v>
      </c>
      <c r="O5" s="8">
        <f>('FE-Vias'!$C$23*(J5^0.91)*(K5^1.02)/1000)*'FE-Vias'!$G$33</f>
        <v>6.7863806006153604E-2</v>
      </c>
      <c r="P5" s="8">
        <f>('FE-Vias'!$B$23*(J5^0.91)*(K5^1.02)/1000)*'FE-Vias'!$G$33</f>
        <v>1.641866274342426E-2</v>
      </c>
      <c r="Q5" s="124">
        <f>'FE-Vias'!$B$40/1000</f>
        <v>1.7489827604766657E-4</v>
      </c>
      <c r="R5" s="124">
        <f>'FE-Vias'!$C$40/1000</f>
        <v>1.7489827604766657E-4</v>
      </c>
      <c r="S5" s="124">
        <f>'FE-Vias'!$D$40/1000</f>
        <v>1.7489827604766657E-4</v>
      </c>
      <c r="T5" s="124">
        <f>'FE-Vias'!$E$40/1000</f>
        <v>5.4345140567386742E-3</v>
      </c>
      <c r="U5" s="150">
        <f>'FE-Vias'!$F$40/1000</f>
        <v>2.1032135261668511E-4</v>
      </c>
      <c r="V5" s="124">
        <f>'FE-Vias'!$G$40/1000</f>
        <v>1.0383730075038094E-3</v>
      </c>
      <c r="W5" s="124">
        <f>'FE-Vias'!$H$40/1000</f>
        <v>2.4766340643796463E-4</v>
      </c>
      <c r="X5" s="124">
        <f>'FE-Vias'!I40/1000</f>
        <v>6.7633804693835879E-5</v>
      </c>
      <c r="Y5" s="124">
        <f>'FE-Vias'!J40/1000</f>
        <v>5.1332470377789449E-5</v>
      </c>
      <c r="Z5" s="124">
        <f>'FE-Vias'!K40/1000</f>
        <v>2.7520218195668728E-5</v>
      </c>
      <c r="AA5" s="124">
        <f>'FE-Vias'!L40/1000</f>
        <v>6.3494136177677979E-5</v>
      </c>
      <c r="AB5" s="124">
        <f>'FE-Vias'!M40/1000</f>
        <v>3.1747068088838989E-5</v>
      </c>
      <c r="AC5" s="124">
        <f>'FE-Vias'!N40/1000</f>
        <v>1.7137767759244576E-5</v>
      </c>
      <c r="AD5" s="41">
        <f>(N5*I5*(1-M5/100))+(Q5*I5)+(X5*I5)+(AA5*I5)</f>
        <v>0.11557121505345017</v>
      </c>
      <c r="AE5" s="41">
        <f>(O5*I5*(1-M5/100))+(R5*I5)+(Y5*I5)+(AB5*I5)</f>
        <v>2.24336098739422E-2</v>
      </c>
      <c r="AF5" s="41">
        <f>(P5*I5*(1-M5/100))+(S5*I5)+(Z5*I5)+(AC5*I5)</f>
        <v>5.6244003900424071E-3</v>
      </c>
      <c r="AG5" s="41">
        <f>T5*I5</f>
        <v>6.8099600265150526E-3</v>
      </c>
      <c r="AH5" s="41">
        <f>U5*I5</f>
        <v>2.6355254381322428E-4</v>
      </c>
      <c r="AI5" s="41">
        <f>V5*I5</f>
        <v>1.3011795718781759E-3</v>
      </c>
      <c r="AJ5" s="41">
        <f>W5*I5</f>
        <v>3.1034566849298542E-4</v>
      </c>
    </row>
    <row r="6" spans="1:36" x14ac:dyDescent="0.25">
      <c r="A6" s="217" t="s">
        <v>223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16">
        <f t="shared" ref="AD6:AJ6" si="2">SUM(AD3:AD5)</f>
        <v>5.9501372209693066</v>
      </c>
      <c r="AE6" s="16">
        <f t="shared" si="2"/>
        <v>1.6832300450536011</v>
      </c>
      <c r="AF6" s="16">
        <f t="shared" si="2"/>
        <v>0.17378686896740952</v>
      </c>
      <c r="AG6" s="16">
        <f t="shared" si="2"/>
        <v>7.8719328138667014E-2</v>
      </c>
      <c r="AH6" s="16">
        <f t="shared" si="2"/>
        <v>3.0465199644983203E-3</v>
      </c>
      <c r="AI6" s="16">
        <f t="shared" si="2"/>
        <v>1.504090791828409E-2</v>
      </c>
      <c r="AJ6" s="16">
        <f t="shared" si="2"/>
        <v>3.5874223078245101E-3</v>
      </c>
    </row>
    <row r="7" spans="1:36" ht="15" customHeight="1" x14ac:dyDescent="0.25">
      <c r="K7" s="34"/>
      <c r="L7" s="34"/>
      <c r="AA7" s="125"/>
      <c r="AB7" s="126"/>
      <c r="AC7" s="127"/>
    </row>
    <row r="8" spans="1:36" x14ac:dyDescent="0.25">
      <c r="B8" s="98"/>
      <c r="G8" s="99"/>
      <c r="K8" s="6"/>
    </row>
    <row r="9" spans="1:36" x14ac:dyDescent="0.25">
      <c r="G9" s="99"/>
    </row>
    <row r="10" spans="1:36" x14ac:dyDescent="0.25">
      <c r="H10" s="136"/>
    </row>
  </sheetData>
  <sheetProtection password="B056" sheet="1" objects="1" scenarios="1"/>
  <mergeCells count="19">
    <mergeCell ref="F1:F2"/>
    <mergeCell ref="G1:G2"/>
    <mergeCell ref="A6:AC6"/>
    <mergeCell ref="A1:A2"/>
    <mergeCell ref="B1:B2"/>
    <mergeCell ref="C1:C2"/>
    <mergeCell ref="D1:D2"/>
    <mergeCell ref="E1:E2"/>
    <mergeCell ref="AD1:AJ1"/>
    <mergeCell ref="H1:H2"/>
    <mergeCell ref="I1:I2"/>
    <mergeCell ref="J1:J2"/>
    <mergeCell ref="K1:K2"/>
    <mergeCell ref="N1:P1"/>
    <mergeCell ref="Q1:W1"/>
    <mergeCell ref="M1:M2"/>
    <mergeCell ref="L1:L2"/>
    <mergeCell ref="X1:Z1"/>
    <mergeCell ref="AA1:A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0" sqref="B10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227" t="s">
        <v>151</v>
      </c>
      <c r="B1" s="220" t="s">
        <v>1</v>
      </c>
      <c r="C1" s="221"/>
      <c r="D1" s="221"/>
      <c r="E1" s="221"/>
      <c r="F1" s="221"/>
      <c r="G1" s="221"/>
      <c r="H1" s="221"/>
    </row>
    <row r="2" spans="1:9" ht="15" customHeight="1" x14ac:dyDescent="0.25">
      <c r="A2" s="227"/>
      <c r="B2" s="5" t="s">
        <v>2</v>
      </c>
      <c r="C2" s="5" t="s">
        <v>3</v>
      </c>
      <c r="D2" s="5" t="s">
        <v>20</v>
      </c>
      <c r="E2" s="5" t="s">
        <v>5</v>
      </c>
      <c r="F2" s="5" t="s">
        <v>6</v>
      </c>
      <c r="G2" s="5" t="s">
        <v>4</v>
      </c>
      <c r="H2" s="5" t="s">
        <v>228</v>
      </c>
    </row>
    <row r="3" spans="1:9" ht="15" customHeight="1" x14ac:dyDescent="0.25">
      <c r="A3" s="2" t="s">
        <v>146</v>
      </c>
      <c r="B3" s="8">
        <f>'Emissão Perfuração e Detonação'!H4+'Emissão Perfuração e Detonação'!K10</f>
        <v>4.9545285190658955E-2</v>
      </c>
      <c r="C3" s="8">
        <f>'Emissão Perfuração e Detonação'!I4+'Emissão Perfuração e Detonação'!L10</f>
        <v>2.5964461541151788E-2</v>
      </c>
      <c r="D3" s="41">
        <f>'Emissão Perfuração e Detonação'!J4+'Emissão Perfuração e Detonação'!M10</f>
        <v>1.4863585557197681E-3</v>
      </c>
      <c r="E3" s="8" t="s">
        <v>153</v>
      </c>
      <c r="F3" s="32" t="s">
        <v>153</v>
      </c>
      <c r="G3" s="8">
        <f>'Emissão Perfuração e Detonação'!N10</f>
        <v>6.8310502283105021E-2</v>
      </c>
      <c r="H3" s="32" t="s">
        <v>153</v>
      </c>
    </row>
    <row r="4" spans="1:9" ht="15" customHeight="1" x14ac:dyDescent="0.25">
      <c r="A4" s="2" t="s">
        <v>125</v>
      </c>
      <c r="B4" s="8">
        <f>'Emissão Transf'!K12</f>
        <v>2.6223842158770889</v>
      </c>
      <c r="C4" s="8">
        <f>'Emissão Transf'!L12</f>
        <v>1.2403168588607849</v>
      </c>
      <c r="D4" s="8">
        <f>'Emissão Transf'!M12</f>
        <v>0.18781941005606179</v>
      </c>
      <c r="E4" s="32" t="s">
        <v>153</v>
      </c>
      <c r="F4" s="32" t="s">
        <v>153</v>
      </c>
      <c r="G4" s="32" t="s">
        <v>153</v>
      </c>
      <c r="H4" s="32" t="s">
        <v>153</v>
      </c>
    </row>
    <row r="5" spans="1:9" ht="15" customHeight="1" x14ac:dyDescent="0.25">
      <c r="A5" s="2" t="s">
        <v>147</v>
      </c>
      <c r="B5" s="8">
        <f>'Emissão Maq e Equip'!H8</f>
        <v>5.7419746237921815E-2</v>
      </c>
      <c r="C5" s="8">
        <f>'Emissão Maq e Equip'!I8</f>
        <v>5.7419746237921815E-2</v>
      </c>
      <c r="D5" s="8">
        <f>'Emissão Maq e Equip'!J8</f>
        <v>5.7419746237921815E-2</v>
      </c>
      <c r="E5" s="8">
        <f>'Emissão Maq e Equip'!K8</f>
        <v>1.5667684330285392</v>
      </c>
      <c r="F5" s="41">
        <f>'Emissão Maq e Equip'!L8</f>
        <v>1.4612920482330596E-3</v>
      </c>
      <c r="G5" s="8">
        <f>'Emissão Maq e Equip'!M8</f>
        <v>0.50978942843806507</v>
      </c>
      <c r="H5" s="8">
        <f>'Emissão Maq e Equip'!N8</f>
        <v>0.1513613257058988</v>
      </c>
    </row>
    <row r="6" spans="1:9" ht="15" customHeight="1" x14ac:dyDescent="0.25">
      <c r="A6" s="2" t="s">
        <v>148</v>
      </c>
      <c r="B6" s="8">
        <f>'Emissão Brit e Pen'!J5+'Emissão Brit e Pen'!H10</f>
        <v>0.9635025705479453</v>
      </c>
      <c r="C6" s="8">
        <f>'Emissão Brit e Pen'!K5+'Emissão Brit e Pen'!I10</f>
        <v>0.34087816575342467</v>
      </c>
      <c r="D6" s="8">
        <f>'Emissão Brit e Pen'!L5+'Emissão Brit e Pen'!J10</f>
        <v>2.794168944629561E-2</v>
      </c>
      <c r="E6" s="32" t="s">
        <v>153</v>
      </c>
      <c r="F6" s="32" t="s">
        <v>153</v>
      </c>
      <c r="G6" s="32" t="s">
        <v>153</v>
      </c>
      <c r="H6" s="32" t="s">
        <v>153</v>
      </c>
    </row>
    <row r="7" spans="1:9" ht="15" customHeight="1" x14ac:dyDescent="0.25">
      <c r="A7" s="2" t="s">
        <v>149</v>
      </c>
      <c r="B7" s="8">
        <f>'Emissão Vias '!AD6</f>
        <v>5.9501372209693066</v>
      </c>
      <c r="C7" s="8">
        <f>'Emissão Vias '!AE6</f>
        <v>1.6832300450536011</v>
      </c>
      <c r="D7" s="8">
        <f>'Emissão Vias '!AF6</f>
        <v>0.17378686896740952</v>
      </c>
      <c r="E7" s="8">
        <f>'Emissão Vias '!AG6</f>
        <v>7.8719328138667014E-2</v>
      </c>
      <c r="F7" s="41">
        <f>'Emissão Vias '!AH6</f>
        <v>3.0465199644983203E-3</v>
      </c>
      <c r="G7" s="8">
        <f>'Emissão Vias '!AI6</f>
        <v>1.504090791828409E-2</v>
      </c>
      <c r="H7" s="41">
        <f>'Emissão Vias '!AJ6</f>
        <v>3.5874223078245101E-3</v>
      </c>
    </row>
    <row r="8" spans="1:9" ht="15" customHeight="1" x14ac:dyDescent="0.25">
      <c r="A8" s="2" t="s">
        <v>150</v>
      </c>
      <c r="B8" s="135">
        <v>0.41687546798652364</v>
      </c>
      <c r="C8" s="135">
        <v>0.20843773399326182</v>
      </c>
      <c r="D8" s="135">
        <v>3.1265660098989269E-2</v>
      </c>
      <c r="E8" s="32" t="s">
        <v>153</v>
      </c>
      <c r="F8" s="32" t="s">
        <v>153</v>
      </c>
      <c r="G8" s="32" t="s">
        <v>153</v>
      </c>
      <c r="H8" s="32" t="s">
        <v>153</v>
      </c>
    </row>
    <row r="9" spans="1:9" ht="15" customHeight="1" x14ac:dyDescent="0.25">
      <c r="A9" s="86" t="s">
        <v>223</v>
      </c>
      <c r="B9" s="16">
        <f>SUM(B3:B8)</f>
        <v>10.059864506809445</v>
      </c>
      <c r="C9" s="16">
        <f>SUM(C3:C8)</f>
        <v>3.5562470114401457</v>
      </c>
      <c r="D9" s="16">
        <f t="shared" ref="D9:H9" si="0">SUM(D3:D8)</f>
        <v>0.47971973336239782</v>
      </c>
      <c r="E9" s="16">
        <f>SUM(E3:E8)</f>
        <v>1.6454877611672063</v>
      </c>
      <c r="F9" s="16">
        <f t="shared" si="0"/>
        <v>4.5078120127313801E-3</v>
      </c>
      <c r="G9" s="16">
        <f t="shared" si="0"/>
        <v>0.5931408386394541</v>
      </c>
      <c r="H9" s="16">
        <f t="shared" si="0"/>
        <v>0.15494874801372333</v>
      </c>
      <c r="I9" s="61"/>
    </row>
    <row r="11" spans="1:9" ht="15" customHeight="1" x14ac:dyDescent="0.25">
      <c r="A11" s="2" t="s">
        <v>231</v>
      </c>
    </row>
  </sheetData>
  <sheetProtection password="B056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D18" sqref="D18"/>
    </sheetView>
  </sheetViews>
  <sheetFormatPr defaultRowHeight="15" x14ac:dyDescent="0.25"/>
  <cols>
    <col min="1" max="2" width="17.140625" customWidth="1"/>
    <col min="3" max="3" width="21" customWidth="1"/>
    <col min="4" max="4" width="18.28515625" customWidth="1"/>
  </cols>
  <sheetData>
    <row r="1" spans="1:9" ht="23.25" customHeight="1" x14ac:dyDescent="0.25">
      <c r="A1" s="153" t="s">
        <v>117</v>
      </c>
      <c r="B1" s="153"/>
      <c r="C1" s="153"/>
      <c r="D1" s="153"/>
      <c r="E1" s="153"/>
      <c r="F1" s="153"/>
      <c r="G1" s="153"/>
      <c r="H1" s="153"/>
      <c r="I1" s="66"/>
    </row>
    <row r="2" spans="1:9" ht="26.25" customHeight="1" x14ac:dyDescent="0.25">
      <c r="A2" s="155" t="s">
        <v>118</v>
      </c>
      <c r="B2" s="155"/>
      <c r="C2" s="155"/>
      <c r="D2" s="155"/>
    </row>
    <row r="3" spans="1:9" x14ac:dyDescent="0.25">
      <c r="A3" s="154" t="s">
        <v>119</v>
      </c>
      <c r="B3" s="154"/>
      <c r="C3" s="154"/>
      <c r="D3" s="154"/>
    </row>
    <row r="4" spans="1:9" x14ac:dyDescent="0.25">
      <c r="A4" s="157" t="s">
        <v>43</v>
      </c>
      <c r="B4" s="157"/>
      <c r="C4" s="157" t="s">
        <v>105</v>
      </c>
      <c r="D4" s="157"/>
    </row>
    <row r="5" spans="1:9" x14ac:dyDescent="0.25">
      <c r="A5" s="158" t="s">
        <v>106</v>
      </c>
      <c r="B5" s="158"/>
      <c r="C5" s="44" t="s">
        <v>2</v>
      </c>
      <c r="D5" s="44" t="s">
        <v>36</v>
      </c>
    </row>
    <row r="6" spans="1:9" x14ac:dyDescent="0.25">
      <c r="A6" s="158"/>
      <c r="B6" s="158"/>
      <c r="C6" s="44">
        <v>0.59</v>
      </c>
      <c r="D6" s="44">
        <v>0.31</v>
      </c>
    </row>
    <row r="8" spans="1:9" x14ac:dyDescent="0.25">
      <c r="A8" s="154" t="s">
        <v>107</v>
      </c>
      <c r="B8" s="154"/>
      <c r="C8" s="154"/>
      <c r="D8" s="154"/>
    </row>
    <row r="9" spans="1:9" ht="21.75" customHeight="1" x14ac:dyDescent="0.25">
      <c r="A9" s="155" t="s">
        <v>108</v>
      </c>
      <c r="B9" s="155"/>
      <c r="C9" s="155"/>
      <c r="D9" s="155"/>
    </row>
    <row r="10" spans="1:9" x14ac:dyDescent="0.25">
      <c r="A10" s="54" t="s">
        <v>43</v>
      </c>
      <c r="B10" s="156" t="s">
        <v>109</v>
      </c>
      <c r="C10" s="156"/>
      <c r="D10" s="156"/>
    </row>
    <row r="11" spans="1:9" x14ac:dyDescent="0.25">
      <c r="A11" s="152" t="s">
        <v>110</v>
      </c>
      <c r="B11" s="44" t="s">
        <v>2</v>
      </c>
      <c r="C11" s="44" t="s">
        <v>36</v>
      </c>
      <c r="D11" s="53" t="s">
        <v>124</v>
      </c>
    </row>
    <row r="12" spans="1:9" ht="26.25" customHeight="1" x14ac:dyDescent="0.25">
      <c r="A12" s="152"/>
    </row>
    <row r="13" spans="1:9" ht="19.5" customHeight="1" x14ac:dyDescent="0.25">
      <c r="A13" s="68" t="s">
        <v>123</v>
      </c>
      <c r="B13" s="167" t="s">
        <v>122</v>
      </c>
      <c r="C13" s="167"/>
      <c r="D13" s="167"/>
    </row>
    <row r="15" spans="1:9" x14ac:dyDescent="0.25">
      <c r="A15" s="1" t="s">
        <v>175</v>
      </c>
    </row>
    <row r="16" spans="1:9" x14ac:dyDescent="0.25">
      <c r="A16" s="161" t="s">
        <v>176</v>
      </c>
      <c r="B16" s="162"/>
      <c r="C16" s="163"/>
      <c r="D16" s="20"/>
    </row>
    <row r="17" spans="1:4" ht="15" customHeight="1" x14ac:dyDescent="0.25">
      <c r="A17" s="164" t="s">
        <v>180</v>
      </c>
      <c r="B17" s="165"/>
      <c r="C17" s="166"/>
      <c r="D17" s="121"/>
    </row>
    <row r="18" spans="1:4" x14ac:dyDescent="0.25">
      <c r="A18" s="159" t="s">
        <v>111</v>
      </c>
      <c r="B18" s="159"/>
      <c r="C18" s="120" t="s">
        <v>112</v>
      </c>
      <c r="D18" s="120"/>
    </row>
    <row r="19" spans="1:4" x14ac:dyDescent="0.25">
      <c r="A19" s="160" t="s">
        <v>181</v>
      </c>
      <c r="B19" s="160"/>
      <c r="C19" s="102" t="s">
        <v>4</v>
      </c>
      <c r="D19" s="102"/>
    </row>
    <row r="20" spans="1:4" x14ac:dyDescent="0.25">
      <c r="A20" s="160"/>
      <c r="B20" s="160"/>
      <c r="C20" s="102">
        <v>32</v>
      </c>
      <c r="D20" s="102"/>
    </row>
  </sheetData>
  <sheetProtection password="B056" sheet="1" objects="1" scenarios="1"/>
  <mergeCells count="15">
    <mergeCell ref="A18:B18"/>
    <mergeCell ref="A19:B20"/>
    <mergeCell ref="A16:C16"/>
    <mergeCell ref="A17:C17"/>
    <mergeCell ref="B13:D13"/>
    <mergeCell ref="A11:A12"/>
    <mergeCell ref="A1:H1"/>
    <mergeCell ref="A8:D8"/>
    <mergeCell ref="A9:D9"/>
    <mergeCell ref="B10:D10"/>
    <mergeCell ref="A2:D2"/>
    <mergeCell ref="A3:D3"/>
    <mergeCell ref="A4:B4"/>
    <mergeCell ref="C4:D4"/>
    <mergeCell ref="A5:B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"/>
  <sheetViews>
    <sheetView topLeftCell="C1" workbookViewId="0">
      <selection activeCell="A28" sqref="A28"/>
    </sheetView>
  </sheetViews>
  <sheetFormatPr defaultRowHeight="15" x14ac:dyDescent="0.25"/>
  <cols>
    <col min="1" max="1" width="19.42578125" bestFit="1" customWidth="1"/>
    <col min="2" max="2" width="20.140625" customWidth="1"/>
    <col min="3" max="4" width="9.42578125" bestFit="1" customWidth="1"/>
    <col min="5" max="5" width="10.42578125" bestFit="1" customWidth="1"/>
    <col min="6" max="7" width="9.42578125" bestFit="1" customWidth="1"/>
    <col min="8" max="8" width="10.7109375" bestFit="1" customWidth="1"/>
    <col min="9" max="9" width="9.42578125" bestFit="1" customWidth="1"/>
    <col min="11" max="11" width="12.7109375" bestFit="1" customWidth="1"/>
  </cols>
  <sheetData>
    <row r="1" spans="1:19" x14ac:dyDescent="0.25">
      <c r="A1" s="2" t="s">
        <v>23</v>
      </c>
    </row>
    <row r="2" spans="1:19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19" s="49" customFormat="1" x14ac:dyDescent="0.25">
      <c r="A3" s="168" t="s">
        <v>89</v>
      </c>
      <c r="B3" s="50" t="s">
        <v>90</v>
      </c>
      <c r="C3" s="88">
        <v>3.9890165496478201E-3</v>
      </c>
      <c r="D3" s="88">
        <v>6.1369251319822266E-2</v>
      </c>
      <c r="E3" s="88">
        <v>9.4616446621996876E-5</v>
      </c>
      <c r="F3" s="88">
        <v>3.0704922620167548E-2</v>
      </c>
      <c r="G3" s="88">
        <v>9.325230578523698E-3</v>
      </c>
      <c r="H3" s="88">
        <v>7.4570981157761267</v>
      </c>
      <c r="I3" s="88">
        <v>8.4140057334345904E-4</v>
      </c>
    </row>
    <row r="4" spans="1:19" s="49" customFormat="1" x14ac:dyDescent="0.25">
      <c r="A4" s="169"/>
      <c r="B4" s="50" t="s">
        <v>91</v>
      </c>
      <c r="C4" s="88">
        <v>1.5482138027073926E-2</v>
      </c>
      <c r="D4" s="88">
        <v>0.12602279653815557</v>
      </c>
      <c r="E4" s="88">
        <v>1.4669823419588148E-4</v>
      </c>
      <c r="F4" s="88">
        <v>0.15992567973540345</v>
      </c>
      <c r="G4" s="88">
        <v>6.8514240153494874E-2</v>
      </c>
      <c r="H4" s="88">
        <v>11.347760681124397</v>
      </c>
      <c r="I4" s="88">
        <v>6.1819292303150449E-3</v>
      </c>
      <c r="L4" s="87"/>
      <c r="M4" s="18"/>
      <c r="N4" s="18"/>
      <c r="O4" s="18"/>
      <c r="P4" s="18"/>
      <c r="Q4" s="18"/>
      <c r="R4" s="18"/>
      <c r="S4" s="18"/>
    </row>
    <row r="5" spans="1:19" s="49" customFormat="1" x14ac:dyDescent="0.25">
      <c r="A5" s="169"/>
      <c r="B5" s="50" t="s">
        <v>92</v>
      </c>
      <c r="C5" s="88">
        <v>4.3689955953397884E-2</v>
      </c>
      <c r="D5" s="88">
        <v>0.46744735992116221</v>
      </c>
      <c r="E5" s="88">
        <v>3.9173850602458582E-4</v>
      </c>
      <c r="F5" s="88">
        <v>0.24966648844319658</v>
      </c>
      <c r="G5" s="88">
        <v>8.1017998911048009E-2</v>
      </c>
      <c r="H5" s="88">
        <v>33.394826528703661</v>
      </c>
      <c r="I5" s="88">
        <v>7.3101241308548672E-3</v>
      </c>
      <c r="L5" s="87"/>
      <c r="M5" s="18"/>
      <c r="N5" s="18"/>
      <c r="O5" s="18"/>
      <c r="P5" s="18"/>
      <c r="Q5" s="18"/>
      <c r="R5" s="18"/>
      <c r="S5" s="18"/>
    </row>
    <row r="6" spans="1:19" s="49" customFormat="1" x14ac:dyDescent="0.25">
      <c r="A6" s="169"/>
      <c r="B6" s="50" t="s">
        <v>93</v>
      </c>
      <c r="C6" s="88">
        <v>3.6023154684608628E-2</v>
      </c>
      <c r="D6" s="88">
        <v>0.63034815463312366</v>
      </c>
      <c r="E6" s="88">
        <v>5.7274397999067218E-4</v>
      </c>
      <c r="F6" s="88">
        <v>0.30652652990664653</v>
      </c>
      <c r="G6" s="88">
        <v>8.1297557226803041E-2</v>
      </c>
      <c r="H6" s="88">
        <v>50.902804870404331</v>
      </c>
      <c r="I6" s="88">
        <v>7.3353490732738606E-3</v>
      </c>
      <c r="L6" s="90"/>
      <c r="M6" s="90"/>
      <c r="N6" s="90"/>
      <c r="O6" s="90"/>
      <c r="P6" s="90"/>
      <c r="Q6" s="90"/>
      <c r="R6" s="90"/>
      <c r="S6" s="90"/>
    </row>
    <row r="7" spans="1:19" s="49" customFormat="1" x14ac:dyDescent="0.25">
      <c r="A7" s="169"/>
      <c r="B7" s="50" t="s">
        <v>94</v>
      </c>
      <c r="C7" s="88">
        <v>2.9088427954342536E-2</v>
      </c>
      <c r="D7" s="88">
        <v>0.84182054273419638</v>
      </c>
      <c r="E7" s="88">
        <v>8.0986730271663749E-4</v>
      </c>
      <c r="F7" s="88">
        <v>0.21055843242538708</v>
      </c>
      <c r="G7" s="88">
        <v>7.8277754706101627E-2</v>
      </c>
      <c r="H7" s="88">
        <v>71.977225347554125</v>
      </c>
      <c r="I7" s="88">
        <v>7.0628741220007361E-3</v>
      </c>
      <c r="L7" s="90"/>
      <c r="M7" s="90"/>
      <c r="N7" s="90"/>
      <c r="O7" s="90"/>
      <c r="P7" s="90"/>
      <c r="Q7" s="90"/>
      <c r="R7" s="90"/>
      <c r="S7" s="90"/>
    </row>
    <row r="8" spans="1:19" s="49" customFormat="1" x14ac:dyDescent="0.25">
      <c r="A8" s="169"/>
      <c r="B8" s="50" t="s">
        <v>95</v>
      </c>
      <c r="C8" s="15">
        <v>3.8897927506608358E-2</v>
      </c>
      <c r="D8" s="15">
        <v>1.0799749312549003</v>
      </c>
      <c r="E8" s="15">
        <v>1.0406255490298018E-3</v>
      </c>
      <c r="F8" s="15">
        <v>0.34712417522482392</v>
      </c>
      <c r="G8" s="15">
        <v>0.1040828387327908</v>
      </c>
      <c r="H8" s="15">
        <v>106.02050023214386</v>
      </c>
      <c r="I8" s="15">
        <v>9.3912260611923714E-3</v>
      </c>
      <c r="L8" s="90"/>
      <c r="M8" s="90"/>
      <c r="N8" s="90"/>
      <c r="O8" s="90"/>
      <c r="P8" s="90"/>
      <c r="Q8" s="90"/>
      <c r="R8" s="90"/>
      <c r="S8" s="90"/>
    </row>
    <row r="9" spans="1:19" s="49" customFormat="1" x14ac:dyDescent="0.25">
      <c r="A9" s="170"/>
      <c r="B9" s="50" t="s">
        <v>96</v>
      </c>
      <c r="C9" s="15">
        <v>6.5509575064624348E-2</v>
      </c>
      <c r="D9" s="15">
        <v>1.848764979398662</v>
      </c>
      <c r="E9" s="15">
        <v>1.7668986494167919E-3</v>
      </c>
      <c r="F9" s="15">
        <v>0.57357271429451673</v>
      </c>
      <c r="G9" s="15">
        <v>0.17421540945270575</v>
      </c>
      <c r="H9" s="15">
        <v>175.7281803441501</v>
      </c>
      <c r="I9" s="15">
        <v>1.5719177508701557E-2</v>
      </c>
      <c r="L9" s="90"/>
      <c r="M9" s="90"/>
      <c r="N9" s="90"/>
      <c r="O9" s="90"/>
      <c r="P9" s="90"/>
      <c r="Q9" s="90"/>
      <c r="R9" s="90"/>
      <c r="S9" s="90"/>
    </row>
    <row r="10" spans="1:19" x14ac:dyDescent="0.25">
      <c r="A10" s="192" t="s">
        <v>26</v>
      </c>
      <c r="B10" s="17" t="s">
        <v>27</v>
      </c>
      <c r="C10" s="88">
        <v>4.1647481574952775E-3</v>
      </c>
      <c r="D10" s="88">
        <v>6.5318933034944765E-2</v>
      </c>
      <c r="E10" s="88">
        <v>9.7431139391112798E-5</v>
      </c>
      <c r="F10" s="88">
        <v>3.2117661168667613E-2</v>
      </c>
      <c r="G10" s="88">
        <v>1.0013560541894806E-2</v>
      </c>
      <c r="H10" s="88">
        <v>7.6789363702976381</v>
      </c>
      <c r="I10" s="88">
        <v>9.0350737078986789E-4</v>
      </c>
      <c r="J10" s="18"/>
      <c r="K10" s="18"/>
      <c r="L10" s="89"/>
      <c r="M10" s="90"/>
      <c r="N10" s="90"/>
      <c r="O10" s="90"/>
      <c r="P10" s="90"/>
      <c r="Q10" s="90"/>
      <c r="R10" s="90"/>
      <c r="S10" s="90"/>
    </row>
    <row r="11" spans="1:19" x14ac:dyDescent="0.25">
      <c r="A11" s="153"/>
      <c r="B11" s="17" t="s">
        <v>28</v>
      </c>
      <c r="C11" s="88">
        <v>1.9389461005136124E-2</v>
      </c>
      <c r="D11" s="88">
        <v>0.15850781980120351</v>
      </c>
      <c r="E11" s="88">
        <v>1.8265581631205882E-4</v>
      </c>
      <c r="F11" s="88">
        <v>0.19953638186759515</v>
      </c>
      <c r="G11" s="88">
        <v>8.7889870552575564E-2</v>
      </c>
      <c r="H11" s="88">
        <v>14.129238189499569</v>
      </c>
      <c r="I11" s="88">
        <v>7.9301638618412291E-3</v>
      </c>
      <c r="L11" s="90"/>
      <c r="M11" s="90"/>
      <c r="N11" s="90"/>
      <c r="O11" s="90"/>
      <c r="P11" s="90"/>
      <c r="Q11" s="90"/>
      <c r="R11" s="90"/>
      <c r="S11" s="90"/>
    </row>
    <row r="12" spans="1:19" x14ac:dyDescent="0.25">
      <c r="A12" s="153"/>
      <c r="B12" s="17" t="s">
        <v>29</v>
      </c>
      <c r="C12" s="88">
        <v>3.5159649405128737E-2</v>
      </c>
      <c r="D12" s="88">
        <v>0.39013010201093185</v>
      </c>
      <c r="E12" s="88">
        <v>3.1347091665644508E-4</v>
      </c>
      <c r="F12" s="88">
        <v>0.2004419223709539</v>
      </c>
      <c r="G12" s="88">
        <v>6.7138814469940591E-2</v>
      </c>
      <c r="H12" s="88">
        <v>26.722695910514073</v>
      </c>
      <c r="I12" s="88">
        <v>6.0578280967871325E-3</v>
      </c>
      <c r="L12" s="90"/>
      <c r="M12" s="90"/>
      <c r="N12" s="90"/>
      <c r="O12" s="90"/>
      <c r="P12" s="90"/>
      <c r="Q12" s="90"/>
      <c r="R12" s="90"/>
      <c r="S12" s="90"/>
    </row>
    <row r="13" spans="1:19" x14ac:dyDescent="0.25">
      <c r="A13" s="153"/>
      <c r="B13" s="17" t="s">
        <v>30</v>
      </c>
      <c r="C13" s="88">
        <v>3.4873730864910753E-2</v>
      </c>
      <c r="D13" s="88">
        <v>0.62819014565488085</v>
      </c>
      <c r="E13" s="88">
        <v>5.4259968788077681E-4</v>
      </c>
      <c r="F13" s="88">
        <v>0.29143683660988179</v>
      </c>
      <c r="G13" s="88">
        <v>7.9806989940830519E-2</v>
      </c>
      <c r="H13" s="88">
        <v>48.223729179933819</v>
      </c>
      <c r="I13" s="88">
        <v>7.2008552575325378E-3</v>
      </c>
      <c r="L13" s="90"/>
      <c r="M13" s="90"/>
      <c r="N13" s="90"/>
      <c r="O13" s="90"/>
      <c r="P13" s="90"/>
      <c r="Q13" s="90"/>
      <c r="R13" s="90"/>
      <c r="S13" s="90"/>
    </row>
    <row r="14" spans="1:19" x14ac:dyDescent="0.25">
      <c r="A14" s="153"/>
      <c r="B14" s="17" t="s">
        <v>31</v>
      </c>
      <c r="C14" s="15">
        <v>3.101083119228833E-2</v>
      </c>
      <c r="D14" s="15">
        <v>0.83698143551687265</v>
      </c>
      <c r="E14" s="15">
        <v>7.6033040375300068E-4</v>
      </c>
      <c r="F14" s="15">
        <v>0.22495851814724077</v>
      </c>
      <c r="G14" s="15">
        <v>8.0781384871570633E-2</v>
      </c>
      <c r="H14" s="15">
        <v>67.57462749683539</v>
      </c>
      <c r="I14" s="15">
        <v>7.2887737155482657E-3</v>
      </c>
      <c r="L14" s="90"/>
      <c r="M14" s="90"/>
      <c r="N14" s="90"/>
      <c r="O14" s="90"/>
      <c r="P14" s="90"/>
      <c r="Q14" s="90"/>
      <c r="R14" s="90"/>
      <c r="S14" s="90"/>
    </row>
    <row r="15" spans="1:19" x14ac:dyDescent="0.25">
      <c r="A15" s="153"/>
      <c r="B15" s="17" t="s">
        <v>32</v>
      </c>
      <c r="C15" s="15">
        <v>4.4312637095619792E-2</v>
      </c>
      <c r="D15" s="15">
        <v>1.1811178567160983</v>
      </c>
      <c r="E15" s="15">
        <v>1.0551972934755545E-3</v>
      </c>
      <c r="F15" s="15">
        <v>0.44023160723795168</v>
      </c>
      <c r="G15" s="15">
        <v>0.11468313954524458</v>
      </c>
      <c r="H15" s="15">
        <v>107.50511325477065</v>
      </c>
      <c r="I15" s="15">
        <v>1.0347677695252593E-2</v>
      </c>
    </row>
    <row r="16" spans="1:19" x14ac:dyDescent="0.25">
      <c r="A16" s="153"/>
      <c r="B16" s="17" t="s">
        <v>33</v>
      </c>
      <c r="C16" s="15">
        <v>9.1699292295937748E-2</v>
      </c>
      <c r="D16" s="15">
        <v>2.4816495823931239</v>
      </c>
      <c r="E16" s="15">
        <v>2.2143711863278365E-3</v>
      </c>
      <c r="F16" s="15">
        <v>0.8977989810489746</v>
      </c>
      <c r="G16" s="15">
        <v>0.2376690359121682</v>
      </c>
      <c r="H16" s="15">
        <v>220.23193257962103</v>
      </c>
      <c r="I16" s="15">
        <v>2.1444490325478866E-2</v>
      </c>
    </row>
    <row r="17" spans="1:9" x14ac:dyDescent="0.25">
      <c r="A17" s="153"/>
      <c r="B17" s="17" t="s">
        <v>34</v>
      </c>
      <c r="C17" s="15">
        <v>0.11281698418835924</v>
      </c>
      <c r="D17" s="15">
        <v>3.6320533542247149</v>
      </c>
      <c r="E17" s="15">
        <v>2.708513011176045E-3</v>
      </c>
      <c r="F17" s="15">
        <v>1.2834306373108464</v>
      </c>
      <c r="G17" s="15">
        <v>0.33188731556128104</v>
      </c>
      <c r="H17" s="15">
        <v>269.37717766866973</v>
      </c>
      <c r="I17" s="15">
        <v>2.9945664738985911E-2</v>
      </c>
    </row>
    <row r="19" spans="1:9" x14ac:dyDescent="0.25">
      <c r="A19" s="171" t="s">
        <v>21</v>
      </c>
      <c r="B19" s="174"/>
      <c r="C19" s="175"/>
      <c r="D19" s="175"/>
      <c r="E19" s="176"/>
    </row>
    <row r="20" spans="1:9" x14ac:dyDescent="0.25">
      <c r="A20" s="172"/>
      <c r="B20" s="177"/>
      <c r="C20" s="178"/>
      <c r="D20" s="178"/>
      <c r="E20" s="179"/>
    </row>
    <row r="21" spans="1:9" x14ac:dyDescent="0.25">
      <c r="A21" s="172"/>
      <c r="B21" s="180"/>
      <c r="C21" s="181"/>
      <c r="D21" s="181"/>
      <c r="E21" s="182"/>
    </row>
    <row r="22" spans="1:9" x14ac:dyDescent="0.25">
      <c r="A22" s="172"/>
      <c r="B22" s="183" t="s">
        <v>22</v>
      </c>
      <c r="C22" s="184"/>
      <c r="D22" s="184"/>
      <c r="E22" s="185"/>
    </row>
    <row r="23" spans="1:9" x14ac:dyDescent="0.25">
      <c r="A23" s="172"/>
      <c r="B23" s="186"/>
      <c r="C23" s="187"/>
      <c r="D23" s="187"/>
      <c r="E23" s="188"/>
    </row>
    <row r="24" spans="1:9" x14ac:dyDescent="0.25">
      <c r="A24" s="172"/>
      <c r="B24" s="186"/>
      <c r="C24" s="187"/>
      <c r="D24" s="187"/>
      <c r="E24" s="188"/>
    </row>
    <row r="25" spans="1:9" x14ac:dyDescent="0.25">
      <c r="A25" s="173"/>
      <c r="B25" s="189"/>
      <c r="C25" s="190"/>
      <c r="D25" s="190"/>
      <c r="E25" s="191"/>
    </row>
    <row r="27" spans="1:9" x14ac:dyDescent="0.25">
      <c r="A27" s="2" t="s">
        <v>222</v>
      </c>
    </row>
  </sheetData>
  <sheetProtection password="B056" sheet="1" objects="1" scenarios="1"/>
  <mergeCells count="5">
    <mergeCell ref="A3:A9"/>
    <mergeCell ref="A19:A25"/>
    <mergeCell ref="B19:E21"/>
    <mergeCell ref="B22:E25"/>
    <mergeCell ref="A10:A17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3" sqref="B3:D3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93" t="s">
        <v>40</v>
      </c>
      <c r="B1" s="194"/>
      <c r="C1" s="194"/>
      <c r="D1" s="194"/>
    </row>
    <row r="2" spans="1:5" x14ac:dyDescent="0.25">
      <c r="A2" s="13"/>
      <c r="B2" s="13" t="s">
        <v>2</v>
      </c>
      <c r="C2" s="13" t="s">
        <v>36</v>
      </c>
      <c r="D2" s="13" t="s">
        <v>37</v>
      </c>
    </row>
    <row r="3" spans="1:5" x14ac:dyDescent="0.25">
      <c r="A3" s="12" t="s">
        <v>38</v>
      </c>
      <c r="B3" s="151">
        <v>0.74</v>
      </c>
      <c r="C3" s="151">
        <v>0.35</v>
      </c>
      <c r="D3" s="151">
        <v>5.2999999999999999E-2</v>
      </c>
    </row>
    <row r="5" spans="1:5" x14ac:dyDescent="0.25">
      <c r="A5" s="171" t="s">
        <v>21</v>
      </c>
      <c r="B5" s="22"/>
      <c r="C5" s="23"/>
      <c r="D5" s="23"/>
      <c r="E5" s="28"/>
    </row>
    <row r="6" spans="1:5" x14ac:dyDescent="0.25">
      <c r="A6" s="172"/>
      <c r="B6" s="24"/>
      <c r="C6" s="25"/>
      <c r="D6" s="25"/>
      <c r="E6" s="28"/>
    </row>
    <row r="7" spans="1:5" x14ac:dyDescent="0.25">
      <c r="A7" s="172"/>
      <c r="B7" s="26"/>
      <c r="C7" s="27"/>
      <c r="D7" s="27"/>
      <c r="E7" s="28"/>
    </row>
    <row r="8" spans="1:5" ht="15" customHeight="1" x14ac:dyDescent="0.25">
      <c r="A8" s="172"/>
      <c r="B8" s="183" t="s">
        <v>39</v>
      </c>
      <c r="C8" s="184"/>
      <c r="D8" s="184"/>
      <c r="E8" s="29"/>
    </row>
    <row r="9" spans="1:5" x14ac:dyDescent="0.25">
      <c r="A9" s="172"/>
      <c r="B9" s="186"/>
      <c r="C9" s="187"/>
      <c r="D9" s="187"/>
      <c r="E9" s="29"/>
    </row>
    <row r="10" spans="1:5" ht="17.25" customHeight="1" x14ac:dyDescent="0.25">
      <c r="A10" s="172"/>
      <c r="B10" s="186"/>
      <c r="C10" s="187"/>
      <c r="D10" s="187"/>
      <c r="E10" s="29"/>
    </row>
    <row r="11" spans="1:5" ht="19.5" customHeight="1" x14ac:dyDescent="0.25">
      <c r="A11" s="173"/>
      <c r="B11" s="189"/>
      <c r="C11" s="190"/>
      <c r="D11" s="190"/>
      <c r="E11" s="29"/>
    </row>
  </sheetData>
  <sheetProtection password="B056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24.42578125" customWidth="1"/>
    <col min="2" max="5" width="20.42578125" customWidth="1"/>
    <col min="6" max="6" width="20.85546875" customWidth="1"/>
    <col min="7" max="7" width="18.42578125" customWidth="1"/>
  </cols>
  <sheetData>
    <row r="1" spans="1:7" x14ac:dyDescent="0.25">
      <c r="A1" s="2" t="s">
        <v>129</v>
      </c>
    </row>
    <row r="2" spans="1:7" x14ac:dyDescent="0.25">
      <c r="A2" s="195" t="s">
        <v>130</v>
      </c>
      <c r="B2" s="196"/>
      <c r="C2" s="196"/>
      <c r="D2" s="196"/>
      <c r="E2" s="196"/>
      <c r="F2" s="196"/>
      <c r="G2" s="196"/>
    </row>
    <row r="3" spans="1:7" ht="15" customHeight="1" x14ac:dyDescent="0.25">
      <c r="A3" s="155" t="s">
        <v>131</v>
      </c>
      <c r="B3" s="155"/>
      <c r="C3" s="155"/>
      <c r="D3" s="155"/>
      <c r="E3" s="155"/>
      <c r="F3" s="155"/>
      <c r="G3" s="155"/>
    </row>
    <row r="4" spans="1:7" x14ac:dyDescent="0.25">
      <c r="A4" s="70" t="s">
        <v>114</v>
      </c>
      <c r="B4" s="71" t="s">
        <v>2</v>
      </c>
      <c r="C4" s="71" t="s">
        <v>136</v>
      </c>
      <c r="D4" s="71" t="s">
        <v>36</v>
      </c>
      <c r="E4" s="71" t="s">
        <v>136</v>
      </c>
      <c r="F4" s="71" t="s">
        <v>124</v>
      </c>
      <c r="G4" s="71" t="s">
        <v>136</v>
      </c>
    </row>
    <row r="5" spans="1:7" x14ac:dyDescent="0.25">
      <c r="A5" s="82" t="s">
        <v>132</v>
      </c>
      <c r="B5" s="83">
        <v>2.7000000000000001E-3</v>
      </c>
      <c r="C5" s="83" t="s">
        <v>137</v>
      </c>
      <c r="D5" s="83">
        <v>1.1999999999999999E-3</v>
      </c>
      <c r="E5" s="83" t="s">
        <v>138</v>
      </c>
      <c r="F5" s="83" t="s">
        <v>116</v>
      </c>
      <c r="G5" s="51"/>
    </row>
    <row r="6" spans="1:7" x14ac:dyDescent="0.25">
      <c r="A6" s="20" t="s">
        <v>133</v>
      </c>
      <c r="B6" s="76">
        <v>5.9999999999999995E-4</v>
      </c>
      <c r="C6" s="76" t="s">
        <v>137</v>
      </c>
      <c r="D6" s="76">
        <v>2.7E-4</v>
      </c>
      <c r="E6" s="76" t="s">
        <v>138</v>
      </c>
      <c r="F6" s="76">
        <v>5.0000000000000002E-5</v>
      </c>
      <c r="G6" s="32" t="s">
        <v>137</v>
      </c>
    </row>
    <row r="7" spans="1:7" x14ac:dyDescent="0.25">
      <c r="A7" s="64" t="s">
        <v>115</v>
      </c>
      <c r="B7" s="72">
        <v>1.2500000000000001E-2</v>
      </c>
      <c r="C7" s="72" t="s">
        <v>137</v>
      </c>
      <c r="D7" s="72">
        <v>4.3E-3</v>
      </c>
      <c r="E7" s="72" t="s">
        <v>138</v>
      </c>
      <c r="F7" s="72" t="s">
        <v>116</v>
      </c>
      <c r="G7" s="51"/>
    </row>
    <row r="8" spans="1:7" x14ac:dyDescent="0.25">
      <c r="A8" s="2" t="s">
        <v>134</v>
      </c>
      <c r="B8" s="32">
        <v>1.1000000000000001E-3</v>
      </c>
      <c r="C8" s="32" t="s">
        <v>137</v>
      </c>
      <c r="D8" s="32">
        <v>3.6999999999999999E-4</v>
      </c>
      <c r="E8" s="32" t="s">
        <v>138</v>
      </c>
      <c r="F8" s="73">
        <v>2.5000000000000001E-5</v>
      </c>
      <c r="G8" s="32" t="s">
        <v>137</v>
      </c>
    </row>
    <row r="9" spans="1:7" x14ac:dyDescent="0.25">
      <c r="A9" s="2"/>
      <c r="B9" s="1"/>
      <c r="C9" s="1"/>
      <c r="D9" s="1"/>
      <c r="E9" s="1"/>
    </row>
    <row r="10" spans="1:7" x14ac:dyDescent="0.25">
      <c r="D10" s="91"/>
    </row>
    <row r="11" spans="1:7" x14ac:dyDescent="0.25">
      <c r="D11" s="91"/>
    </row>
    <row r="13" spans="1:7" x14ac:dyDescent="0.25">
      <c r="F13" s="91"/>
    </row>
    <row r="15" spans="1:7" x14ac:dyDescent="0.25">
      <c r="D15" s="92"/>
      <c r="F15" s="91"/>
    </row>
    <row r="16" spans="1:7" x14ac:dyDescent="0.25">
      <c r="D16" s="92"/>
      <c r="F16" s="91"/>
    </row>
  </sheetData>
  <sheetProtection password="B056" sheet="1" objects="1" scenarios="1"/>
  <mergeCells count="2">
    <mergeCell ref="A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opLeftCell="A25" workbookViewId="0">
      <selection activeCell="F40" sqref="F40"/>
    </sheetView>
  </sheetViews>
  <sheetFormatPr defaultRowHeight="15" x14ac:dyDescent="0.25"/>
  <cols>
    <col min="1" max="4" width="13.42578125" customWidth="1"/>
    <col min="5" max="5" width="11.140625" customWidth="1"/>
    <col min="6" max="6" width="13.5703125" customWidth="1"/>
    <col min="7" max="9" width="15.7109375" customWidth="1"/>
    <col min="10" max="10" width="17.42578125" customWidth="1"/>
    <col min="11" max="12" width="15.7109375" customWidth="1"/>
    <col min="14" max="14" width="15.5703125" customWidth="1"/>
    <col min="15" max="18" width="15.7109375" customWidth="1"/>
  </cols>
  <sheetData>
    <row r="1" spans="1:15" x14ac:dyDescent="0.25">
      <c r="A1" s="2" t="s">
        <v>46</v>
      </c>
      <c r="B1" s="2"/>
      <c r="C1" s="2"/>
      <c r="D1" s="2"/>
      <c r="F1" s="154" t="s">
        <v>62</v>
      </c>
      <c r="G1" s="154"/>
      <c r="H1" s="154"/>
      <c r="I1" s="154"/>
      <c r="J1" s="154"/>
    </row>
    <row r="2" spans="1:15" ht="33.75" x14ac:dyDescent="0.25">
      <c r="A2" s="156" t="s">
        <v>47</v>
      </c>
      <c r="B2" s="156"/>
      <c r="C2" s="156"/>
      <c r="D2" s="156"/>
      <c r="F2" s="103" t="s">
        <v>63</v>
      </c>
      <c r="G2" s="104" t="s">
        <v>64</v>
      </c>
      <c r="H2" s="104" t="s">
        <v>65</v>
      </c>
      <c r="I2" s="103" t="s">
        <v>66</v>
      </c>
      <c r="J2" s="103" t="s">
        <v>67</v>
      </c>
      <c r="K2" s="131"/>
      <c r="L2" s="28"/>
      <c r="M2" s="28"/>
      <c r="N2" s="28"/>
      <c r="O2" s="28"/>
    </row>
    <row r="3" spans="1:15" ht="15" customHeight="1" x14ac:dyDescent="0.25">
      <c r="A3" s="200" t="s">
        <v>48</v>
      </c>
      <c r="B3" s="200"/>
      <c r="C3" s="200"/>
      <c r="D3" s="200"/>
      <c r="F3" s="105" t="s">
        <v>68</v>
      </c>
      <c r="G3" s="105">
        <v>0</v>
      </c>
      <c r="H3" s="105">
        <v>0</v>
      </c>
      <c r="I3" s="105">
        <v>31</v>
      </c>
      <c r="J3" s="45">
        <f>(I3-H3)/I3</f>
        <v>1</v>
      </c>
      <c r="K3" s="131"/>
      <c r="L3" s="28"/>
      <c r="M3" s="28"/>
      <c r="N3" s="28"/>
      <c r="O3" s="28"/>
    </row>
    <row r="4" spans="1:15" x14ac:dyDescent="0.25">
      <c r="A4" s="199" t="s">
        <v>49</v>
      </c>
      <c r="B4" s="199" t="s">
        <v>50</v>
      </c>
      <c r="C4" s="199"/>
      <c r="D4" s="199"/>
      <c r="F4" s="105" t="s">
        <v>69</v>
      </c>
      <c r="G4" s="105">
        <v>52</v>
      </c>
      <c r="H4" s="105">
        <v>7</v>
      </c>
      <c r="I4" s="105">
        <v>28</v>
      </c>
      <c r="J4" s="45">
        <f t="shared" ref="J4:J14" si="0">(I4-H4)/I4</f>
        <v>0.75</v>
      </c>
      <c r="K4" s="131"/>
      <c r="L4" s="28"/>
      <c r="M4" s="28"/>
      <c r="N4" s="28"/>
      <c r="O4" s="28"/>
    </row>
    <row r="5" spans="1:15" x14ac:dyDescent="0.25">
      <c r="A5" s="199"/>
      <c r="B5" s="38" t="s">
        <v>51</v>
      </c>
      <c r="C5" s="38" t="s">
        <v>52</v>
      </c>
      <c r="D5" s="38" t="s">
        <v>53</v>
      </c>
      <c r="F5" s="105" t="s">
        <v>70</v>
      </c>
      <c r="G5" s="105">
        <v>69</v>
      </c>
      <c r="H5" s="105">
        <v>7</v>
      </c>
      <c r="I5" s="105">
        <v>31</v>
      </c>
      <c r="J5" s="45">
        <f t="shared" si="0"/>
        <v>0.77419354838709675</v>
      </c>
      <c r="K5" s="131"/>
      <c r="L5" s="29"/>
      <c r="M5" s="29"/>
      <c r="N5" s="29"/>
      <c r="O5" s="29"/>
    </row>
    <row r="6" spans="1:15" x14ac:dyDescent="0.25">
      <c r="A6" s="39" t="s">
        <v>54</v>
      </c>
      <c r="B6" s="39">
        <v>0.15</v>
      </c>
      <c r="C6" s="39">
        <v>1.5</v>
      </c>
      <c r="D6" s="39">
        <v>4.9000000000000004</v>
      </c>
      <c r="F6" s="105" t="s">
        <v>71</v>
      </c>
      <c r="G6" s="105">
        <v>44</v>
      </c>
      <c r="H6" s="105">
        <v>8</v>
      </c>
      <c r="I6" s="105">
        <v>30</v>
      </c>
      <c r="J6" s="45">
        <f t="shared" si="0"/>
        <v>0.73333333333333328</v>
      </c>
      <c r="K6" s="131"/>
      <c r="L6" s="29"/>
      <c r="M6" s="29"/>
      <c r="N6" s="29"/>
      <c r="O6" s="29"/>
    </row>
    <row r="7" spans="1:15" x14ac:dyDescent="0.25">
      <c r="A7" s="39" t="s">
        <v>55</v>
      </c>
      <c r="B7" s="39">
        <v>0.9</v>
      </c>
      <c r="C7" s="39">
        <v>0.9</v>
      </c>
      <c r="D7" s="39">
        <v>0.7</v>
      </c>
      <c r="F7" s="105" t="s">
        <v>72</v>
      </c>
      <c r="G7" s="105">
        <v>185.8</v>
      </c>
      <c r="H7" s="105">
        <v>16</v>
      </c>
      <c r="I7" s="105">
        <v>31</v>
      </c>
      <c r="J7" s="45">
        <f t="shared" si="0"/>
        <v>0.4838709677419355</v>
      </c>
      <c r="K7" s="131"/>
      <c r="L7" s="29"/>
      <c r="M7" s="29"/>
      <c r="N7" s="29"/>
      <c r="O7" s="29"/>
    </row>
    <row r="8" spans="1:15" x14ac:dyDescent="0.25">
      <c r="A8" s="39" t="s">
        <v>56</v>
      </c>
      <c r="B8" s="39">
        <v>0.45</v>
      </c>
      <c r="C8" s="39">
        <v>0.45</v>
      </c>
      <c r="D8" s="39">
        <v>0.45</v>
      </c>
      <c r="F8" s="105" t="s">
        <v>73</v>
      </c>
      <c r="G8" s="105">
        <v>119.2</v>
      </c>
      <c r="H8" s="105">
        <v>9</v>
      </c>
      <c r="I8" s="105">
        <v>30</v>
      </c>
      <c r="J8" s="45">
        <f t="shared" si="0"/>
        <v>0.7</v>
      </c>
      <c r="K8" s="131"/>
      <c r="L8" s="29"/>
      <c r="M8" s="29"/>
      <c r="N8" s="29"/>
      <c r="O8" s="29"/>
    </row>
    <row r="9" spans="1:15" x14ac:dyDescent="0.25">
      <c r="A9" s="39" t="s">
        <v>58</v>
      </c>
      <c r="B9" s="14">
        <v>281.89999999999998</v>
      </c>
      <c r="C9" s="39" t="s">
        <v>59</v>
      </c>
      <c r="D9" s="39"/>
      <c r="F9" s="105" t="s">
        <v>74</v>
      </c>
      <c r="G9" s="105">
        <v>17.8</v>
      </c>
      <c r="H9" s="105">
        <v>6</v>
      </c>
      <c r="I9" s="105">
        <v>31</v>
      </c>
      <c r="J9" s="45">
        <f t="shared" si="0"/>
        <v>0.80645161290322576</v>
      </c>
      <c r="K9" s="131"/>
      <c r="L9" s="29"/>
      <c r="M9" s="29"/>
      <c r="N9" s="29"/>
      <c r="O9" s="29"/>
    </row>
    <row r="10" spans="1:15" x14ac:dyDescent="0.25">
      <c r="A10" s="199" t="s">
        <v>57</v>
      </c>
      <c r="B10" s="199"/>
      <c r="C10" s="199"/>
      <c r="D10" s="199"/>
      <c r="F10" s="105" t="s">
        <v>75</v>
      </c>
      <c r="G10" s="105">
        <v>70.2</v>
      </c>
      <c r="H10" s="105">
        <v>11</v>
      </c>
      <c r="I10" s="105">
        <v>31</v>
      </c>
      <c r="J10" s="45">
        <f t="shared" si="0"/>
        <v>0.64516129032258063</v>
      </c>
      <c r="K10" s="131"/>
      <c r="L10" s="29"/>
      <c r="M10" s="29"/>
      <c r="N10" s="29"/>
      <c r="O10" s="29"/>
    </row>
    <row r="11" spans="1:15" ht="20.25" customHeight="1" x14ac:dyDescent="0.25">
      <c r="A11" s="199"/>
      <c r="B11" s="199"/>
      <c r="C11" s="199"/>
      <c r="D11" s="199"/>
      <c r="F11" s="105" t="s">
        <v>76</v>
      </c>
      <c r="G11" s="105">
        <v>25.2</v>
      </c>
      <c r="H11" s="105">
        <v>7</v>
      </c>
      <c r="I11" s="105">
        <v>30</v>
      </c>
      <c r="J11" s="45">
        <f t="shared" si="0"/>
        <v>0.76666666666666672</v>
      </c>
      <c r="K11" s="131"/>
      <c r="L11" s="29"/>
      <c r="M11" s="29"/>
      <c r="N11" s="29"/>
      <c r="O11" s="29"/>
    </row>
    <row r="12" spans="1:15" ht="15" customHeight="1" x14ac:dyDescent="0.25">
      <c r="A12" s="199"/>
      <c r="B12" s="201" t="s">
        <v>191</v>
      </c>
      <c r="C12" s="201"/>
      <c r="D12" s="201"/>
      <c r="F12" s="105" t="s">
        <v>77</v>
      </c>
      <c r="G12" s="105">
        <v>54.4</v>
      </c>
      <c r="H12" s="105">
        <v>6</v>
      </c>
      <c r="I12" s="105">
        <v>31</v>
      </c>
      <c r="J12" s="45">
        <f t="shared" si="0"/>
        <v>0.80645161290322576</v>
      </c>
    </row>
    <row r="13" spans="1:15" x14ac:dyDescent="0.25">
      <c r="A13" s="199"/>
      <c r="B13" s="201"/>
      <c r="C13" s="201"/>
      <c r="D13" s="201"/>
      <c r="F13" s="105" t="s">
        <v>78</v>
      </c>
      <c r="G13" s="46">
        <v>48.6</v>
      </c>
      <c r="H13" s="105">
        <v>9</v>
      </c>
      <c r="I13" s="105">
        <v>30</v>
      </c>
      <c r="J13" s="45">
        <f t="shared" si="0"/>
        <v>0.7</v>
      </c>
    </row>
    <row r="14" spans="1:15" x14ac:dyDescent="0.25">
      <c r="A14" s="199"/>
      <c r="B14" s="201"/>
      <c r="C14" s="201"/>
      <c r="D14" s="201"/>
      <c r="F14" s="105" t="s">
        <v>79</v>
      </c>
      <c r="G14" s="105">
        <v>91.4</v>
      </c>
      <c r="H14" s="105">
        <v>6</v>
      </c>
      <c r="I14" s="105">
        <v>31</v>
      </c>
      <c r="J14" s="45">
        <f t="shared" si="0"/>
        <v>0.80645161290322576</v>
      </c>
    </row>
    <row r="15" spans="1:15" x14ac:dyDescent="0.25">
      <c r="A15" s="199"/>
      <c r="B15" s="201"/>
      <c r="C15" s="201"/>
      <c r="D15" s="201"/>
      <c r="F15" s="108" t="s">
        <v>80</v>
      </c>
      <c r="G15" s="8">
        <f>(365-SUM(H3:H14))/365</f>
        <v>0.74794520547945209</v>
      </c>
    </row>
    <row r="16" spans="1:15" x14ac:dyDescent="0.25">
      <c r="A16" s="199"/>
      <c r="B16" s="201"/>
      <c r="C16" s="201"/>
      <c r="D16" s="201"/>
      <c r="F16" s="130"/>
      <c r="G16" s="8"/>
    </row>
    <row r="17" spans="1:10" x14ac:dyDescent="0.25">
      <c r="A17" s="199"/>
      <c r="B17" s="201"/>
      <c r="C17" s="201"/>
      <c r="D17" s="201"/>
      <c r="F17" s="130"/>
      <c r="G17" s="8"/>
    </row>
    <row r="18" spans="1:10" x14ac:dyDescent="0.25">
      <c r="A18" s="106"/>
      <c r="B18" s="107"/>
      <c r="C18" s="107"/>
      <c r="D18" s="107"/>
      <c r="H18" s="42"/>
      <c r="I18" s="2"/>
      <c r="J18" s="2"/>
    </row>
    <row r="19" spans="1:10" x14ac:dyDescent="0.25">
      <c r="A19" s="2" t="s">
        <v>189</v>
      </c>
      <c r="C19" s="107"/>
      <c r="D19" s="107"/>
      <c r="F19" s="154" t="s">
        <v>62</v>
      </c>
      <c r="G19" s="154"/>
      <c r="H19" s="154"/>
      <c r="I19" s="154"/>
      <c r="J19" s="154"/>
    </row>
    <row r="20" spans="1:10" ht="33.75" customHeight="1" x14ac:dyDescent="0.25">
      <c r="A20" s="155" t="s">
        <v>186</v>
      </c>
      <c r="B20" s="155"/>
      <c r="C20" s="155"/>
      <c r="D20" s="155"/>
      <c r="F20" s="103" t="s">
        <v>63</v>
      </c>
      <c r="G20" s="104" t="s">
        <v>64</v>
      </c>
      <c r="H20" s="104" t="s">
        <v>185</v>
      </c>
      <c r="I20" s="103" t="s">
        <v>66</v>
      </c>
      <c r="J20" s="103" t="s">
        <v>67</v>
      </c>
    </row>
    <row r="21" spans="1:10" x14ac:dyDescent="0.25">
      <c r="A21" s="154" t="s">
        <v>187</v>
      </c>
      <c r="B21" s="154" t="s">
        <v>188</v>
      </c>
      <c r="C21" s="154"/>
      <c r="D21" s="154"/>
      <c r="F21" s="105" t="s">
        <v>68</v>
      </c>
      <c r="G21" s="105">
        <v>0</v>
      </c>
      <c r="H21" s="105">
        <v>0</v>
      </c>
      <c r="I21" s="105">
        <v>31</v>
      </c>
      <c r="J21" s="45">
        <f>1-((1.2*H21)/(I21*24))</f>
        <v>1</v>
      </c>
    </row>
    <row r="22" spans="1:10" x14ac:dyDescent="0.25">
      <c r="A22" s="154"/>
      <c r="B22" s="103" t="s">
        <v>51</v>
      </c>
      <c r="C22" s="103" t="s">
        <v>52</v>
      </c>
      <c r="D22" s="103" t="s">
        <v>53</v>
      </c>
      <c r="F22" s="105" t="s">
        <v>69</v>
      </c>
      <c r="G22" s="105">
        <v>52</v>
      </c>
      <c r="H22" s="105">
        <v>17</v>
      </c>
      <c r="I22" s="105">
        <v>28</v>
      </c>
      <c r="J22" s="45">
        <f t="shared" ref="J22:J31" si="1">1-((1.2*H22)/(I22*24))</f>
        <v>0.96964285714285714</v>
      </c>
    </row>
    <row r="23" spans="1:10" x14ac:dyDescent="0.25">
      <c r="A23" s="129" t="s">
        <v>59</v>
      </c>
      <c r="B23" s="60">
        <v>0.15</v>
      </c>
      <c r="C23" s="128">
        <v>0.62</v>
      </c>
      <c r="D23" s="128">
        <v>3.23</v>
      </c>
      <c r="F23" s="105" t="s">
        <v>70</v>
      </c>
      <c r="G23" s="105">
        <v>69</v>
      </c>
      <c r="H23" s="105">
        <v>21</v>
      </c>
      <c r="I23" s="105">
        <v>31</v>
      </c>
      <c r="J23" s="45">
        <f t="shared" si="1"/>
        <v>0.96612903225806457</v>
      </c>
    </row>
    <row r="24" spans="1:10" x14ac:dyDescent="0.25">
      <c r="C24" s="107"/>
      <c r="D24" s="107"/>
      <c r="F24" s="105" t="s">
        <v>71</v>
      </c>
      <c r="G24" s="105">
        <v>44</v>
      </c>
      <c r="H24" s="105">
        <v>17</v>
      </c>
      <c r="I24" s="105">
        <v>30</v>
      </c>
      <c r="J24" s="45">
        <f t="shared" si="1"/>
        <v>0.97166666666666668</v>
      </c>
    </row>
    <row r="25" spans="1:10" x14ac:dyDescent="0.25">
      <c r="A25" s="171" t="s">
        <v>21</v>
      </c>
      <c r="B25" s="22"/>
      <c r="C25" s="23"/>
      <c r="D25" s="23"/>
      <c r="E25" s="28"/>
      <c r="F25" s="105" t="s">
        <v>72</v>
      </c>
      <c r="G25" s="105">
        <v>185.8</v>
      </c>
      <c r="H25" s="105">
        <v>87</v>
      </c>
      <c r="I25" s="105">
        <v>31</v>
      </c>
      <c r="J25" s="45">
        <f t="shared" si="1"/>
        <v>0.85967741935483866</v>
      </c>
    </row>
    <row r="26" spans="1:10" x14ac:dyDescent="0.25">
      <c r="A26" s="172"/>
      <c r="B26" s="24"/>
      <c r="C26" s="25"/>
      <c r="D26" s="25"/>
      <c r="E26" s="28"/>
      <c r="F26" s="105" t="s">
        <v>73</v>
      </c>
      <c r="G26" s="105">
        <v>119.2</v>
      </c>
      <c r="H26" s="105">
        <v>37</v>
      </c>
      <c r="I26" s="105">
        <v>30</v>
      </c>
      <c r="J26" s="45">
        <f t="shared" si="1"/>
        <v>0.93833333333333335</v>
      </c>
    </row>
    <row r="27" spans="1:10" x14ac:dyDescent="0.25">
      <c r="A27" s="172"/>
      <c r="B27" s="26"/>
      <c r="C27" s="27"/>
      <c r="D27" s="27"/>
      <c r="E27" s="28"/>
      <c r="F27" s="105" t="s">
        <v>74</v>
      </c>
      <c r="G27" s="105">
        <v>17.8</v>
      </c>
      <c r="H27" s="105">
        <v>16</v>
      </c>
      <c r="I27" s="105">
        <v>31</v>
      </c>
      <c r="J27" s="45">
        <f t="shared" si="1"/>
        <v>0.97419354838709682</v>
      </c>
    </row>
    <row r="28" spans="1:10" ht="15" customHeight="1" x14ac:dyDescent="0.25">
      <c r="A28" s="172"/>
      <c r="B28" s="183" t="s">
        <v>190</v>
      </c>
      <c r="C28" s="184"/>
      <c r="D28" s="184"/>
      <c r="E28" s="29"/>
      <c r="F28" s="105" t="s">
        <v>75</v>
      </c>
      <c r="G28" s="105">
        <v>70.2</v>
      </c>
      <c r="H28" s="105">
        <v>41</v>
      </c>
      <c r="I28" s="105">
        <v>31</v>
      </c>
      <c r="J28" s="45">
        <f t="shared" si="1"/>
        <v>0.93387096774193545</v>
      </c>
    </row>
    <row r="29" spans="1:10" x14ac:dyDescent="0.25">
      <c r="A29" s="172"/>
      <c r="B29" s="186"/>
      <c r="C29" s="187"/>
      <c r="D29" s="187"/>
      <c r="E29" s="29"/>
      <c r="F29" s="105" t="s">
        <v>76</v>
      </c>
      <c r="G29" s="105">
        <v>25.2</v>
      </c>
      <c r="H29" s="105">
        <v>20</v>
      </c>
      <c r="I29" s="105">
        <v>30</v>
      </c>
      <c r="J29" s="45">
        <f t="shared" si="1"/>
        <v>0.96666666666666667</v>
      </c>
    </row>
    <row r="30" spans="1:10" x14ac:dyDescent="0.25">
      <c r="A30" s="172"/>
      <c r="B30" s="186"/>
      <c r="C30" s="187"/>
      <c r="D30" s="187"/>
      <c r="E30" s="29"/>
      <c r="F30" s="105" t="s">
        <v>77</v>
      </c>
      <c r="G30" s="105">
        <v>54.4</v>
      </c>
      <c r="H30" s="105">
        <v>29</v>
      </c>
      <c r="I30" s="105">
        <v>31</v>
      </c>
      <c r="J30" s="45">
        <f t="shared" si="1"/>
        <v>0.95322580645161292</v>
      </c>
    </row>
    <row r="31" spans="1:10" x14ac:dyDescent="0.25">
      <c r="A31" s="172"/>
      <c r="B31" s="186"/>
      <c r="C31" s="187"/>
      <c r="D31" s="187"/>
      <c r="E31" s="29"/>
      <c r="F31" s="105" t="s">
        <v>78</v>
      </c>
      <c r="G31" s="46">
        <v>48.6</v>
      </c>
      <c r="H31" s="105">
        <v>30</v>
      </c>
      <c r="I31" s="105">
        <v>30</v>
      </c>
      <c r="J31" s="45">
        <f t="shared" si="1"/>
        <v>0.95</v>
      </c>
    </row>
    <row r="32" spans="1:10" x14ac:dyDescent="0.25">
      <c r="A32" s="172"/>
      <c r="B32" s="186"/>
      <c r="C32" s="187"/>
      <c r="D32" s="187"/>
      <c r="E32" s="29"/>
      <c r="F32" s="105" t="s">
        <v>79</v>
      </c>
      <c r="G32" s="105">
        <v>91.4</v>
      </c>
      <c r="H32" s="105">
        <v>22</v>
      </c>
      <c r="I32" s="105">
        <v>31</v>
      </c>
      <c r="J32" s="45">
        <f>1-((1.2*H32)/(I32*24))</f>
        <v>0.96451612903225803</v>
      </c>
    </row>
    <row r="33" spans="1:14" x14ac:dyDescent="0.25">
      <c r="A33" s="172"/>
      <c r="B33" s="186"/>
      <c r="C33" s="187"/>
      <c r="D33" s="187"/>
      <c r="E33" s="29"/>
      <c r="F33" s="108" t="s">
        <v>80</v>
      </c>
      <c r="G33" s="8">
        <f>(1-(1.2*SUM(H21:H32))/8760)</f>
        <v>0.95383561643835613</v>
      </c>
      <c r="H33" s="2"/>
      <c r="I33" s="32"/>
      <c r="J33" s="2"/>
    </row>
    <row r="34" spans="1:14" x14ac:dyDescent="0.25">
      <c r="A34" s="173"/>
      <c r="B34" s="189"/>
      <c r="C34" s="190"/>
      <c r="D34" s="190"/>
      <c r="E34" s="29"/>
    </row>
    <row r="35" spans="1:14" x14ac:dyDescent="0.25">
      <c r="A35" s="106"/>
      <c r="B35" s="107"/>
      <c r="C35" s="107"/>
      <c r="D35" s="107"/>
    </row>
    <row r="37" spans="1:14" x14ac:dyDescent="0.25">
      <c r="A37" s="154" t="s">
        <v>81</v>
      </c>
      <c r="B37" s="197" t="s">
        <v>82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</row>
    <row r="38" spans="1:14" x14ac:dyDescent="0.25">
      <c r="A38" s="154"/>
      <c r="B38" s="154" t="s">
        <v>83</v>
      </c>
      <c r="C38" s="154"/>
      <c r="D38" s="154"/>
      <c r="E38" s="154"/>
      <c r="F38" s="154"/>
      <c r="G38" s="154"/>
      <c r="H38" s="154"/>
      <c r="I38" s="154" t="s">
        <v>183</v>
      </c>
      <c r="J38" s="154"/>
      <c r="K38" s="154"/>
      <c r="L38" s="154" t="s">
        <v>184</v>
      </c>
      <c r="M38" s="154"/>
      <c r="N38" s="154"/>
    </row>
    <row r="39" spans="1:14" x14ac:dyDescent="0.25">
      <c r="A39" s="154"/>
      <c r="B39" s="43" t="s">
        <v>2</v>
      </c>
      <c r="C39" s="43" t="s">
        <v>36</v>
      </c>
      <c r="D39" s="43" t="s">
        <v>86</v>
      </c>
      <c r="E39" s="43" t="s">
        <v>87</v>
      </c>
      <c r="F39" s="43" t="s">
        <v>88</v>
      </c>
      <c r="G39" s="43" t="s">
        <v>4</v>
      </c>
      <c r="H39" s="43" t="s">
        <v>84</v>
      </c>
      <c r="I39" s="103" t="s">
        <v>2</v>
      </c>
      <c r="J39" s="103" t="s">
        <v>36</v>
      </c>
      <c r="K39" s="103" t="s">
        <v>86</v>
      </c>
      <c r="L39" s="103" t="s">
        <v>2</v>
      </c>
      <c r="M39" s="103" t="s">
        <v>36</v>
      </c>
      <c r="N39" s="103" t="s">
        <v>86</v>
      </c>
    </row>
    <row r="40" spans="1:14" x14ac:dyDescent="0.25">
      <c r="A40" s="94" t="s">
        <v>85</v>
      </c>
      <c r="B40" s="147">
        <v>0.17489827604766656</v>
      </c>
      <c r="C40" s="147">
        <v>0.17489827604766656</v>
      </c>
      <c r="D40" s="147">
        <v>0.17489827604766656</v>
      </c>
      <c r="E40" s="147">
        <v>5.4345140567386743</v>
      </c>
      <c r="F40" s="147">
        <v>0.21032135261668511</v>
      </c>
      <c r="G40" s="147">
        <v>1.0383730075038093</v>
      </c>
      <c r="H40" s="147">
        <v>0.24766340643796464</v>
      </c>
      <c r="I40" s="10">
        <v>6.7633804693835883E-2</v>
      </c>
      <c r="J40" s="10">
        <v>5.1332470377789451E-2</v>
      </c>
      <c r="K40" s="10">
        <v>2.7520218195668727E-2</v>
      </c>
      <c r="L40" s="10">
        <v>6.3494136177677976E-2</v>
      </c>
      <c r="M40" s="10">
        <v>3.1747068088838988E-2</v>
      </c>
      <c r="N40" s="10">
        <v>1.7137767759244575E-2</v>
      </c>
    </row>
    <row r="41" spans="1:14" x14ac:dyDescent="0.25">
      <c r="A41" s="123"/>
      <c r="B41" s="123"/>
      <c r="C41" s="123"/>
      <c r="D41" s="123"/>
      <c r="E41" s="123"/>
      <c r="F41" s="123"/>
      <c r="G41" s="123"/>
      <c r="H41" s="123"/>
    </row>
    <row r="42" spans="1:14" x14ac:dyDescent="0.25">
      <c r="A42" s="96"/>
      <c r="B42" s="96"/>
      <c r="C42" s="96"/>
      <c r="D42" s="96"/>
      <c r="E42" s="96"/>
      <c r="F42" s="96"/>
      <c r="G42" s="97"/>
      <c r="H42" s="96"/>
    </row>
    <row r="43" spans="1:14" x14ac:dyDescent="0.25">
      <c r="A43" s="95"/>
      <c r="B43" s="95"/>
      <c r="C43" s="95"/>
      <c r="D43" s="95"/>
      <c r="E43" s="95"/>
      <c r="F43" s="95"/>
      <c r="H43" s="95"/>
    </row>
    <row r="44" spans="1:14" x14ac:dyDescent="0.25">
      <c r="A44" s="95"/>
      <c r="B44" s="95"/>
      <c r="C44" s="95"/>
      <c r="D44" s="95"/>
      <c r="E44" s="95"/>
      <c r="F44" s="95"/>
      <c r="H44" s="95"/>
    </row>
  </sheetData>
  <sheetProtection password="B056" sheet="1" objects="1" scenarios="1"/>
  <mergeCells count="19">
    <mergeCell ref="F1:J1"/>
    <mergeCell ref="B28:D34"/>
    <mergeCell ref="A10:A17"/>
    <mergeCell ref="A2:D2"/>
    <mergeCell ref="A3:D3"/>
    <mergeCell ref="A4:A5"/>
    <mergeCell ref="B4:D4"/>
    <mergeCell ref="B10:D11"/>
    <mergeCell ref="B12:D17"/>
    <mergeCell ref="I38:K38"/>
    <mergeCell ref="L38:N38"/>
    <mergeCell ref="F19:J19"/>
    <mergeCell ref="A21:A22"/>
    <mergeCell ref="B21:D21"/>
    <mergeCell ref="A20:D20"/>
    <mergeCell ref="A25:A34"/>
    <mergeCell ref="A37:A39"/>
    <mergeCell ref="B38:H38"/>
    <mergeCell ref="B37:N3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G21" sqref="G21"/>
    </sheetView>
  </sheetViews>
  <sheetFormatPr defaultRowHeight="15" x14ac:dyDescent="0.25"/>
  <cols>
    <col min="1" max="1" width="27.28515625" bestFit="1" customWidth="1"/>
    <col min="2" max="2" width="15.7109375" customWidth="1"/>
    <col min="3" max="3" width="13.42578125" customWidth="1"/>
    <col min="4" max="4" width="16.28515625" customWidth="1"/>
    <col min="5" max="5" width="13.85546875" customWidth="1"/>
    <col min="6" max="6" width="13.28515625" customWidth="1"/>
    <col min="7" max="7" width="11.140625" customWidth="1"/>
    <col min="8" max="8" width="12" customWidth="1"/>
    <col min="9" max="9" width="10.85546875" customWidth="1"/>
  </cols>
  <sheetData>
    <row r="1" spans="1:14" ht="22.5" customHeight="1" x14ac:dyDescent="0.25">
      <c r="A1" s="204" t="s">
        <v>0</v>
      </c>
      <c r="B1" s="211" t="s">
        <v>229</v>
      </c>
      <c r="C1" s="211" t="s">
        <v>230</v>
      </c>
      <c r="D1" s="205" t="s">
        <v>103</v>
      </c>
      <c r="E1" s="208" t="s">
        <v>212</v>
      </c>
      <c r="F1" s="209"/>
      <c r="G1" s="210"/>
      <c r="H1" s="206" t="s">
        <v>1</v>
      </c>
      <c r="I1" s="207"/>
      <c r="J1" s="207"/>
    </row>
    <row r="2" spans="1:14" x14ac:dyDescent="0.25">
      <c r="A2" s="204"/>
      <c r="B2" s="211"/>
      <c r="C2" s="211"/>
      <c r="D2" s="205"/>
      <c r="E2" s="55" t="s">
        <v>35</v>
      </c>
      <c r="F2" s="55" t="s">
        <v>3</v>
      </c>
      <c r="G2" s="55" t="s">
        <v>126</v>
      </c>
      <c r="H2" s="55" t="s">
        <v>35</v>
      </c>
      <c r="I2" s="55" t="s">
        <v>3</v>
      </c>
      <c r="J2" s="55" t="s">
        <v>126</v>
      </c>
    </row>
    <row r="3" spans="1:14" x14ac:dyDescent="0.25">
      <c r="A3" s="4" t="s">
        <v>104</v>
      </c>
      <c r="B3" s="32">
        <v>-20.174168999999999</v>
      </c>
      <c r="C3" s="32">
        <v>-40.272084</v>
      </c>
      <c r="D3" s="62">
        <f>Dados!B25*Dados!B30</f>
        <v>550</v>
      </c>
      <c r="E3" s="67">
        <f>'FE-Perfuração e Detonação'!C6</f>
        <v>0.59</v>
      </c>
      <c r="F3" s="67">
        <f>'FE-Perfuração e Detonação'!D6</f>
        <v>0.31</v>
      </c>
      <c r="G3" s="67">
        <f>0.03*E3</f>
        <v>1.7699999999999997E-2</v>
      </c>
      <c r="H3" s="128">
        <f>D3*E3/8760</f>
        <v>3.7043378995433793E-2</v>
      </c>
      <c r="I3" s="128">
        <f>F3*D3/8760</f>
        <v>1.9463470319634704E-2</v>
      </c>
      <c r="J3" s="128">
        <f>G3*D3/8760</f>
        <v>1.1113013698630133E-3</v>
      </c>
    </row>
    <row r="4" spans="1:14" x14ac:dyDescent="0.25">
      <c r="A4" s="212" t="s">
        <v>224</v>
      </c>
      <c r="B4" s="213"/>
      <c r="C4" s="213"/>
      <c r="D4" s="213"/>
      <c r="E4" s="213"/>
      <c r="F4" s="213"/>
      <c r="G4" s="214"/>
      <c r="H4" s="16">
        <f>SUM(H3)</f>
        <v>3.7043378995433793E-2</v>
      </c>
      <c r="I4" s="16">
        <f>SUM(I3)</f>
        <v>1.9463470319634704E-2</v>
      </c>
      <c r="J4" s="16">
        <f>SUM(J3)</f>
        <v>1.1113013698630133E-3</v>
      </c>
    </row>
    <row r="5" spans="1:14" x14ac:dyDescent="0.25">
      <c r="A5" s="69"/>
    </row>
    <row r="7" spans="1:14" x14ac:dyDescent="0.25">
      <c r="A7" s="204" t="s">
        <v>0</v>
      </c>
      <c r="B7" s="211" t="s">
        <v>229</v>
      </c>
      <c r="C7" s="211" t="s">
        <v>230</v>
      </c>
      <c r="D7" s="205" t="s">
        <v>213</v>
      </c>
      <c r="E7" s="215" t="s">
        <v>99</v>
      </c>
      <c r="F7" s="215" t="s">
        <v>214</v>
      </c>
      <c r="G7" s="202" t="s">
        <v>100</v>
      </c>
      <c r="H7" s="203"/>
      <c r="I7" s="203"/>
      <c r="J7" s="203"/>
      <c r="K7" s="202" t="s">
        <v>1</v>
      </c>
      <c r="L7" s="203"/>
      <c r="M7" s="203"/>
      <c r="N7" s="203"/>
    </row>
    <row r="8" spans="1:14" ht="24.75" customHeight="1" x14ac:dyDescent="0.25">
      <c r="A8" s="204"/>
      <c r="B8" s="211"/>
      <c r="C8" s="211"/>
      <c r="D8" s="205"/>
      <c r="E8" s="216"/>
      <c r="F8" s="216"/>
      <c r="G8" s="56" t="s">
        <v>217</v>
      </c>
      <c r="H8" s="56" t="s">
        <v>216</v>
      </c>
      <c r="I8" s="56" t="s">
        <v>215</v>
      </c>
      <c r="J8" s="55" t="s">
        <v>218</v>
      </c>
      <c r="K8" s="55" t="s">
        <v>35</v>
      </c>
      <c r="L8" s="55" t="s">
        <v>60</v>
      </c>
      <c r="M8" s="55" t="s">
        <v>61</v>
      </c>
      <c r="N8" s="55" t="s">
        <v>4</v>
      </c>
    </row>
    <row r="9" spans="1:14" x14ac:dyDescent="0.25">
      <c r="A9" s="57" t="s">
        <v>101</v>
      </c>
      <c r="B9" s="32">
        <v>-20.174168999999999</v>
      </c>
      <c r="C9" s="32">
        <v>-40.272084</v>
      </c>
      <c r="D9" s="58">
        <f>Dados!B27</f>
        <v>800</v>
      </c>
      <c r="E9" s="58">
        <f>Dados!B30</f>
        <v>22</v>
      </c>
      <c r="F9" s="59">
        <f>Dados!B29*Dados!B30/1000</f>
        <v>18.7</v>
      </c>
      <c r="G9" s="60">
        <f>0.00022*(D9^1.5)</f>
        <v>4.9780317395532911</v>
      </c>
      <c r="H9" s="8">
        <f>G9*0.52</f>
        <v>2.5885765045677114</v>
      </c>
      <c r="I9" s="8">
        <f>G9*0.03</f>
        <v>0.14934095218659874</v>
      </c>
      <c r="J9" s="6">
        <f>'FE-Perfuração e Detonação'!C20</f>
        <v>32</v>
      </c>
      <c r="K9" s="100">
        <f>$E$9*G9/8760</f>
        <v>1.2501906195225161E-2</v>
      </c>
      <c r="L9" s="88">
        <f>$E$9*H9/8760</f>
        <v>6.5009912215170836E-3</v>
      </c>
      <c r="M9" s="88">
        <f>$E$9*I9/8760</f>
        <v>3.7505718585675477E-4</v>
      </c>
      <c r="N9" s="100">
        <f>$F$9*J9/8760</f>
        <v>6.8310502283105021E-2</v>
      </c>
    </row>
    <row r="10" spans="1:14" x14ac:dyDescent="0.25">
      <c r="A10" s="200" t="s">
        <v>225</v>
      </c>
      <c r="B10" s="200"/>
      <c r="C10" s="200"/>
      <c r="D10" s="200"/>
      <c r="E10" s="200"/>
      <c r="F10" s="200"/>
      <c r="G10" s="200"/>
      <c r="H10" s="200"/>
      <c r="I10" s="200"/>
      <c r="J10" s="200"/>
      <c r="K10" s="16">
        <f>SUM(K9)</f>
        <v>1.2501906195225161E-2</v>
      </c>
      <c r="L10" s="16">
        <f>SUM(L9)</f>
        <v>6.5009912215170836E-3</v>
      </c>
      <c r="M10" s="16">
        <f>SUM(M9)</f>
        <v>3.7505718585675477E-4</v>
      </c>
      <c r="N10" s="35">
        <f>SUM(N9)</f>
        <v>6.8310502283105021E-2</v>
      </c>
    </row>
    <row r="11" spans="1:14" x14ac:dyDescent="0.25">
      <c r="A11" s="69"/>
      <c r="J11" s="93"/>
    </row>
    <row r="13" spans="1:14" x14ac:dyDescent="0.25">
      <c r="H13" s="122"/>
    </row>
    <row r="14" spans="1:14" x14ac:dyDescent="0.25">
      <c r="H14" s="6"/>
    </row>
    <row r="15" spans="1:14" x14ac:dyDescent="0.25">
      <c r="H15" s="49"/>
    </row>
    <row r="16" spans="1:14" x14ac:dyDescent="0.25">
      <c r="H16" s="49"/>
    </row>
  </sheetData>
  <sheetProtection password="B056" sheet="1" objects="1" scenarios="1"/>
  <mergeCells count="16">
    <mergeCell ref="A10:J10"/>
    <mergeCell ref="B7:B8"/>
    <mergeCell ref="C7:C8"/>
    <mergeCell ref="A4:G4"/>
    <mergeCell ref="E7:E8"/>
    <mergeCell ref="F7:F8"/>
    <mergeCell ref="K7:N7"/>
    <mergeCell ref="A1:A2"/>
    <mergeCell ref="D1:D2"/>
    <mergeCell ref="H1:J1"/>
    <mergeCell ref="E1:G1"/>
    <mergeCell ref="A7:A8"/>
    <mergeCell ref="D7:D8"/>
    <mergeCell ref="G7:J7"/>
    <mergeCell ref="B1:B2"/>
    <mergeCell ref="C1:C2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"/>
  <sheetViews>
    <sheetView workbookViewId="0">
      <selection activeCell="H26" sqref="H26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3.7109375" style="1" bestFit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5" ht="15" customHeight="1" x14ac:dyDescent="0.2">
      <c r="A1" s="3" t="s">
        <v>192</v>
      </c>
    </row>
    <row r="2" spans="1:15" ht="15" customHeight="1" x14ac:dyDescent="0.2">
      <c r="A2" s="218" t="s">
        <v>0</v>
      </c>
      <c r="B2" s="218" t="s">
        <v>16</v>
      </c>
      <c r="C2" s="218" t="s">
        <v>17</v>
      </c>
      <c r="D2" s="211" t="s">
        <v>229</v>
      </c>
      <c r="E2" s="211" t="s">
        <v>230</v>
      </c>
      <c r="F2" s="218" t="s">
        <v>18</v>
      </c>
      <c r="G2" s="218" t="s">
        <v>19</v>
      </c>
      <c r="H2" s="220" t="s">
        <v>1</v>
      </c>
      <c r="I2" s="221"/>
      <c r="J2" s="221"/>
      <c r="K2" s="221"/>
      <c r="L2" s="221"/>
      <c r="M2" s="221"/>
      <c r="N2" s="221"/>
    </row>
    <row r="3" spans="1:15" ht="15" customHeight="1" x14ac:dyDescent="0.2">
      <c r="A3" s="219"/>
      <c r="B3" s="219"/>
      <c r="C3" s="219"/>
      <c r="D3" s="211"/>
      <c r="E3" s="211"/>
      <c r="F3" s="219"/>
      <c r="G3" s="219"/>
      <c r="H3" s="5" t="s">
        <v>2</v>
      </c>
      <c r="I3" s="5" t="s">
        <v>3</v>
      </c>
      <c r="J3" s="5" t="s">
        <v>20</v>
      </c>
      <c r="K3" s="5" t="s">
        <v>5</v>
      </c>
      <c r="L3" s="5" t="s">
        <v>6</v>
      </c>
      <c r="M3" s="5" t="s">
        <v>4</v>
      </c>
      <c r="N3" s="5" t="s">
        <v>228</v>
      </c>
    </row>
    <row r="4" spans="1:15" ht="15" customHeight="1" x14ac:dyDescent="0.2">
      <c r="A4" s="3" t="s">
        <v>25</v>
      </c>
      <c r="B4" s="11">
        <v>272</v>
      </c>
      <c r="C4" s="3" t="s">
        <v>32</v>
      </c>
      <c r="D4" s="32">
        <v>-20.174168999999999</v>
      </c>
      <c r="E4" s="32">
        <v>-40.272084</v>
      </c>
      <c r="F4" s="6">
        <v>1</v>
      </c>
      <c r="G4" s="11">
        <v>9</v>
      </c>
      <c r="H4" s="30">
        <f>(INDEX(FE_Equip,MATCH($C4,Pot_Equip,0),2))*F4*G4/(24)</f>
        <v>1.661723891085742E-2</v>
      </c>
      <c r="I4" s="30">
        <f>H4</f>
        <v>1.661723891085742E-2</v>
      </c>
      <c r="J4" s="30">
        <f>H4</f>
        <v>1.661723891085742E-2</v>
      </c>
      <c r="K4" s="30">
        <f>(INDEX(FE_Equip,MATCH($C4,Pot_Equip,0),3))*F4*G4/(24)</f>
        <v>0.44291919626853682</v>
      </c>
      <c r="L4" s="30">
        <f>(INDEX(FE_Equip,MATCH($C4,Pot_Equip,0),4))*F4*G4/(24)</f>
        <v>3.9569898505333289E-4</v>
      </c>
      <c r="M4" s="30">
        <f>(INDEX(FE_Equip,MATCH($C4,Pot_Equip,0),5))*F4*G4/(24)</f>
        <v>0.16508685271423187</v>
      </c>
      <c r="N4" s="30">
        <f>(INDEX(FE_Equip,MATCH($C4,Pot_Equip,0),6))*F4*G4/(24)</f>
        <v>4.3006177329466717E-2</v>
      </c>
    </row>
    <row r="5" spans="1:15" ht="15" customHeight="1" x14ac:dyDescent="0.2">
      <c r="A5" s="3" t="s">
        <v>25</v>
      </c>
      <c r="B5" s="11">
        <v>230</v>
      </c>
      <c r="C5" s="3" t="s">
        <v>31</v>
      </c>
      <c r="D5" s="32">
        <v>-20.174168999999999</v>
      </c>
      <c r="E5" s="32">
        <v>-40.272084</v>
      </c>
      <c r="F5" s="6">
        <v>1</v>
      </c>
      <c r="G5" s="11">
        <v>9</v>
      </c>
      <c r="H5" s="30">
        <f>(INDEX(FE_Equip,MATCH($C5,Pot_Equip,0),2))*F5*G5/(24)</f>
        <v>1.1629061697108124E-2</v>
      </c>
      <c r="I5" s="30">
        <f>H5</f>
        <v>1.1629061697108124E-2</v>
      </c>
      <c r="J5" s="30">
        <f>H5</f>
        <v>1.1629061697108124E-2</v>
      </c>
      <c r="K5" s="30">
        <f>(INDEX(FE_Equip,MATCH($C5,Pot_Equip,0),3))*F5*G5/(24)</f>
        <v>0.31386803831882726</v>
      </c>
      <c r="L5" s="30">
        <f>(INDEX(FE_Equip,MATCH($C5,Pot_Equip,0),4))*F5*G5/(24)</f>
        <v>2.8512390140737526E-4</v>
      </c>
      <c r="M5" s="30">
        <f>(INDEX(FE_Equip,MATCH($C5,Pot_Equip,0),5))*F5*G5/(24)</f>
        <v>8.4359444305215289E-2</v>
      </c>
      <c r="N5" s="30">
        <f>(INDEX(FE_Equip,MATCH($C5,Pot_Equip,0),6))*F5*G5/(24)</f>
        <v>3.0293019326838987E-2</v>
      </c>
    </row>
    <row r="6" spans="1:15" ht="15" customHeight="1" x14ac:dyDescent="0.2">
      <c r="A6" s="3" t="s">
        <v>42</v>
      </c>
      <c r="B6" s="11">
        <v>360</v>
      </c>
      <c r="C6" s="3" t="s">
        <v>95</v>
      </c>
      <c r="D6" s="32">
        <v>-20.174168999999999</v>
      </c>
      <c r="E6" s="32">
        <v>-40.272084</v>
      </c>
      <c r="F6" s="6">
        <v>1</v>
      </c>
      <c r="G6" s="11">
        <v>9</v>
      </c>
      <c r="H6" s="30">
        <f>(INDEX(FE_Equip,MATCH($C6,Pot_Equip,0),2))*F6*G6/(24)</f>
        <v>1.4586722814978135E-2</v>
      </c>
      <c r="I6" s="30">
        <f>H6</f>
        <v>1.4586722814978135E-2</v>
      </c>
      <c r="J6" s="30">
        <f>H6</f>
        <v>1.4586722814978135E-2</v>
      </c>
      <c r="K6" s="30">
        <f>(INDEX(FE_Equip,MATCH($C6,Pot_Equip,0),3))*F6*G6/(24)</f>
        <v>0.40499059922058761</v>
      </c>
      <c r="L6" s="30">
        <f>(INDEX(FE_Equip,MATCH($C6,Pot_Equip,0),4))*F6*G6/(24)</f>
        <v>3.9023458088617569E-4</v>
      </c>
      <c r="M6" s="30">
        <f>(INDEX(FE_Equip,MATCH($C6,Pot_Equip,0),5))*F6*G6/(24)</f>
        <v>0.13017156570930896</v>
      </c>
      <c r="N6" s="30">
        <f>(INDEX(FE_Equip,MATCH($C6,Pot_Equip,0),6))*F6*G6/(24)</f>
        <v>3.9031064524796551E-2</v>
      </c>
    </row>
    <row r="7" spans="1:15" ht="15" customHeight="1" x14ac:dyDescent="0.2">
      <c r="A7" s="3" t="s">
        <v>42</v>
      </c>
      <c r="B7" s="11">
        <v>270</v>
      </c>
      <c r="C7" s="3" t="s">
        <v>95</v>
      </c>
      <c r="D7" s="32">
        <v>-20.174168999999999</v>
      </c>
      <c r="E7" s="32">
        <v>-40.272084</v>
      </c>
      <c r="F7" s="6">
        <v>1</v>
      </c>
      <c r="G7" s="11">
        <v>9</v>
      </c>
      <c r="H7" s="30">
        <f>(INDEX(FE_Equip,MATCH($C7,Pot_Equip,0),2))*F7*G7/(24)</f>
        <v>1.4586722814978135E-2</v>
      </c>
      <c r="I7" s="30">
        <f>H7</f>
        <v>1.4586722814978135E-2</v>
      </c>
      <c r="J7" s="30">
        <f>H7</f>
        <v>1.4586722814978135E-2</v>
      </c>
      <c r="K7" s="30">
        <f>(INDEX(FE_Equip,MATCH($C7,Pot_Equip,0),3))*F7*G7/(24)</f>
        <v>0.40499059922058761</v>
      </c>
      <c r="L7" s="30">
        <f>(INDEX(FE_Equip,MATCH($C7,Pot_Equip,0),4))*F7*G7/(24)</f>
        <v>3.9023458088617569E-4</v>
      </c>
      <c r="M7" s="30">
        <f>(INDEX(FE_Equip,MATCH($C7,Pot_Equip,0),5))*F7*G7/(24)</f>
        <v>0.13017156570930896</v>
      </c>
      <c r="N7" s="30">
        <f>(INDEX(FE_Equip,MATCH($C7,Pot_Equip,0),6))*F7*G7/(24)</f>
        <v>3.9031064524796551E-2</v>
      </c>
    </row>
    <row r="8" spans="1:15" ht="15" customHeight="1" x14ac:dyDescent="0.2">
      <c r="A8" s="217" t="s">
        <v>223</v>
      </c>
      <c r="B8" s="217"/>
      <c r="C8" s="217"/>
      <c r="D8" s="217"/>
      <c r="E8" s="217"/>
      <c r="F8" s="217"/>
      <c r="G8" s="217"/>
      <c r="H8" s="16">
        <f t="shared" ref="H8:N8" si="0">SUM(H4:H7)</f>
        <v>5.7419746237921815E-2</v>
      </c>
      <c r="I8" s="16">
        <f t="shared" si="0"/>
        <v>5.7419746237921815E-2</v>
      </c>
      <c r="J8" s="16">
        <f t="shared" si="0"/>
        <v>5.7419746237921815E-2</v>
      </c>
      <c r="K8" s="16">
        <f t="shared" si="0"/>
        <v>1.5667684330285392</v>
      </c>
      <c r="L8" s="16">
        <f t="shared" si="0"/>
        <v>1.4612920482330596E-3</v>
      </c>
      <c r="M8" s="16">
        <f t="shared" si="0"/>
        <v>0.50978942843806507</v>
      </c>
      <c r="N8" s="16">
        <f t="shared" si="0"/>
        <v>0.1513613257058988</v>
      </c>
      <c r="O8" s="19"/>
    </row>
    <row r="9" spans="1:15" ht="15" customHeight="1" x14ac:dyDescent="0.2">
      <c r="A9" s="34"/>
      <c r="B9" s="42"/>
      <c r="G9" s="34"/>
      <c r="H9" s="9"/>
      <c r="I9" s="9"/>
      <c r="J9" s="9"/>
      <c r="K9" s="9"/>
      <c r="L9" s="10"/>
      <c r="M9" s="9"/>
      <c r="N9" s="9"/>
    </row>
    <row r="10" spans="1:15" ht="15" customHeight="1" x14ac:dyDescent="0.2">
      <c r="H10" s="48"/>
      <c r="I10" s="48"/>
      <c r="J10" s="48"/>
      <c r="K10" s="48"/>
      <c r="L10" s="48"/>
    </row>
    <row r="11" spans="1:15" ht="15" customHeight="1" x14ac:dyDescent="0.25">
      <c r="A11" s="47"/>
      <c r="B11" s="47"/>
      <c r="C11" s="47"/>
      <c r="D11" s="47"/>
      <c r="E11" s="47"/>
      <c r="F11" s="47"/>
    </row>
  </sheetData>
  <sheetProtection password="B056" sheet="1" objects="1" scenarios="1"/>
  <mergeCells count="9">
    <mergeCell ref="A8:G8"/>
    <mergeCell ref="G2:G3"/>
    <mergeCell ref="H2:N2"/>
    <mergeCell ref="A2:A3"/>
    <mergeCell ref="B2:B3"/>
    <mergeCell ref="C2:C3"/>
    <mergeCell ref="F2:F3"/>
    <mergeCell ref="D2:D3"/>
    <mergeCell ref="E2:E3"/>
  </mergeCells>
  <dataValidations count="1">
    <dataValidation type="list" allowBlank="1" showInputMessage="1" showErrorMessage="1" sqref="C4:C7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E18" sqref="E18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6" width="13.140625" customWidth="1"/>
    <col min="7" max="7" width="10.85546875" customWidth="1"/>
    <col min="8" max="13" width="11" customWidth="1"/>
  </cols>
  <sheetData>
    <row r="1" spans="1:14" ht="15" customHeight="1" x14ac:dyDescent="0.25">
      <c r="A1" s="204" t="s">
        <v>0</v>
      </c>
      <c r="B1" s="211" t="s">
        <v>229</v>
      </c>
      <c r="C1" s="211" t="s">
        <v>230</v>
      </c>
      <c r="D1" s="205" t="s">
        <v>198</v>
      </c>
      <c r="E1" s="222" t="s">
        <v>197</v>
      </c>
      <c r="F1" s="205" t="s">
        <v>120</v>
      </c>
      <c r="G1" s="205"/>
      <c r="H1" s="207" t="s">
        <v>199</v>
      </c>
      <c r="I1" s="207"/>
      <c r="J1" s="224"/>
      <c r="K1" s="206" t="s">
        <v>1</v>
      </c>
      <c r="L1" s="207"/>
      <c r="M1" s="224"/>
    </row>
    <row r="2" spans="1:14" ht="22.5" x14ac:dyDescent="0.25">
      <c r="A2" s="204"/>
      <c r="B2" s="211"/>
      <c r="C2" s="211"/>
      <c r="D2" s="205"/>
      <c r="E2" s="223"/>
      <c r="F2" s="132" t="s">
        <v>24</v>
      </c>
      <c r="G2" s="132" t="s">
        <v>196</v>
      </c>
      <c r="H2" s="133" t="s">
        <v>35</v>
      </c>
      <c r="I2" s="36" t="s">
        <v>60</v>
      </c>
      <c r="J2" s="36" t="s">
        <v>61</v>
      </c>
      <c r="K2" s="36" t="s">
        <v>35</v>
      </c>
      <c r="L2" s="36" t="s">
        <v>60</v>
      </c>
      <c r="M2" s="36" t="s">
        <v>61</v>
      </c>
    </row>
    <row r="3" spans="1:14" x14ac:dyDescent="0.25">
      <c r="A3" s="20" t="s">
        <v>128</v>
      </c>
      <c r="B3" s="32">
        <v>-20.174168999999999</v>
      </c>
      <c r="C3" s="32">
        <v>-40.272084</v>
      </c>
      <c r="D3" s="67">
        <f>SUM(Dados!C7:C20)</f>
        <v>46.377981735159821</v>
      </c>
      <c r="E3" s="62">
        <v>1</v>
      </c>
      <c r="F3" s="59" t="s">
        <v>219</v>
      </c>
      <c r="G3" s="59">
        <v>50</v>
      </c>
      <c r="H3" s="144">
        <f>'FE-Transferências'!$B$3*0.0016*(($B$14/2.2)^1.3)/(($E3/2)^1.4)</f>
        <v>7.2282377015546288E-3</v>
      </c>
      <c r="I3" s="144">
        <f>'FE-Transferências'!$C$3*0.0016*(($B$14/2.2)^1.3)/(($E3/2)^1.4)</f>
        <v>3.418761075059621E-3</v>
      </c>
      <c r="J3" s="144">
        <f>'FE-Transferências'!$D$3*0.0016*(($B$14/2.2)^1.3)/(($E3/2)^1.4)</f>
        <v>5.176981056518856E-4</v>
      </c>
      <c r="K3" s="45">
        <f>H3*$D3*(1-G3/100)</f>
        <v>0.16761553805004709</v>
      </c>
      <c r="L3" s="45">
        <f>I3*$D3*(1-G3/100)</f>
        <v>7.9277619347995223E-2</v>
      </c>
      <c r="M3" s="45">
        <f>J3*$D3*(1-G3/100)</f>
        <v>1.2004896644124996E-2</v>
      </c>
    </row>
    <row r="4" spans="1:14" x14ac:dyDescent="0.25">
      <c r="A4" s="75" t="s">
        <v>141</v>
      </c>
      <c r="B4" s="32">
        <v>-20.173967000000001</v>
      </c>
      <c r="C4" s="81">
        <v>-40.270024999999997</v>
      </c>
      <c r="D4" s="134">
        <f t="shared" ref="D4:D10" si="0">D3</f>
        <v>46.377981735159821</v>
      </c>
      <c r="E4" s="62">
        <v>1</v>
      </c>
      <c r="F4" s="59" t="s">
        <v>219</v>
      </c>
      <c r="G4" s="59">
        <v>50</v>
      </c>
      <c r="H4" s="145">
        <f>'FE-Transferências'!$B$3*0.0016*(($B$14/2.2)^1.3)/(($E4/2)^1.4)</f>
        <v>7.2282377015546288E-3</v>
      </c>
      <c r="I4" s="144">
        <f>'FE-Transferências'!$C$3*0.0016*(($B$14/2.2)^1.3)/(($E4/2)^1.4)</f>
        <v>3.418761075059621E-3</v>
      </c>
      <c r="J4" s="144">
        <f>'FE-Transferências'!$D$3*0.0016*(($B$14/2.2)^1.3)/(($E4/2)^1.4)</f>
        <v>5.176981056518856E-4</v>
      </c>
      <c r="K4" s="45">
        <f t="shared" ref="K4:K8" si="1">H4*$D4*(1-G4/100)</f>
        <v>0.16761553805004709</v>
      </c>
      <c r="L4" s="45">
        <f t="shared" ref="L4:L8" si="2">I4*$D4*(1-G4/100)</f>
        <v>7.9277619347995223E-2</v>
      </c>
      <c r="M4" s="45">
        <f t="shared" ref="M4:M8" si="3">J4*$D4*(1-G4/100)</f>
        <v>1.2004896644124996E-2</v>
      </c>
    </row>
    <row r="5" spans="1:14" x14ac:dyDescent="0.25">
      <c r="A5" s="75" t="s">
        <v>172</v>
      </c>
      <c r="B5" s="32">
        <v>-20.173741</v>
      </c>
      <c r="C5" s="32">
        <v>-40.269644999999997</v>
      </c>
      <c r="D5" s="134">
        <f t="shared" si="0"/>
        <v>46.377981735159821</v>
      </c>
      <c r="E5" s="85">
        <v>1</v>
      </c>
      <c r="F5" s="59" t="s">
        <v>153</v>
      </c>
      <c r="G5" s="59" t="s">
        <v>153</v>
      </c>
      <c r="H5" s="145">
        <f>'FE-Transferências'!$B$3*0.0016*(($B$14/2.2)^1.3)/(($E5/2)^1.4)</f>
        <v>7.2282377015546288E-3</v>
      </c>
      <c r="I5" s="144">
        <f>'FE-Transferências'!$C$3*0.0016*(($B$14/2.2)^1.3)/(($E5/2)^1.4)</f>
        <v>3.418761075059621E-3</v>
      </c>
      <c r="J5" s="144">
        <f>'FE-Transferências'!$D$3*0.0016*(($B$14/2.2)^1.3)/(($E5/2)^1.4)</f>
        <v>5.176981056518856E-4</v>
      </c>
      <c r="K5" s="45">
        <f>H5*$D5</f>
        <v>0.33523107610009417</v>
      </c>
      <c r="L5" s="45">
        <f>I5*$D5</f>
        <v>0.15855523869599045</v>
      </c>
      <c r="M5" s="45">
        <f>J5*$D5</f>
        <v>2.4009793288249991E-2</v>
      </c>
    </row>
    <row r="6" spans="1:14" x14ac:dyDescent="0.25">
      <c r="A6" s="75" t="s">
        <v>173</v>
      </c>
      <c r="B6" s="32">
        <v>-20.175166999999998</v>
      </c>
      <c r="C6" s="32">
        <v>-40.269824</v>
      </c>
      <c r="D6" s="134">
        <f t="shared" si="0"/>
        <v>46.377981735159821</v>
      </c>
      <c r="E6" s="85">
        <v>1</v>
      </c>
      <c r="F6" s="59" t="s">
        <v>153</v>
      </c>
      <c r="G6" s="59" t="s">
        <v>153</v>
      </c>
      <c r="H6" s="145">
        <f>'FE-Transferências'!$B$3*0.0016*(($B$14/2.2)^1.3)/(($E6/2)^1.4)</f>
        <v>7.2282377015546288E-3</v>
      </c>
      <c r="I6" s="144">
        <f>'FE-Transferências'!$C$3*0.0016*(($B$14/2.2)^1.3)/(($E6/2)^1.4)</f>
        <v>3.418761075059621E-3</v>
      </c>
      <c r="J6" s="144">
        <f>'FE-Transferências'!$D$3*0.0016*(($B$14/2.2)^1.3)/(($E6/2)^1.4)</f>
        <v>5.176981056518856E-4</v>
      </c>
      <c r="K6" s="45">
        <f t="shared" ref="K6:K7" si="4">H6*$D6</f>
        <v>0.33523107610009417</v>
      </c>
      <c r="L6" s="45">
        <f t="shared" ref="L6:L7" si="5">I6*$D6</f>
        <v>0.15855523869599045</v>
      </c>
      <c r="M6" s="45">
        <f t="shared" ref="M6:M7" si="6">J6*$D6</f>
        <v>2.4009793288249991E-2</v>
      </c>
      <c r="N6" s="34"/>
    </row>
    <row r="7" spans="1:14" x14ac:dyDescent="0.25">
      <c r="A7" s="75" t="s">
        <v>174</v>
      </c>
      <c r="B7" s="32">
        <v>-20.175257999999999</v>
      </c>
      <c r="C7" s="32">
        <v>-40.269545000000001</v>
      </c>
      <c r="D7" s="134">
        <f t="shared" si="0"/>
        <v>46.377981735159821</v>
      </c>
      <c r="E7" s="85">
        <v>1</v>
      </c>
      <c r="F7" s="59" t="s">
        <v>153</v>
      </c>
      <c r="G7" s="59" t="s">
        <v>153</v>
      </c>
      <c r="H7" s="145">
        <f>'FE-Transferências'!$B$3*0.0016*(($B$14/2.2)^1.3)/(($E7/2)^1.4)</f>
        <v>7.2282377015546288E-3</v>
      </c>
      <c r="I7" s="144">
        <f>'FE-Transferências'!$C$3*0.0016*(($B$14/2.2)^1.3)/(($E7/2)^1.4)</f>
        <v>3.418761075059621E-3</v>
      </c>
      <c r="J7" s="144">
        <f>'FE-Transferências'!$D$3*0.0016*(($B$14/2.2)^1.3)/(($E7/2)^1.4)</f>
        <v>5.176981056518856E-4</v>
      </c>
      <c r="K7" s="45">
        <f t="shared" si="4"/>
        <v>0.33523107610009417</v>
      </c>
      <c r="L7" s="45">
        <f t="shared" si="5"/>
        <v>0.15855523869599045</v>
      </c>
      <c r="M7" s="45">
        <f t="shared" si="6"/>
        <v>2.4009793288249991E-2</v>
      </c>
      <c r="N7" s="34"/>
    </row>
    <row r="8" spans="1:14" x14ac:dyDescent="0.25">
      <c r="A8" s="75" t="s">
        <v>177</v>
      </c>
      <c r="B8" s="32">
        <v>-20.175101000000002</v>
      </c>
      <c r="C8" s="32">
        <v>-40.269348999999998</v>
      </c>
      <c r="D8" s="134">
        <f t="shared" si="0"/>
        <v>46.377981735159821</v>
      </c>
      <c r="E8" s="85">
        <v>1</v>
      </c>
      <c r="F8" s="59" t="s">
        <v>219</v>
      </c>
      <c r="G8" s="59">
        <v>50</v>
      </c>
      <c r="H8" s="145">
        <f>'FE-Transferências'!$B$3*0.0016*(($B$14/2.2)^1.3)/(($E8/2)^1.4)</f>
        <v>7.2282377015546288E-3</v>
      </c>
      <c r="I8" s="144">
        <f>'FE-Transferências'!$C$3*0.0016*(($B$14/2.2)^1.3)/(($E8/2)^1.4)</f>
        <v>3.418761075059621E-3</v>
      </c>
      <c r="J8" s="144">
        <f>'FE-Transferências'!$D$3*0.0016*(($B$14/2.2)^1.3)/(($E8/2)^1.4)</f>
        <v>5.176981056518856E-4</v>
      </c>
      <c r="K8" s="45">
        <f t="shared" si="1"/>
        <v>0.16761553805004709</v>
      </c>
      <c r="L8" s="45">
        <f t="shared" si="2"/>
        <v>7.9277619347995223E-2</v>
      </c>
      <c r="M8" s="45">
        <f t="shared" si="3"/>
        <v>1.2004896644124996E-2</v>
      </c>
      <c r="N8" s="34"/>
    </row>
    <row r="9" spans="1:14" x14ac:dyDescent="0.25">
      <c r="A9" s="75" t="s">
        <v>178</v>
      </c>
      <c r="B9" s="81">
        <v>-20.174696000000001</v>
      </c>
      <c r="C9" s="32">
        <v>-40.269433999999997</v>
      </c>
      <c r="D9" s="134">
        <f t="shared" si="0"/>
        <v>46.377981735159821</v>
      </c>
      <c r="E9" s="85">
        <v>1</v>
      </c>
      <c r="F9" s="59" t="s">
        <v>153</v>
      </c>
      <c r="G9" s="59" t="s">
        <v>153</v>
      </c>
      <c r="H9" s="145">
        <f>'FE-Transferências'!$B$3*0.0016*(($B$14/2.2)^1.3)/(($E9/2)^1.4)</f>
        <v>7.2282377015546288E-3</v>
      </c>
      <c r="I9" s="144">
        <f>'FE-Transferências'!$C$3*0.0016*(($B$14/2.2)^1.3)/(($E9/2)^1.4)</f>
        <v>3.418761075059621E-3</v>
      </c>
      <c r="J9" s="144">
        <f>'FE-Transferências'!$D$3*0.0016*(($B$14/2.2)^1.3)/(($E9/2)^1.4)</f>
        <v>5.176981056518856E-4</v>
      </c>
      <c r="K9" s="45">
        <f>H9*$D9</f>
        <v>0.33523107610009417</v>
      </c>
      <c r="L9" s="45">
        <f>I9*$D9</f>
        <v>0.15855523869599045</v>
      </c>
      <c r="M9" s="45">
        <f>J9*$D9</f>
        <v>2.4009793288249991E-2</v>
      </c>
      <c r="N9" s="34"/>
    </row>
    <row r="10" spans="1:14" x14ac:dyDescent="0.25">
      <c r="A10" s="75" t="s">
        <v>193</v>
      </c>
      <c r="B10" s="81">
        <v>-20.174679999999999</v>
      </c>
      <c r="C10" s="32">
        <v>-40.269123</v>
      </c>
      <c r="D10" s="134">
        <f t="shared" si="0"/>
        <v>46.377981735159821</v>
      </c>
      <c r="E10" s="85">
        <v>1</v>
      </c>
      <c r="F10" s="59" t="s">
        <v>153</v>
      </c>
      <c r="G10" s="59" t="s">
        <v>153</v>
      </c>
      <c r="H10" s="145">
        <f>'FE-Transferências'!$B$3*0.0016*(($B$14/2.2)^1.3)/(($E10/2)^1.4)</f>
        <v>7.2282377015546288E-3</v>
      </c>
      <c r="I10" s="144">
        <f>'FE-Transferências'!$C$3*0.0016*(($B$14/2.2)^1.3)/(($E10/2)^1.4)</f>
        <v>3.418761075059621E-3</v>
      </c>
      <c r="J10" s="144">
        <f>'FE-Transferências'!$D$3*0.0016*(($B$14/2.2)^1.3)/(($E10/2)^1.4)</f>
        <v>5.176981056518856E-4</v>
      </c>
      <c r="K10" s="45">
        <f t="shared" ref="K10:K11" si="7">H10*$D10</f>
        <v>0.33523107610009417</v>
      </c>
      <c r="L10" s="45">
        <f t="shared" ref="L10:L11" si="8">I10*$D10</f>
        <v>0.15855523869599045</v>
      </c>
      <c r="M10" s="45">
        <f t="shared" ref="M10:M11" si="9">J10*$D10</f>
        <v>2.4009793288249991E-2</v>
      </c>
      <c r="N10" s="34"/>
    </row>
    <row r="11" spans="1:14" x14ac:dyDescent="0.25">
      <c r="A11" s="75" t="s">
        <v>194</v>
      </c>
      <c r="B11" s="81">
        <v>-20.174679999999999</v>
      </c>
      <c r="C11" s="32">
        <v>-40.269123</v>
      </c>
      <c r="D11" s="134">
        <f>Dados!C22</f>
        <v>61.340293378995447</v>
      </c>
      <c r="E11" s="85">
        <v>1</v>
      </c>
      <c r="F11" s="85" t="s">
        <v>153</v>
      </c>
      <c r="G11" s="85" t="s">
        <v>153</v>
      </c>
      <c r="H11" s="145">
        <f>'FE-Transferências'!$B$3*0.0016*(($B$14/2.2)^1.3)/(($E11/2)^1.4)</f>
        <v>7.2282377015546288E-3</v>
      </c>
      <c r="I11" s="144">
        <f>'FE-Transferências'!$C$3*0.0016*(($B$14/2.2)^1.3)/(($E11/2)^1.4)</f>
        <v>3.418761075059621E-3</v>
      </c>
      <c r="J11" s="144">
        <f>'FE-Transferências'!$D$3*0.0016*(($B$14/2.2)^1.3)/(($E11/2)^1.4)</f>
        <v>5.176981056518856E-4</v>
      </c>
      <c r="K11" s="45">
        <f t="shared" si="7"/>
        <v>0.44338222122647669</v>
      </c>
      <c r="L11" s="45">
        <f t="shared" si="8"/>
        <v>0.20970780733684702</v>
      </c>
      <c r="M11" s="45">
        <f t="shared" si="9"/>
        <v>3.1755753682436841E-2</v>
      </c>
      <c r="N11" s="34"/>
    </row>
    <row r="12" spans="1:14" x14ac:dyDescent="0.25">
      <c r="A12" s="213" t="s">
        <v>223</v>
      </c>
      <c r="B12" s="213"/>
      <c r="C12" s="213"/>
      <c r="D12" s="213"/>
      <c r="E12" s="213"/>
      <c r="F12" s="213"/>
      <c r="G12" s="213"/>
      <c r="H12" s="213"/>
      <c r="I12" s="213"/>
      <c r="J12" s="213"/>
      <c r="K12" s="31">
        <f>SUM(K3:K11)</f>
        <v>2.6223842158770889</v>
      </c>
      <c r="L12" s="31">
        <f t="shared" ref="L12:M12" si="10">SUM(L3:L11)</f>
        <v>1.2403168588607849</v>
      </c>
      <c r="M12" s="31">
        <f t="shared" si="10"/>
        <v>0.18781941005606179</v>
      </c>
      <c r="N12" s="21"/>
    </row>
    <row r="13" spans="1:14" x14ac:dyDescent="0.25">
      <c r="C13" s="34"/>
      <c r="D13" s="34"/>
      <c r="E13" s="34"/>
      <c r="F13" s="34"/>
      <c r="G13" s="34"/>
    </row>
    <row r="14" spans="1:14" x14ac:dyDescent="0.25">
      <c r="A14" s="33" t="s">
        <v>41</v>
      </c>
      <c r="B14" s="146">
        <v>4.1937865160171146</v>
      </c>
    </row>
    <row r="16" spans="1:14" x14ac:dyDescent="0.25">
      <c r="A16" s="1"/>
    </row>
    <row r="18" spans="1:1" x14ac:dyDescent="0.25">
      <c r="A18" s="34"/>
    </row>
  </sheetData>
  <sheetProtection password="B056" sheet="1" objects="1" scenarios="1"/>
  <mergeCells count="9">
    <mergeCell ref="A12:J12"/>
    <mergeCell ref="A1:A2"/>
    <mergeCell ref="D1:D2"/>
    <mergeCell ref="E1:E2"/>
    <mergeCell ref="K1:M1"/>
    <mergeCell ref="H1:J1"/>
    <mergeCell ref="B1:B2"/>
    <mergeCell ref="C1:C2"/>
    <mergeCell ref="F1:G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Dados</vt:lpstr>
      <vt:lpstr>FE-Perfuração e Detonação</vt:lpstr>
      <vt:lpstr>FE-Maq Equip</vt:lpstr>
      <vt:lpstr>FE-Transferências</vt:lpstr>
      <vt:lpstr>FE-Britagem e Peneiramento</vt:lpstr>
      <vt:lpstr>FE-Vias</vt:lpstr>
      <vt:lpstr>Emissão Perfuração e Detonação</vt:lpstr>
      <vt:lpstr>Emissão Maq e Equip</vt:lpstr>
      <vt:lpstr>Emissão Transf</vt:lpstr>
      <vt:lpstr>Emissão Brit e Pen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2019-06-06T20:11:11Z</dcterms:modified>
</cp:coreProperties>
</file>