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ervap\"/>
    </mc:Choice>
  </mc:AlternateContent>
  <bookViews>
    <workbookView xWindow="0" yWindow="0" windowWidth="24000" windowHeight="9135" tabRatio="873" firstSheet="5" activeTab="11"/>
  </bookViews>
  <sheets>
    <sheet name="Dados" sheetId="16" r:id="rId1"/>
    <sheet name="FE-Perfuração e Detonação" sheetId="20" r:id="rId2"/>
    <sheet name="FE-Maq Equip" sheetId="6" r:id="rId3"/>
    <sheet name="FE-Transferências" sheetId="10" r:id="rId4"/>
    <sheet name="FE-Britagem e Peneiramento" sheetId="25" r:id="rId5"/>
    <sheet name="FE-Vias" sheetId="13" r:id="rId6"/>
    <sheet name="Emissão Perfuração e Detonação" sheetId="18" r:id="rId7"/>
    <sheet name="Emissão Maq e Equip" sheetId="5" r:id="rId8"/>
    <sheet name="Emissão Transferências" sheetId="8" r:id="rId9"/>
    <sheet name="Emissão Britagem e Peneiramento" sheetId="22" r:id="rId10"/>
    <sheet name="Emissão Vias " sheetId="9" r:id="rId11"/>
    <sheet name="Resumo" sheetId="26" r:id="rId12"/>
  </sheets>
  <definedNames>
    <definedName name="FE_Equip">'FE-Maq Equip'!$B$3:$I$17</definedName>
    <definedName name="Pot_Equip">'FE-Maq Equip'!$B$3:$B$17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6" l="1"/>
  <c r="G3" i="26"/>
  <c r="F3" i="26"/>
  <c r="E3" i="26"/>
  <c r="L15" i="8" l="1"/>
  <c r="P4" i="9" l="1"/>
  <c r="P3" i="9"/>
  <c r="O4" i="9"/>
  <c r="O3" i="9"/>
  <c r="N4" i="9"/>
  <c r="N3" i="9"/>
  <c r="G15" i="13"/>
  <c r="J14" i="13"/>
  <c r="J13" i="13"/>
  <c r="J12" i="13"/>
  <c r="J11" i="13"/>
  <c r="J10" i="13"/>
  <c r="J9" i="13"/>
  <c r="J8" i="13"/>
  <c r="J7" i="13"/>
  <c r="J6" i="13"/>
  <c r="J5" i="13"/>
  <c r="J4" i="13"/>
  <c r="J3" i="13"/>
  <c r="D11" i="22" l="1"/>
  <c r="G9" i="18" l="1"/>
  <c r="F9" i="18"/>
  <c r="K9" i="18" s="1"/>
  <c r="K10" i="18" s="1"/>
  <c r="N9" i="18" l="1"/>
  <c r="N10" i="18" s="1"/>
  <c r="L9" i="18"/>
  <c r="L10" i="18" s="1"/>
  <c r="M9" i="18"/>
  <c r="M10" i="18" s="1"/>
  <c r="H13" i="8" l="1"/>
  <c r="I13" i="8"/>
  <c r="J13" i="8"/>
  <c r="D11" i="8"/>
  <c r="D12" i="8"/>
  <c r="D13" i="8"/>
  <c r="K13" i="8" s="1"/>
  <c r="D10" i="8"/>
  <c r="D9" i="8"/>
  <c r="D7" i="8"/>
  <c r="M13" i="8" l="1"/>
  <c r="L13" i="8"/>
  <c r="D10" i="22" l="1"/>
  <c r="J10" i="22" s="1"/>
  <c r="G11" i="22"/>
  <c r="G10" i="22"/>
  <c r="F11" i="22"/>
  <c r="F10" i="22"/>
  <c r="E11" i="22"/>
  <c r="E10" i="22"/>
  <c r="H11" i="22" l="1"/>
  <c r="J11" i="22"/>
  <c r="I11" i="22"/>
  <c r="I10" i="22"/>
  <c r="H10" i="22"/>
  <c r="D9" i="18" l="1"/>
  <c r="G5" i="5"/>
  <c r="G4" i="5"/>
  <c r="G3" i="5"/>
  <c r="D3" i="18"/>
  <c r="B13" i="16"/>
  <c r="D3" i="22" l="1"/>
  <c r="D4" i="22" s="1"/>
  <c r="D3" i="8"/>
  <c r="D8" i="8"/>
  <c r="D6" i="8"/>
  <c r="D5" i="8"/>
  <c r="D14" i="8"/>
  <c r="D9" i="22"/>
  <c r="F4" i="9"/>
  <c r="F3" i="9"/>
  <c r="J8" i="8"/>
  <c r="I8" i="8"/>
  <c r="H8" i="8"/>
  <c r="J7" i="8"/>
  <c r="I7" i="8"/>
  <c r="H7" i="8"/>
  <c r="M6" i="8" l="1"/>
  <c r="L6" i="8"/>
  <c r="K6" i="8"/>
  <c r="V4" i="9"/>
  <c r="V3" i="9"/>
  <c r="U4" i="9"/>
  <c r="U3" i="9"/>
  <c r="G9" i="22" l="1"/>
  <c r="G4" i="22"/>
  <c r="G3" i="22"/>
  <c r="T4" i="9" l="1"/>
  <c r="S4" i="9"/>
  <c r="R4" i="9"/>
  <c r="Q4" i="9"/>
  <c r="W4" i="9"/>
  <c r="I14" i="8" l="1"/>
  <c r="J14" i="8"/>
  <c r="H12" i="8"/>
  <c r="H11" i="8"/>
  <c r="H10" i="8"/>
  <c r="H9" i="8"/>
  <c r="H6" i="8"/>
  <c r="H5" i="8"/>
  <c r="H4" i="8"/>
  <c r="H14" i="8"/>
  <c r="F4" i="22"/>
  <c r="F3" i="22"/>
  <c r="E4" i="22"/>
  <c r="E3" i="22"/>
  <c r="I10" i="8" l="1"/>
  <c r="J10" i="8"/>
  <c r="I11" i="8"/>
  <c r="J11" i="8"/>
  <c r="I12" i="8"/>
  <c r="J12" i="8"/>
  <c r="I6" i="8"/>
  <c r="J6" i="8"/>
  <c r="I9" i="8"/>
  <c r="J9" i="8"/>
  <c r="I5" i="8"/>
  <c r="J5" i="8"/>
  <c r="J4" i="8"/>
  <c r="I4" i="8"/>
  <c r="F9" i="22"/>
  <c r="E9" i="22"/>
  <c r="E9" i="18" l="1"/>
  <c r="F3" i="18"/>
  <c r="J3" i="18" s="1"/>
  <c r="E3" i="18"/>
  <c r="I3" i="18" l="1"/>
  <c r="I4" i="18" s="1"/>
  <c r="G3" i="18"/>
  <c r="K3" i="18" s="1"/>
  <c r="J9" i="18"/>
  <c r="J10" i="18" s="1"/>
  <c r="H9" i="18"/>
  <c r="H10" i="18" s="1"/>
  <c r="I9" i="18"/>
  <c r="I10" i="18" s="1"/>
  <c r="J4" i="18"/>
  <c r="C3" i="26" s="1"/>
  <c r="K4" i="18"/>
  <c r="D3" i="26" s="1"/>
  <c r="B3" i="26" l="1"/>
  <c r="H4" i="5" l="1"/>
  <c r="I4" i="5" s="1"/>
  <c r="K4" i="5"/>
  <c r="L4" i="5"/>
  <c r="M4" i="5"/>
  <c r="N4" i="5"/>
  <c r="H5" i="5"/>
  <c r="J5" i="5" s="1"/>
  <c r="K5" i="5"/>
  <c r="L5" i="5"/>
  <c r="M5" i="5"/>
  <c r="N5" i="5"/>
  <c r="K8" i="8" l="1"/>
  <c r="L8" i="8"/>
  <c r="M8" i="8"/>
  <c r="K7" i="8"/>
  <c r="L7" i="8"/>
  <c r="M7" i="8"/>
  <c r="D4" i="8"/>
  <c r="H3" i="9"/>
  <c r="K3" i="22"/>
  <c r="L3" i="22"/>
  <c r="J3" i="22"/>
  <c r="K11" i="8"/>
  <c r="M11" i="8"/>
  <c r="L11" i="8"/>
  <c r="J9" i="22"/>
  <c r="J12" i="22" s="1"/>
  <c r="H9" i="22"/>
  <c r="H12" i="22" s="1"/>
  <c r="I9" i="22"/>
  <c r="I12" i="22" s="1"/>
  <c r="K5" i="8"/>
  <c r="L5" i="8"/>
  <c r="M5" i="8"/>
  <c r="K10" i="8"/>
  <c r="L10" i="8"/>
  <c r="M10" i="8"/>
  <c r="K4" i="22"/>
  <c r="J4" i="22"/>
  <c r="L4" i="22"/>
  <c r="K9" i="8"/>
  <c r="L9" i="8"/>
  <c r="M9" i="8"/>
  <c r="K12" i="8"/>
  <c r="L12" i="8"/>
  <c r="M12" i="8"/>
  <c r="M14" i="8"/>
  <c r="K14" i="8"/>
  <c r="L14" i="8"/>
  <c r="I5" i="5"/>
  <c r="J4" i="5"/>
  <c r="R3" i="9"/>
  <c r="S3" i="9"/>
  <c r="T3" i="9"/>
  <c r="W3" i="9"/>
  <c r="Q3" i="9"/>
  <c r="L4" i="8" l="1"/>
  <c r="K4" i="8"/>
  <c r="M4" i="8"/>
  <c r="H4" i="9"/>
  <c r="I4" i="9" s="1"/>
  <c r="K5" i="22"/>
  <c r="J5" i="22"/>
  <c r="B6" i="26" s="1"/>
  <c r="L5" i="22"/>
  <c r="D6" i="26" l="1"/>
  <c r="C6" i="26"/>
  <c r="I3" i="9" l="1"/>
  <c r="Z3" i="9" l="1"/>
  <c r="Y3" i="9"/>
  <c r="X3" i="9"/>
  <c r="Y4" i="9"/>
  <c r="Z4" i="9"/>
  <c r="X4" i="9"/>
  <c r="AB4" i="9"/>
  <c r="AC4" i="9"/>
  <c r="AD4" i="9"/>
  <c r="AA4" i="9"/>
  <c r="AB3" i="9"/>
  <c r="AA3" i="9"/>
  <c r="AC3" i="9"/>
  <c r="AD3" i="9"/>
  <c r="J3" i="8"/>
  <c r="I3" i="8"/>
  <c r="H3" i="8"/>
  <c r="AA5" i="9" l="1"/>
  <c r="E7" i="26" s="1"/>
  <c r="E9" i="26" s="1"/>
  <c r="AD5" i="9"/>
  <c r="H7" i="26" s="1"/>
  <c r="H9" i="26" s="1"/>
  <c r="X5" i="9"/>
  <c r="B7" i="26" s="1"/>
  <c r="AB5" i="9"/>
  <c r="F7" i="26" s="1"/>
  <c r="F9" i="26" s="1"/>
  <c r="Y5" i="9"/>
  <c r="C7" i="26" s="1"/>
  <c r="AC5" i="9"/>
  <c r="G7" i="26" s="1"/>
  <c r="G9" i="26" s="1"/>
  <c r="Z5" i="9"/>
  <c r="D7" i="26" s="1"/>
  <c r="K3" i="8"/>
  <c r="K15" i="8" s="1"/>
  <c r="B4" i="26" s="1"/>
  <c r="L3" i="8"/>
  <c r="C4" i="26" s="1"/>
  <c r="C9" i="26" s="1"/>
  <c r="M3" i="8"/>
  <c r="M15" i="8" s="1"/>
  <c r="D4" i="26" s="1"/>
  <c r="D9" i="26" l="1"/>
  <c r="H3" i="5"/>
  <c r="H6" i="5" l="1"/>
  <c r="B5" i="26" s="1"/>
  <c r="K3" i="5"/>
  <c r="N3" i="5"/>
  <c r="I3" i="5"/>
  <c r="M3" i="5"/>
  <c r="L3" i="5"/>
  <c r="N6" i="5" l="1"/>
  <c r="H5" i="26" s="1"/>
  <c r="L6" i="5"/>
  <c r="F5" i="26" s="1"/>
  <c r="K6" i="5"/>
  <c r="E5" i="26" s="1"/>
  <c r="M6" i="5"/>
  <c r="G5" i="26" s="1"/>
  <c r="I6" i="5"/>
  <c r="C5" i="26" s="1"/>
  <c r="J3" i="5"/>
  <c r="J6" i="5" l="1"/>
  <c r="D5" i="26" s="1"/>
  <c r="B9" i="26"/>
</calcChain>
</file>

<file path=xl/comments1.xml><?xml version="1.0" encoding="utf-8"?>
<comments xmlns="http://schemas.openxmlformats.org/spreadsheetml/2006/main">
  <authors>
    <author>Alinie Rossi dos Santos</author>
  </authors>
  <commentList>
    <comment ref="B19" authorId="0" shapeId="0">
      <text>
        <r>
          <rPr>
            <sz val="9"/>
            <color indexed="81"/>
            <rFont val="Segoe UI"/>
            <family val="2"/>
          </rPr>
          <t>Como não foram enviadas informações para o ano de 2015, foi utilizada a informação fornecida do número de detonações em 2014.</t>
        </r>
      </text>
    </comment>
  </commentList>
</comments>
</file>

<file path=xl/comments10.xml><?xml version="1.0" encoding="utf-8"?>
<comments xmlns="http://schemas.openxmlformats.org/spreadsheetml/2006/main">
  <authors>
    <author>Alinie Rossi dos Santos</author>
    <author>Vanessa Brusco Filete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>Como não foi informado o peso médio do caminhão e não foi encontrada ficha técnica do modelo informado, considerou-se a capacidade de um caminhão basculante utilizado por empresa de atividade similar.
http://www1.dnit.gov.br/Pesagem/sis_sgpv/QFV/QFV%202008%20Divulga%C3%A7%C3%A3o.pdf</t>
        </r>
      </text>
    </comment>
    <comment ref="J1" authorId="0" shapeId="0">
      <text>
        <r>
          <rPr>
            <sz val="9"/>
            <color indexed="81"/>
            <rFont val="Segoe UI"/>
            <family val="2"/>
          </rPr>
          <t xml:space="preserve">USEPA (2006) - Unpaved Roads. Table 13.2.2-1 - Stone quarrying and processing
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>Como não foi informado o peso médio do caminhão e não foi encontrada ficha técnica do modelo informado, considerou-se o peso médio de um caminhão basculante utilizado por empresa de atividade similar.
http://www1.dnit.gov.br/Pesagem/sis_sgpv/QFV/QFV%202008%20Divulga%C3%A7%C3%A3o.pdf</t>
        </r>
      </text>
    </comment>
    <comment ref="L1" authorId="0" shapeId="0">
      <text>
        <r>
          <rPr>
            <sz val="9"/>
            <color indexed="81"/>
            <rFont val="Segoe UI"/>
            <family val="2"/>
          </rPr>
          <t>Informado pela empresa que ocorre umectação duas a três vezes ao dia.</t>
        </r>
      </text>
    </comment>
    <comment ref="M1" authorId="0" shapeId="0">
      <text>
        <r>
          <rPr>
            <sz val="9"/>
            <color indexed="81"/>
            <rFont val="Segoe UI"/>
            <family val="2"/>
          </rPr>
          <t>WRAP (2006) - MRI, 2001</t>
        </r>
      </text>
    </comment>
    <comment ref="W2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D6" authorId="0" shapeId="0">
      <text>
        <r>
          <rPr>
            <sz val="9"/>
            <color indexed="81"/>
            <rFont val="Segoe UI"/>
            <family val="2"/>
          </rPr>
          <t>Fonte: National Pollutant Inventory. Emission Estimation Technique Manual for Mining. Australian Government. January 2012.
http://www.npi.gov.au/resource/emission-estimation-technique-manual-mining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</commentList>
</comments>
</file>

<file path=xl/comments4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 No data available, but emission factors for PM-10 for tertiary crushers can be used as an upper limit for
primary or secondary crushing 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H1" authorId="0" shapeId="0">
      <text>
        <r>
          <rPr>
            <sz val="9"/>
            <color indexed="81"/>
            <rFont val="Segoe UI"/>
            <family val="2"/>
          </rPr>
          <t xml:space="preserve">Perfuração a úmido
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Considerado o mesmo fator PM2.5/PM do processo de detonação</t>
        </r>
      </text>
    </comment>
    <comment ref="H3" authorId="0" shapeId="0">
      <text>
        <r>
          <rPr>
            <sz val="9"/>
            <color indexed="81"/>
            <rFont val="Segoe UI"/>
            <family val="2"/>
          </rPr>
          <t>Eficiência considerada</t>
        </r>
      </text>
    </comment>
    <comment ref="N8" authorId="0" shapeId="0">
      <text>
        <r>
          <rPr>
            <sz val="9"/>
            <color indexed="81"/>
            <rFont val="Segoe UI"/>
            <family val="2"/>
          </rPr>
          <t>COV (não-metano). Inclui o fator de emissão determinado para C2H2.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I2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2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2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2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</authors>
  <commentList>
    <comment ref="E1" authorId="0" shapeId="0">
      <text>
        <r>
          <rPr>
            <sz val="9"/>
            <color indexed="81"/>
            <rFont val="Segoe UI"/>
            <family val="2"/>
          </rPr>
          <t>USEPA (2003) Background Information for Revised AP-42 Section 11.19.2, Crushed Stone Processing
and Pulverized Mineral Processing:
The targeted moisture contents of the raw material (granite) during the uncontrolled  runs were &lt;1.5 percent. Assim, foi considerado o teor de umidade de 1%.</t>
        </r>
      </text>
    </comment>
    <comment ref="F2" authorId="0" shapeId="0">
      <text>
        <r>
          <rPr>
            <sz val="9"/>
            <color indexed="81"/>
            <rFont val="Segoe UI"/>
            <family val="2"/>
          </rPr>
          <t>Baseado no que foi informado pelo empreendimento: aspersão de água no processo de britagem.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>WRAP (2006) - Implement wet supression</t>
        </r>
      </text>
    </comment>
    <comment ref="A17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</commentList>
</comments>
</file>

<file path=xl/comments9.xml><?xml version="1.0" encoding="utf-8"?>
<comments xmlns="http://schemas.openxmlformats.org/spreadsheetml/2006/main">
  <authors>
    <author>Alinie Rossi dos Santos</author>
  </authors>
  <commentList>
    <comment ref="I1" authorId="0" shapeId="0">
      <text>
        <r>
          <rPr>
            <sz val="9"/>
            <color indexed="81"/>
            <rFont val="Segoe UI"/>
            <family val="2"/>
          </rPr>
          <t xml:space="preserve">WRAP (2006) - Implement wet suppression </t>
        </r>
      </text>
    </comment>
    <comment ref="E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F2" authorId="0" shapeId="0">
      <text>
        <r>
          <rPr>
            <sz val="9"/>
            <color indexed="81"/>
            <rFont val="Segoe UI"/>
            <family val="2"/>
          </rPr>
          <t xml:space="preserve"> Fonte: USEPA, (2004). Section 11.19.2 . Table 11.19.2-1 = No data available, but emission factors for PM-10 for tertiary crushers can be used as an upper limit for
primary or secondary crushing.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D4" authorId="0" shapeId="0">
      <text>
        <r>
          <rPr>
            <sz val="9"/>
            <color indexed="81"/>
            <rFont val="Segoe UI"/>
            <family val="2"/>
          </rPr>
          <t xml:space="preserve">Como não foi informada a quantidade de material que passa pela britagem secundária, foi considerado um percentual de 50% 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Considerada a mesma relação PM2.5/PM10 para o fator de "Tertiary Crushing (controlled)"
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>Como não foi informado pelo empreendimento a quantidade de material destinada a cada peneira, tal distribuição foi considerada com base no layout do empreendimento e o destino para cada pilha.</t>
        </r>
      </text>
    </comment>
    <comment ref="G9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G10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G11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</commentList>
</comments>
</file>

<file path=xl/sharedStrings.xml><?xml version="1.0" encoding="utf-8"?>
<sst xmlns="http://schemas.openxmlformats.org/spreadsheetml/2006/main" count="372" uniqueCount="218">
  <si>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</si>
  <si>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</si>
  <si>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</si>
  <si>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</si>
  <si>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</si>
  <si>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</si>
  <si>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</si>
  <si>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</si>
  <si>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</si>
  <si>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</si>
  <si>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</si>
  <si>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</si>
  <si>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</si>
  <si>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</si>
  <si>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</si>
  <si>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</si>
  <si>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</si>
  <si>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</si>
  <si>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</si>
  <si>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</si>
  <si>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</si>
  <si>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</si>
  <si>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</si>
  <si>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</si>
  <si>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Tipo</t>
  </si>
  <si>
    <t>Pá Carregadeira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</si>
  <si>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</si>
  <si>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</si>
  <si>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</si>
  <si>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</si>
  <si>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</si>
  <si>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</si>
  <si>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</si>
  <si>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</si>
  <si>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</si>
  <si>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</si>
  <si>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</si>
  <si>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</si>
  <si>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</si>
  <si>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</si>
  <si>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- https://www3.epa.gov/ttn/chief/ap42/ch13/final/c13s0204.pdf</t>
  </si>
  <si>
    <t>Velocidade do Vento (m/s)</t>
  </si>
  <si>
    <t>Escavadeira</t>
  </si>
  <si>
    <t>Material</t>
  </si>
  <si>
    <t xml:space="preserve">Fonte Emissora </t>
  </si>
  <si>
    <t>Não Pavimentada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</si>
  <si>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</si>
  <si>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</si>
  <si>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</si>
  <si>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</si>
  <si>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</si>
  <si>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</si>
  <si>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</si>
  <si>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</si>
  <si>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</si>
  <si>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</si>
  <si>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</si>
  <si>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</si>
  <si>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</si>
  <si>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</si>
  <si>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</si>
  <si>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</si>
  <si>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</si>
  <si>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</si>
  <si>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</si>
  <si>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</si>
  <si>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</si>
  <si>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</si>
  <si>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</si>
  <si>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</si>
  <si>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</si>
  <si>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</si>
  <si>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</si>
  <si>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</si>
  <si>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</si>
  <si>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</si>
  <si>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</si>
  <si>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</si>
  <si>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</si>
  <si>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</si>
  <si>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</si>
  <si>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</si>
  <si>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</si>
  <si>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</si>
  <si>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</si>
  <si>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</si>
  <si>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</si>
  <si>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</si>
  <si>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</si>
  <si>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Excavator
(Escavadeira)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</si>
  <si>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</si>
  <si>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</si>
  <si>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</si>
  <si>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</si>
  <si>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</si>
  <si>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</si>
  <si>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</si>
  <si>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>Número de Detonações/ano</t>
  </si>
  <si>
    <t>DET - Detonação</t>
  </si>
  <si>
    <t>Número de furos/ano</t>
  </si>
  <si>
    <t xml:space="preserve">PER - Perfuração </t>
  </si>
  <si>
    <t>Fator de Emissão [kg/hole]</t>
  </si>
  <si>
    <t>Drilling - Overburden</t>
  </si>
  <si>
    <t>AP42 - 11.9 Western Surface Coal Mining</t>
  </si>
  <si>
    <t xml:space="preserve"> Table 11.9-2 - Emission Factor Equations for Uncontrolled Open Dust Sources at Western Surface Coal Mines</t>
  </si>
  <si>
    <t>Fator de Emissão [kg/blast]</t>
  </si>
  <si>
    <t>Coal or Overburden</t>
  </si>
  <si>
    <t>Explosivo</t>
  </si>
  <si>
    <t>Fator de Emissão [kg/Mg]</t>
  </si>
  <si>
    <t>NOx</t>
  </si>
  <si>
    <t>Source</t>
  </si>
  <si>
    <t>Screening</t>
  </si>
  <si>
    <t>ND</t>
  </si>
  <si>
    <t>Fonte: USEPA (1998) https://www3.epa.gov/ttn/chief/ap42/ch11/final/c11s09.pdf
NPI (2012) http://www.npi.gov.au/system/files/resources/7e04163a-12ba-6864-d19a-f57d960aae58/files/mining.pdf</t>
  </si>
  <si>
    <t>AP42 - 11.9 Western Surface Coal Mining/NPI  - Emission Estimation Technique Manual for Mining</t>
  </si>
  <si>
    <t xml:space="preserve"> Table 11.9-4 - AP-42/ Table 2 - NPI </t>
  </si>
  <si>
    <t>Controle</t>
  </si>
  <si>
    <t>Número de detonações/ano</t>
  </si>
  <si>
    <t>A = área superficial detonada (m²)</t>
  </si>
  <si>
    <t>Equação</t>
  </si>
  <si>
    <r>
      <t>PM</t>
    </r>
    <r>
      <rPr>
        <vertAlign val="subscript"/>
        <sz val="8"/>
        <color theme="1"/>
        <rFont val="Arial"/>
        <family val="2"/>
      </rPr>
      <t>2.5</t>
    </r>
  </si>
  <si>
    <t>Transferências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</si>
  <si>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</si>
  <si>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 xml:space="preserve">BRT - Britador Primário </t>
  </si>
  <si>
    <t>TR - Car. Caminhão Lavra</t>
  </si>
  <si>
    <t>Fonte: USEPA (2004) https://www3.epa.gov/ttn/chief/ap42/ch11/final/c11s1902.pdf</t>
  </si>
  <si>
    <t>AP42 - 11.19.2  Crushed Stone Processing and Pulverized Mineral Processing</t>
  </si>
  <si>
    <t xml:space="preserve"> Table 11.19.2-1 Emission Factors for Crushed Stone Processing Operations (kg/Mg)</t>
  </si>
  <si>
    <t xml:space="preserve">Tertiary Crushing </t>
  </si>
  <si>
    <t>Tertiary Crushing (Controlled)</t>
  </si>
  <si>
    <t>Screnning (Controlled)</t>
  </si>
  <si>
    <r>
      <t>PM</t>
    </r>
    <r>
      <rPr>
        <b/>
        <vertAlign val="subscript"/>
        <sz val="8"/>
        <color theme="0"/>
        <rFont val="Arial"/>
        <family val="2"/>
      </rPr>
      <t xml:space="preserve">2,5 </t>
    </r>
  </si>
  <si>
    <t>Emission Factor Rating</t>
  </si>
  <si>
    <t>E</t>
  </si>
  <si>
    <t>C</t>
  </si>
  <si>
    <t>Horário de Funcionamento</t>
  </si>
  <si>
    <t>TR - Desc. Britador Primário</t>
  </si>
  <si>
    <t>TR - Empilhamento Pó de Rocha</t>
  </si>
  <si>
    <t>TR - Car. Produto Final</t>
  </si>
  <si>
    <t>Umectação</t>
  </si>
  <si>
    <t>Via Trecho 1</t>
  </si>
  <si>
    <t>Via Trecho 2</t>
  </si>
  <si>
    <t>Perfuração e Detonação</t>
  </si>
  <si>
    <t>Máquinas e Equipamentos</t>
  </si>
  <si>
    <t>Britagem e Peneiramento</t>
  </si>
  <si>
    <t>Vias de Tráfego</t>
  </si>
  <si>
    <t>Erosão Eólica</t>
  </si>
  <si>
    <t>Fontes Emissoras</t>
  </si>
  <si>
    <t>Total</t>
  </si>
  <si>
    <t>-</t>
  </si>
  <si>
    <t>Consideração:</t>
  </si>
  <si>
    <t>Como não foi informado o ano dos equipamentos, foi considerado, de forma conservadora, os fatores de 2007.</t>
  </si>
  <si>
    <t>MOVIMENTAÇÃO DA PRODUÇÃO BENEFICIADA</t>
  </si>
  <si>
    <t>ANO-BASE 2015</t>
  </si>
  <si>
    <t>Produto</t>
  </si>
  <si>
    <t>Brita 0</t>
  </si>
  <si>
    <t>Brita 1</t>
  </si>
  <si>
    <t>Brita 2</t>
  </si>
  <si>
    <t>Pó de rocha</t>
  </si>
  <si>
    <t>Quantidade (t)</t>
  </si>
  <si>
    <t>Quant. explosivos por detonação (t/ano)</t>
  </si>
  <si>
    <t>Área superficial detonada (m²/ano)</t>
  </si>
  <si>
    <t>Segunda-feira à quinta-feira</t>
  </si>
  <si>
    <t>Sexta-feira e sábado</t>
  </si>
  <si>
    <t>7:00 às 11:00/13: às 16:00</t>
  </si>
  <si>
    <t>7:00 às 11:00/13: às 17:00</t>
  </si>
  <si>
    <t xml:space="preserve">Fonte: Informações fornecidas pelo empreendimento à solicitação do Ofício </t>
  </si>
  <si>
    <t xml:space="preserve">BRT - Britador Secundário </t>
  </si>
  <si>
    <t>PEN - Peneira PV12</t>
  </si>
  <si>
    <t>PEN - Peneira PV19/20</t>
  </si>
  <si>
    <t xml:space="preserve">TR - Empilhamento Material </t>
  </si>
  <si>
    <t>TR - Tansf. Rebritador</t>
  </si>
  <si>
    <t>TR - Transf. PV12</t>
  </si>
  <si>
    <t>TR - Transf. PV19/20</t>
  </si>
  <si>
    <t>TR - Transf. PV25</t>
  </si>
  <si>
    <t>PEN - Peneira PV25</t>
  </si>
  <si>
    <t>TR - Empilhamento Brita 1</t>
  </si>
  <si>
    <t>TR - Empilhamento Brita 0</t>
  </si>
  <si>
    <t>TR - Transf. Brita 2</t>
  </si>
  <si>
    <t>Considerações : 
(a) Como não foi informado pelo empreendimento o tipo de explosivo utilizado, foi considerado o uso de ANFO e TNT (50% de cada tipo de explosivo)</t>
  </si>
  <si>
    <t>ANFO</t>
  </si>
  <si>
    <t>TNT</t>
  </si>
  <si>
    <r>
      <t>NO</t>
    </r>
    <r>
      <rPr>
        <b/>
        <vertAlign val="subscript"/>
        <sz val="8"/>
        <color theme="0"/>
        <rFont val="Arial"/>
        <family val="2"/>
      </rPr>
      <t xml:space="preserve">X </t>
    </r>
  </si>
  <si>
    <r>
      <t>SO</t>
    </r>
    <r>
      <rPr>
        <b/>
        <vertAlign val="subscript"/>
        <sz val="8"/>
        <color theme="0"/>
        <rFont val="Arial"/>
        <family val="2"/>
      </rPr>
      <t xml:space="preserve">2 </t>
    </r>
  </si>
  <si>
    <t>Fonte: USEPA (1980) https://www3.epa.gov/ttn/chief/ap42/ch13/final/c13s03.pdf</t>
  </si>
  <si>
    <t>AP42 - 13.3 Explosives Detonation</t>
  </si>
  <si>
    <t>Table 13.3-1 Emission Factors for Detonation of Explosives</t>
  </si>
  <si>
    <t>SO2</t>
  </si>
  <si>
    <t>C2H2</t>
  </si>
  <si>
    <t>Controle [%]</t>
  </si>
  <si>
    <t>Fator de Emissão [kg/furo]</t>
  </si>
  <si>
    <t>Área Superficial Detonada [m²]/detonação</t>
  </si>
  <si>
    <t>Emulsão Encartuchada [t/ano]</t>
  </si>
  <si>
    <t>Umidade do Material [%]</t>
  </si>
  <si>
    <t>Movimentação material [t/h]</t>
  </si>
  <si>
    <t>Fator de Emissão [kg/t]</t>
  </si>
  <si>
    <t>Eficiência de Controle [%]</t>
  </si>
  <si>
    <t>Quantidade Movimentada [t/h]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</si>
  <si>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</si>
  <si>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Eficiência [%]</t>
  </si>
  <si>
    <t>Aspersão</t>
  </si>
  <si>
    <t>Comprimento [m]</t>
  </si>
  <si>
    <t>Capacidade do Caminhão [t]</t>
  </si>
  <si>
    <t>Nº de Caminhões por Hora [h-1]</t>
  </si>
  <si>
    <t>DMT  [km/h]</t>
  </si>
  <si>
    <t>Teor de Silte [%]</t>
  </si>
  <si>
    <t>Peso Médio dos Caminhões [t]</t>
  </si>
  <si>
    <t>Fator de Emissão - Ressuspensão [kg/VKT]</t>
  </si>
  <si>
    <t>Fator de Emissão - Gases Escapamento [kg/km]</t>
  </si>
  <si>
    <t>TOTAL (PERFURAÇÃO)</t>
  </si>
  <si>
    <t>TOTAL (DETONAÇÃO)</t>
  </si>
  <si>
    <t>TOTAL</t>
  </si>
  <si>
    <t>TOTAL (BRITAGEM)</t>
  </si>
  <si>
    <t>TOTAL (PENEIRAMENTO)</t>
  </si>
  <si>
    <t>VOC</t>
  </si>
  <si>
    <t>Latitude [º]</t>
  </si>
  <si>
    <t>Longitude [º]</t>
  </si>
  <si>
    <t>Nota: "Erosão Eólica" foi calculada na Planilha: Erosão Eólica_Tervap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</si>
</sst>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0.000000"/>
    <numFmt numFmtId="170" formatCode="#,##0.00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1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6" xfId="0" applyFont="1" applyFill="1" applyBorder="1" applyAlignment="1"/>
    <xf numFmtId="0" fontId="1" fillId="4" borderId="20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2" fontId="1" fillId="3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1" fontId="1" fillId="0" borderId="6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4" fontId="1" fillId="0" borderId="20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1" fillId="0" borderId="2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167" fontId="0" fillId="0" borderId="0" xfId="0" applyNumberFormat="1"/>
    <xf numFmtId="2" fontId="0" fillId="0" borderId="0" xfId="0" applyNumberFormat="1"/>
    <xf numFmtId="0" fontId="8" fillId="0" borderId="0" xfId="0" applyFont="1" applyFill="1"/>
    <xf numFmtId="0" fontId="1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69" fontId="1" fillId="0" borderId="0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1" xfId="0" applyNumberFormat="1" applyFont="1" applyFill="1" applyBorder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70" fontId="1" fillId="0" borderId="20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2" xfId="0" applyNumberFormat="1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1BD"/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11</xdr:row>
      <xdr:rowOff>80962</xdr:rowOff>
    </xdr:from>
    <xdr:ext cx="8423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2</xdr:col>
      <xdr:colOff>0</xdr:colOff>
      <xdr:row>11</xdr:row>
      <xdr:rowOff>80962</xdr:rowOff>
    </xdr:from>
    <xdr:ext cx="1230144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0,52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0,52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3</xdr:col>
      <xdr:colOff>9525</xdr:colOff>
      <xdr:row>11</xdr:row>
      <xdr:rowOff>80962</xdr:rowOff>
    </xdr:from>
    <xdr:ext cx="12301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0,03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0,03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19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3162300" y="2019300"/>
          <a:ext cx="102870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619125</xdr:colOff>
      <xdr:row>9</xdr:row>
      <xdr:rowOff>9525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id="{00000000-0008-0000-0400-000002000000}"/>
                </a:ext>
              </a:extLst>
            </xdr:cNvPr>
            <xdr:cNvSpPr txBox="1"/>
          </xdr:nvSpPr>
          <xdr:spPr>
            <a:xfrm>
              <a:off x="619125" y="181927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619125" y="181927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E18" sqref="E18"/>
    </sheetView>
  </sheetViews>
  <sheetFormatPr defaultColWidth="16" defaultRowHeight="15" customHeight="1" x14ac:dyDescent="0.2"/>
  <cols>
    <col min="1" max="1" width="30" style="1" bestFit="1" customWidth="1"/>
    <col min="2" max="2" width="20.5703125" style="1" customWidth="1"/>
    <col min="3" max="16384" width="16" style="1"/>
  </cols>
  <sheetData>
    <row r="1" spans="1:4" ht="15" customHeight="1" x14ac:dyDescent="0.2">
      <c r="A1" s="3" t="s">
        <v>166</v>
      </c>
    </row>
    <row r="2" spans="1:4" ht="15" customHeight="1" x14ac:dyDescent="0.2">
      <c r="A2" s="139" t="s">
        <v>135</v>
      </c>
      <c r="B2" s="139"/>
    </row>
    <row r="3" spans="1:4" ht="15" customHeight="1" x14ac:dyDescent="0.2">
      <c r="A3" s="2" t="s">
        <v>162</v>
      </c>
      <c r="B3" s="2" t="s">
        <v>165</v>
      </c>
    </row>
    <row r="4" spans="1:4" ht="15" customHeight="1" x14ac:dyDescent="0.2">
      <c r="A4" s="2" t="s">
        <v>163</v>
      </c>
      <c r="B4" s="2" t="s">
        <v>164</v>
      </c>
    </row>
    <row r="6" spans="1:4" ht="15" customHeight="1" x14ac:dyDescent="0.2">
      <c r="A6" s="140" t="s">
        <v>152</v>
      </c>
      <c r="B6" s="140"/>
      <c r="C6" s="48"/>
      <c r="D6" s="48"/>
    </row>
    <row r="7" spans="1:4" ht="15" customHeight="1" x14ac:dyDescent="0.2">
      <c r="A7" s="140" t="s">
        <v>153</v>
      </c>
      <c r="B7" s="140"/>
      <c r="C7" s="48"/>
      <c r="D7" s="48"/>
    </row>
    <row r="8" spans="1:4" ht="15" customHeight="1" x14ac:dyDescent="0.2">
      <c r="A8" s="99" t="s">
        <v>154</v>
      </c>
      <c r="B8" s="99" t="s">
        <v>159</v>
      </c>
      <c r="C8" s="48"/>
      <c r="D8" s="48"/>
    </row>
    <row r="9" spans="1:4" ht="15" customHeight="1" x14ac:dyDescent="0.2">
      <c r="A9" s="97" t="s">
        <v>155</v>
      </c>
      <c r="B9" s="98">
        <v>38816.5</v>
      </c>
      <c r="C9" s="48"/>
      <c r="D9" s="48"/>
    </row>
    <row r="10" spans="1:4" ht="15" customHeight="1" x14ac:dyDescent="0.2">
      <c r="A10" s="97" t="s">
        <v>156</v>
      </c>
      <c r="B10" s="98">
        <v>53686.05</v>
      </c>
      <c r="C10" s="48"/>
      <c r="D10" s="48"/>
    </row>
    <row r="11" spans="1:4" ht="15" customHeight="1" x14ac:dyDescent="0.2">
      <c r="A11" s="97" t="s">
        <v>157</v>
      </c>
      <c r="B11" s="98">
        <v>833.27</v>
      </c>
      <c r="C11" s="102"/>
      <c r="D11" s="48"/>
    </row>
    <row r="12" spans="1:4" ht="15" customHeight="1" x14ac:dyDescent="0.2">
      <c r="A12" s="97" t="s">
        <v>158</v>
      </c>
      <c r="B12" s="98">
        <v>52628.56</v>
      </c>
      <c r="C12" s="48"/>
      <c r="D12" s="48"/>
    </row>
    <row r="13" spans="1:4" ht="15" customHeight="1" x14ac:dyDescent="0.2">
      <c r="A13" s="49" t="s">
        <v>148</v>
      </c>
      <c r="B13" s="50">
        <f>SUM(B9:B12)</f>
        <v>145964.38</v>
      </c>
      <c r="C13" s="48"/>
      <c r="D13" s="48"/>
    </row>
    <row r="15" spans="1:4" ht="15" customHeight="1" x14ac:dyDescent="0.2">
      <c r="A15" s="51" t="s">
        <v>99</v>
      </c>
      <c r="B15" s="30">
        <v>1080</v>
      </c>
      <c r="C15" s="2"/>
    </row>
    <row r="16" spans="1:4" ht="15" customHeight="1" x14ac:dyDescent="0.2">
      <c r="A16" s="2"/>
      <c r="B16" s="126"/>
    </row>
    <row r="17" spans="1:2" ht="15" customHeight="1" x14ac:dyDescent="0.2">
      <c r="A17" s="31" t="s">
        <v>161</v>
      </c>
      <c r="B17" s="6">
        <v>6480</v>
      </c>
    </row>
    <row r="18" spans="1:2" ht="15" customHeight="1" x14ac:dyDescent="0.2">
      <c r="A18" s="31" t="s">
        <v>160</v>
      </c>
      <c r="B18" s="91">
        <v>29.324999999999999</v>
      </c>
    </row>
    <row r="19" spans="1:2" ht="15" customHeight="1" x14ac:dyDescent="0.2">
      <c r="A19" s="51" t="s">
        <v>117</v>
      </c>
      <c r="B19" s="6">
        <v>43</v>
      </c>
    </row>
    <row r="21" spans="1:2" ht="15" customHeight="1" x14ac:dyDescent="0.2">
      <c r="A21" s="40"/>
      <c r="B21" s="100"/>
    </row>
    <row r="22" spans="1:2" ht="15" customHeight="1" x14ac:dyDescent="0.2">
      <c r="A22" s="40"/>
      <c r="B22" s="100"/>
    </row>
    <row r="23" spans="1:2" ht="15" customHeight="1" x14ac:dyDescent="0.2">
      <c r="A23" s="40"/>
      <c r="B23" s="100"/>
    </row>
  </sheetData>
  <sheetProtection password="B056" sheet="1" objects="1" scenarios="1"/>
  <mergeCells count="3">
    <mergeCell ref="A2:B2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G22" sqref="G22"/>
    </sheetView>
  </sheetViews>
  <sheetFormatPr defaultRowHeight="15" x14ac:dyDescent="0.25"/>
  <cols>
    <col min="1" max="1" width="52.140625" bestFit="1" customWidth="1"/>
    <col min="2" max="2" width="14.42578125" customWidth="1"/>
    <col min="3" max="3" width="13.42578125" customWidth="1"/>
    <col min="4" max="4" width="13.7109375" customWidth="1"/>
    <col min="5" max="5" width="13.140625" customWidth="1"/>
    <col min="6" max="10" width="11.140625" customWidth="1"/>
    <col min="11" max="11" width="9.28515625" customWidth="1"/>
    <col min="12" max="12" width="11" customWidth="1"/>
  </cols>
  <sheetData>
    <row r="1" spans="1:14" ht="18" customHeight="1" x14ac:dyDescent="0.25">
      <c r="A1" s="190" t="s">
        <v>0</v>
      </c>
      <c r="B1" s="196" t="s">
        <v>215</v>
      </c>
      <c r="C1" s="196" t="s">
        <v>216</v>
      </c>
      <c r="D1" s="190" t="s">
        <v>197</v>
      </c>
      <c r="E1" s="193" t="s">
        <v>195</v>
      </c>
      <c r="F1" s="194"/>
      <c r="G1" s="194"/>
      <c r="H1" s="190" t="s">
        <v>116</v>
      </c>
      <c r="I1" s="190" t="s">
        <v>196</v>
      </c>
      <c r="J1" s="192" t="s">
        <v>1</v>
      </c>
      <c r="K1" s="192"/>
      <c r="L1" s="207"/>
    </row>
    <row r="2" spans="1:14" ht="18" customHeight="1" x14ac:dyDescent="0.25">
      <c r="A2" s="190"/>
      <c r="B2" s="196"/>
      <c r="C2" s="196"/>
      <c r="D2" s="190"/>
      <c r="E2" s="70" t="s">
        <v>35</v>
      </c>
      <c r="F2" s="70" t="s">
        <v>60</v>
      </c>
      <c r="G2" s="73" t="s">
        <v>131</v>
      </c>
      <c r="H2" s="190"/>
      <c r="I2" s="190"/>
      <c r="J2" s="74" t="s">
        <v>35</v>
      </c>
      <c r="K2" s="59" t="s">
        <v>60</v>
      </c>
      <c r="L2" s="59" t="s">
        <v>131</v>
      </c>
    </row>
    <row r="3" spans="1:14" x14ac:dyDescent="0.25">
      <c r="A3" s="4" t="s">
        <v>123</v>
      </c>
      <c r="B3" s="92">
        <v>-20.167777999999998</v>
      </c>
      <c r="C3" s="92">
        <v>-40.278171</v>
      </c>
      <c r="D3" s="105">
        <f>Dados!B13/8760</f>
        <v>16.662600456621004</v>
      </c>
      <c r="E3" s="61">
        <f>'FE-Britagem e Peneiramento'!B5</f>
        <v>2.7000000000000001E-3</v>
      </c>
      <c r="F3" s="61">
        <f>'FE-Britagem e Peneiramento'!D5</f>
        <v>1.1999999999999999E-3</v>
      </c>
      <c r="G3" s="80">
        <f>('FE-Britagem e Peneiramento'!$F$6/'FE-Britagem e Peneiramento'!$D$6)*'FE-Britagem e Peneiramento'!$D$5</f>
        <v>2.2222222222222223E-4</v>
      </c>
      <c r="H3" s="6" t="s">
        <v>139</v>
      </c>
      <c r="I3" s="6">
        <v>50</v>
      </c>
      <c r="J3" s="132">
        <f>D3*E3*(1-I3/100)</f>
        <v>2.2494510616438358E-2</v>
      </c>
      <c r="K3" s="132">
        <f>D3*F3*(1-I3/100)</f>
        <v>9.9975602739726006E-3</v>
      </c>
      <c r="L3" s="133">
        <f>D3*G3*(1-I3/100)</f>
        <v>1.8514000507356672E-3</v>
      </c>
    </row>
    <row r="4" spans="1:14" x14ac:dyDescent="0.25">
      <c r="A4" s="18" t="s">
        <v>167</v>
      </c>
      <c r="B4" s="45">
        <v>-20.168399000000001</v>
      </c>
      <c r="C4" s="92">
        <v>-40.278441000000001</v>
      </c>
      <c r="D4" s="105">
        <f>0.5*D3</f>
        <v>8.3313002283105018</v>
      </c>
      <c r="E4" s="72">
        <f>'FE-Britagem e Peneiramento'!B5</f>
        <v>2.7000000000000001E-3</v>
      </c>
      <c r="F4" s="72">
        <f>'FE-Britagem e Peneiramento'!D5</f>
        <v>1.1999999999999999E-3</v>
      </c>
      <c r="G4" s="80">
        <f>('FE-Britagem e Peneiramento'!$F$6/'FE-Britagem e Peneiramento'!$D$6)*'FE-Britagem e Peneiramento'!$D$5</f>
        <v>2.2222222222222223E-4</v>
      </c>
      <c r="H4" s="6" t="s">
        <v>139</v>
      </c>
      <c r="I4" s="6">
        <v>50</v>
      </c>
      <c r="J4" s="132">
        <f>D4*E4*(1-I4/100)</f>
        <v>1.1247255308219179E-2</v>
      </c>
      <c r="K4" s="132">
        <f>D4*F4*(1-I4/100)</f>
        <v>4.9987801369863003E-3</v>
      </c>
      <c r="L4" s="132">
        <f>D4*G4*(1-I4/100)</f>
        <v>9.257000253678336E-4</v>
      </c>
      <c r="M4" s="46"/>
      <c r="N4" s="46"/>
    </row>
    <row r="5" spans="1:14" x14ac:dyDescent="0.25">
      <c r="A5" s="151" t="s">
        <v>212</v>
      </c>
      <c r="B5" s="152"/>
      <c r="C5" s="152"/>
      <c r="D5" s="152"/>
      <c r="E5" s="152"/>
      <c r="F5" s="152"/>
      <c r="G5" s="152"/>
      <c r="H5" s="152"/>
      <c r="I5" s="188"/>
      <c r="J5" s="29">
        <f>SUM(J3:J4)</f>
        <v>3.3741765924657538E-2</v>
      </c>
      <c r="K5" s="29">
        <f>SUM(K3:K4)</f>
        <v>1.4996340410958901E-2</v>
      </c>
      <c r="L5" s="14">
        <f>SUM(L3:L4)</f>
        <v>2.7771000761035009E-3</v>
      </c>
    </row>
    <row r="6" spans="1:14" x14ac:dyDescent="0.25">
      <c r="A6" s="32"/>
      <c r="B6" s="32"/>
      <c r="C6" s="32"/>
      <c r="E6" s="1"/>
      <c r="F6" s="1"/>
      <c r="G6" s="1"/>
      <c r="H6" s="1"/>
      <c r="I6" s="1"/>
      <c r="J6" s="1"/>
      <c r="K6" s="1"/>
      <c r="L6" s="1"/>
    </row>
    <row r="7" spans="1:14" ht="19.5" customHeight="1" x14ac:dyDescent="0.25">
      <c r="A7" s="190" t="s">
        <v>0</v>
      </c>
      <c r="B7" s="196" t="s">
        <v>215</v>
      </c>
      <c r="C7" s="196" t="s">
        <v>216</v>
      </c>
      <c r="D7" s="190" t="s">
        <v>197</v>
      </c>
      <c r="E7" s="193" t="s">
        <v>195</v>
      </c>
      <c r="F7" s="194"/>
      <c r="G7" s="195"/>
      <c r="H7" s="191" t="s">
        <v>1</v>
      </c>
      <c r="I7" s="192"/>
      <c r="J7" s="207"/>
    </row>
    <row r="8" spans="1:14" ht="15.75" customHeight="1" x14ac:dyDescent="0.25">
      <c r="A8" s="190"/>
      <c r="B8" s="196"/>
      <c r="C8" s="196"/>
      <c r="D8" s="190"/>
      <c r="E8" s="70" t="s">
        <v>35</v>
      </c>
      <c r="F8" s="70" t="s">
        <v>60</v>
      </c>
      <c r="G8" s="70" t="s">
        <v>131</v>
      </c>
      <c r="H8" s="70" t="s">
        <v>35</v>
      </c>
      <c r="I8" s="70" t="s">
        <v>60</v>
      </c>
      <c r="J8" s="70" t="s">
        <v>131</v>
      </c>
    </row>
    <row r="9" spans="1:14" x14ac:dyDescent="0.25">
      <c r="A9" s="18" t="s">
        <v>168</v>
      </c>
      <c r="B9" s="45">
        <v>-20.168316999999998</v>
      </c>
      <c r="C9" s="45">
        <v>-40.278202</v>
      </c>
      <c r="D9" s="105">
        <f>Dados!B13/8760</f>
        <v>16.662600456621004</v>
      </c>
      <c r="E9" s="45">
        <f>'FE-Britagem e Peneiramento'!B7</f>
        <v>1.2500000000000001E-2</v>
      </c>
      <c r="F9" s="45">
        <f>'FE-Britagem e Peneiramento'!D7</f>
        <v>4.3E-3</v>
      </c>
      <c r="G9" s="75">
        <f>('FE-Britagem e Peneiramento'!$F$8/'FE-Britagem e Peneiramento'!$D$8)*'FE-Britagem e Peneiramento'!$D$7</f>
        <v>2.9054054054054054E-4</v>
      </c>
      <c r="H9" s="132">
        <f>D9*E9</f>
        <v>0.20828250570776255</v>
      </c>
      <c r="I9" s="132">
        <f>D9*F9</f>
        <v>7.164918196347031E-2</v>
      </c>
      <c r="J9" s="133">
        <f>D9*G9</f>
        <v>4.8411609434777236E-3</v>
      </c>
    </row>
    <row r="10" spans="1:14" x14ac:dyDescent="0.25">
      <c r="A10" s="37" t="s">
        <v>169</v>
      </c>
      <c r="B10" s="93">
        <v>-20.168192000000001</v>
      </c>
      <c r="C10" s="93">
        <v>-40.277920999999999</v>
      </c>
      <c r="D10" s="106">
        <f>SUM(Dados!B9,Dados!B12,Dados!B10)/8760</f>
        <v>16.567478310502281</v>
      </c>
      <c r="E10" s="101">
        <f>'FE-Britagem e Peneiramento'!B7</f>
        <v>1.2500000000000001E-2</v>
      </c>
      <c r="F10" s="101">
        <f>'FE-Britagem e Peneiramento'!D7</f>
        <v>4.3E-3</v>
      </c>
      <c r="G10" s="94">
        <f>('FE-Britagem e Peneiramento'!$F$8/'FE-Britagem e Peneiramento'!$D$8)*'FE-Britagem e Peneiramento'!$D$7</f>
        <v>2.9054054054054054E-4</v>
      </c>
      <c r="H10" s="132">
        <f t="shared" ref="H10:H11" si="0">D10*E10</f>
        <v>0.20709347888127852</v>
      </c>
      <c r="I10" s="132">
        <f t="shared" ref="I10:I11" si="1">D10*F10</f>
        <v>7.1240156735159807E-2</v>
      </c>
      <c r="J10" s="133">
        <f t="shared" ref="J10:J11" si="2">D10*G10</f>
        <v>4.8135241037270144E-3</v>
      </c>
    </row>
    <row r="11" spans="1:14" x14ac:dyDescent="0.25">
      <c r="A11" s="37" t="s">
        <v>175</v>
      </c>
      <c r="B11" s="104">
        <v>-20.16825</v>
      </c>
      <c r="C11" s="93">
        <v>-40.277667000000001</v>
      </c>
      <c r="D11" s="106">
        <f>Dados!B9/8760</f>
        <v>4.4311073059360728</v>
      </c>
      <c r="E11" s="101">
        <f>'FE-Britagem e Peneiramento'!B7</f>
        <v>1.2500000000000001E-2</v>
      </c>
      <c r="F11" s="101">
        <f>'FE-Britagem e Peneiramento'!D7</f>
        <v>4.3E-3</v>
      </c>
      <c r="G11" s="94">
        <f>('FE-Britagem e Peneiramento'!$F$8/'FE-Britagem e Peneiramento'!$D$8)*'FE-Britagem e Peneiramento'!$D$7</f>
        <v>2.9054054054054054E-4</v>
      </c>
      <c r="H11" s="132">
        <f t="shared" si="0"/>
        <v>5.538884132420091E-2</v>
      </c>
      <c r="I11" s="132">
        <f t="shared" si="1"/>
        <v>1.9053761415525113E-2</v>
      </c>
      <c r="J11" s="133">
        <f t="shared" si="2"/>
        <v>1.2874163118598049E-3</v>
      </c>
    </row>
    <row r="12" spans="1:14" x14ac:dyDescent="0.25">
      <c r="A12" s="152" t="s">
        <v>213</v>
      </c>
      <c r="B12" s="152"/>
      <c r="C12" s="152"/>
      <c r="D12" s="152"/>
      <c r="E12" s="152"/>
      <c r="F12" s="152"/>
      <c r="G12" s="152"/>
      <c r="H12" s="33">
        <f>SUM(H9:H11)</f>
        <v>0.47076482591324198</v>
      </c>
      <c r="I12" s="33">
        <f t="shared" ref="I12:J12" si="3">SUM(I9:I11)</f>
        <v>0.16194310011415525</v>
      </c>
      <c r="J12" s="33">
        <f t="shared" si="3"/>
        <v>1.0942101359064543E-2</v>
      </c>
    </row>
    <row r="13" spans="1:14" x14ac:dyDescent="0.25">
      <c r="D13" s="1"/>
      <c r="E13" s="1"/>
      <c r="F13" s="32"/>
      <c r="G13" s="1"/>
      <c r="H13" s="1"/>
      <c r="I13" s="1"/>
      <c r="J13" s="1"/>
      <c r="K13" s="1"/>
      <c r="L13" s="1"/>
      <c r="M13" s="1"/>
    </row>
    <row r="15" spans="1:14" x14ac:dyDescent="0.25">
      <c r="A15" s="1"/>
      <c r="B15" s="1"/>
      <c r="C15" s="1"/>
    </row>
    <row r="17" spans="1:3" x14ac:dyDescent="0.25">
      <c r="A17" s="32"/>
      <c r="B17" s="32"/>
      <c r="C17" s="32"/>
    </row>
    <row r="18" spans="1:3" x14ac:dyDescent="0.25">
      <c r="A18" s="32"/>
      <c r="B18" s="32"/>
      <c r="C18" s="32"/>
    </row>
  </sheetData>
  <sheetProtection password="B056" sheet="1" objects="1" scenarios="1"/>
  <mergeCells count="16">
    <mergeCell ref="A12:G12"/>
    <mergeCell ref="A5:I5"/>
    <mergeCell ref="H7:J7"/>
    <mergeCell ref="E7:G7"/>
    <mergeCell ref="A7:A8"/>
    <mergeCell ref="D7:D8"/>
    <mergeCell ref="B7:B8"/>
    <mergeCell ref="C7:C8"/>
    <mergeCell ref="J1:L1"/>
    <mergeCell ref="E1:G1"/>
    <mergeCell ref="A1:A2"/>
    <mergeCell ref="D1:D2"/>
    <mergeCell ref="H1:H2"/>
    <mergeCell ref="I1:I2"/>
    <mergeCell ref="B1:B2"/>
    <mergeCell ref="C1:C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"/>
  <sheetViews>
    <sheetView zoomScaleNormal="100" workbookViewId="0">
      <selection activeCell="F12" sqref="F12"/>
    </sheetView>
  </sheetViews>
  <sheetFormatPr defaultRowHeight="15" x14ac:dyDescent="0.25"/>
  <cols>
    <col min="1" max="1" width="21.140625" customWidth="1"/>
    <col min="2" max="5" width="13.85546875" customWidth="1"/>
    <col min="6" max="7" width="15" customWidth="1"/>
    <col min="8" max="8" width="14.28515625" customWidth="1"/>
    <col min="9" max="9" width="10.42578125" customWidth="1"/>
    <col min="10" max="10" width="11.85546875" customWidth="1"/>
    <col min="11" max="13" width="14.85546875" customWidth="1"/>
    <col min="14" max="16" width="13.7109375" customWidth="1"/>
  </cols>
  <sheetData>
    <row r="1" spans="1:30" ht="15" customHeight="1" x14ac:dyDescent="0.25">
      <c r="A1" s="190" t="s">
        <v>44</v>
      </c>
      <c r="B1" s="190" t="s">
        <v>24</v>
      </c>
      <c r="C1" s="196" t="s">
        <v>215</v>
      </c>
      <c r="D1" s="196" t="s">
        <v>216</v>
      </c>
      <c r="E1" s="190" t="s">
        <v>201</v>
      </c>
      <c r="F1" s="205" t="s">
        <v>197</v>
      </c>
      <c r="G1" s="205" t="s">
        <v>202</v>
      </c>
      <c r="H1" s="190" t="s">
        <v>203</v>
      </c>
      <c r="I1" s="190" t="s">
        <v>204</v>
      </c>
      <c r="J1" s="205" t="s">
        <v>205</v>
      </c>
      <c r="K1" s="197" t="s">
        <v>206</v>
      </c>
      <c r="L1" s="205" t="s">
        <v>116</v>
      </c>
      <c r="M1" s="205" t="s">
        <v>196</v>
      </c>
      <c r="N1" s="193" t="s">
        <v>207</v>
      </c>
      <c r="O1" s="194"/>
      <c r="P1" s="194"/>
      <c r="Q1" s="190" t="s">
        <v>208</v>
      </c>
      <c r="R1" s="190"/>
      <c r="S1" s="190"/>
      <c r="T1" s="190"/>
      <c r="U1" s="190"/>
      <c r="V1" s="190"/>
      <c r="W1" s="190"/>
      <c r="X1" s="189" t="s">
        <v>1</v>
      </c>
      <c r="Y1" s="189"/>
      <c r="Z1" s="189"/>
      <c r="AA1" s="189"/>
      <c r="AB1" s="189"/>
      <c r="AC1" s="189"/>
      <c r="AD1" s="189"/>
    </row>
    <row r="2" spans="1:30" x14ac:dyDescent="0.25">
      <c r="A2" s="190"/>
      <c r="B2" s="190"/>
      <c r="C2" s="196"/>
      <c r="D2" s="196"/>
      <c r="E2" s="190"/>
      <c r="F2" s="206"/>
      <c r="G2" s="206"/>
      <c r="H2" s="190"/>
      <c r="I2" s="190"/>
      <c r="J2" s="206"/>
      <c r="K2" s="198"/>
      <c r="L2" s="206"/>
      <c r="M2" s="206"/>
      <c r="N2" s="34" t="s">
        <v>2</v>
      </c>
      <c r="O2" s="34" t="s">
        <v>3</v>
      </c>
      <c r="P2" s="38" t="s">
        <v>20</v>
      </c>
      <c r="Q2" s="34" t="s">
        <v>2</v>
      </c>
      <c r="R2" s="34" t="s">
        <v>3</v>
      </c>
      <c r="S2" s="34" t="s">
        <v>20</v>
      </c>
      <c r="T2" s="34" t="s">
        <v>5</v>
      </c>
      <c r="U2" s="34" t="s">
        <v>6</v>
      </c>
      <c r="V2" s="34" t="s">
        <v>4</v>
      </c>
      <c r="W2" s="124" t="s">
        <v>214</v>
      </c>
      <c r="X2" s="34" t="s">
        <v>2</v>
      </c>
      <c r="Y2" s="34" t="s">
        <v>3</v>
      </c>
      <c r="Z2" s="34" t="s">
        <v>20</v>
      </c>
      <c r="AA2" s="34" t="s">
        <v>5</v>
      </c>
      <c r="AB2" s="34" t="s">
        <v>6</v>
      </c>
      <c r="AC2" s="34" t="s">
        <v>4</v>
      </c>
      <c r="AD2" s="34" t="s">
        <v>214</v>
      </c>
    </row>
    <row r="3" spans="1:30" x14ac:dyDescent="0.25">
      <c r="A3" s="35" t="s">
        <v>140</v>
      </c>
      <c r="B3" s="30" t="s">
        <v>45</v>
      </c>
      <c r="C3" s="30">
        <v>-20.166768999999999</v>
      </c>
      <c r="D3" s="30">
        <v>-40.278415000000003</v>
      </c>
      <c r="E3" s="30">
        <v>651</v>
      </c>
      <c r="F3" s="83">
        <f>Dados!B13/8760</f>
        <v>16.662600456621004</v>
      </c>
      <c r="G3" s="117">
        <v>14</v>
      </c>
      <c r="H3" s="91">
        <f>2*(F3/G3)</f>
        <v>2.3803714938030005</v>
      </c>
      <c r="I3" s="91">
        <f>E3*H3/1000</f>
        <v>1.5496218424657533</v>
      </c>
      <c r="J3" s="6">
        <v>8.3000000000000007</v>
      </c>
      <c r="K3" s="6">
        <v>16</v>
      </c>
      <c r="L3" s="30" t="s">
        <v>139</v>
      </c>
      <c r="M3" s="30">
        <v>55</v>
      </c>
      <c r="N3" s="8">
        <f>('FE-Vias'!$D$6*((J3/12)^'FE-Vias'!$D$7)*((K3/3)^'FE-Vias'!$D$8)*'FE-Vias'!$B$9/1000)*'FE-Vias'!$G$15</f>
        <v>1.6952671965211552</v>
      </c>
      <c r="O3" s="8">
        <f>('FE-Vias'!$C$6*((J3/12)^'FE-Vias'!$C$7)*((K3/3)^'FE-Vias'!$C$8)*'FE-Vias'!$B$9/1000)*'FE-Vias'!$G$15</f>
        <v>0.48207288747744004</v>
      </c>
      <c r="P3" s="8">
        <f>('FE-Vias'!$B$6*((J3/12)^'FE-Vias'!$B$7)*((K3/3)^'FE-Vias'!$B$8)*'FE-Vias'!$B$9/1000)*'FE-Vias'!$G$15</f>
        <v>4.820728874774402E-2</v>
      </c>
      <c r="Q3" s="129">
        <f>'FE-Vias'!B22/1000</f>
        <v>1.7489827604766657E-4</v>
      </c>
      <c r="R3" s="129">
        <f>'FE-Vias'!C22/1000</f>
        <v>1.7489827604766657E-4</v>
      </c>
      <c r="S3" s="129">
        <f>'FE-Vias'!D22/1000</f>
        <v>1.7489827604766657E-4</v>
      </c>
      <c r="T3" s="129">
        <f>'FE-Vias'!E22/1000</f>
        <v>5.4345140567386742E-3</v>
      </c>
      <c r="U3" s="134">
        <f>'FE-Vias'!$F$22/1000</f>
        <v>2.1032135261668511E-4</v>
      </c>
      <c r="V3" s="129">
        <f>'FE-Vias'!$G$22/1000</f>
        <v>1.0383730075038094E-3</v>
      </c>
      <c r="W3" s="129">
        <f>'FE-Vias'!H22/1000</f>
        <v>2.4766340643796463E-4</v>
      </c>
      <c r="X3" s="39">
        <f>(N3*I3*(1-M3/100))+(Q3*I3)</f>
        <v>1.1824314106339622</v>
      </c>
      <c r="Y3" s="39">
        <f>(O3*I3*(1-M3/100))+(R3*I3)</f>
        <v>0.33643483043178241</v>
      </c>
      <c r="Z3" s="39">
        <f>(P3*I3*(1-M3/100))+(S3*I3)</f>
        <v>3.3887406613074017E-2</v>
      </c>
      <c r="AA3" s="39">
        <f>T3*I3</f>
        <v>8.4214416855094201E-3</v>
      </c>
      <c r="AB3" s="39">
        <f>U3*I3</f>
        <v>3.2591856195175696E-4</v>
      </c>
      <c r="AC3" s="39">
        <f>V3*I3</f>
        <v>1.6090854930547586E-3</v>
      </c>
      <c r="AD3" s="39">
        <f>W3*I3</f>
        <v>3.8378462419574346E-4</v>
      </c>
    </row>
    <row r="4" spans="1:30" x14ac:dyDescent="0.25">
      <c r="A4" s="35" t="s">
        <v>141</v>
      </c>
      <c r="B4" s="30" t="s">
        <v>45</v>
      </c>
      <c r="C4" s="30">
        <v>-20.168033999999999</v>
      </c>
      <c r="D4" s="30">
        <v>-40.277352</v>
      </c>
      <c r="E4" s="30">
        <v>256</v>
      </c>
      <c r="F4" s="83">
        <f>Dados!B13/8760</f>
        <v>16.662600456621004</v>
      </c>
      <c r="G4" s="117">
        <v>14</v>
      </c>
      <c r="H4" s="91">
        <f t="shared" ref="H4" si="0">2*(F4/G4)</f>
        <v>2.3803714938030005</v>
      </c>
      <c r="I4" s="91">
        <f t="shared" ref="I4" si="1">E4*H4/1000</f>
        <v>0.60937510241356818</v>
      </c>
      <c r="J4" s="6">
        <v>8.3000000000000007</v>
      </c>
      <c r="K4" s="6">
        <v>16</v>
      </c>
      <c r="L4" s="30" t="s">
        <v>139</v>
      </c>
      <c r="M4" s="30">
        <v>55</v>
      </c>
      <c r="N4" s="8">
        <f>('FE-Vias'!$D$6*((J4/12)^'FE-Vias'!$D$7)*((K4/3)^'FE-Vias'!$D$8)*'FE-Vias'!$B$9/1000)*'FE-Vias'!$G$15</f>
        <v>1.6952671965211552</v>
      </c>
      <c r="O4" s="8">
        <f>('FE-Vias'!$C$6*((J4/12)^'FE-Vias'!$C$7)*((K4/3)^'FE-Vias'!$C$8)*'FE-Vias'!$B$9/1000)*'FE-Vias'!$G$15</f>
        <v>0.48207288747744004</v>
      </c>
      <c r="P4" s="8">
        <f>('FE-Vias'!$B$6*((J4/12)^'FE-Vias'!$B$7)*((K4/3)^'FE-Vias'!$B$8)*'FE-Vias'!$B$9/1000)*'FE-Vias'!$G$15</f>
        <v>4.820728874774402E-2</v>
      </c>
      <c r="Q4" s="129">
        <f>'FE-Vias'!$B$22/1000</f>
        <v>1.7489827604766657E-4</v>
      </c>
      <c r="R4" s="129">
        <f>'FE-Vias'!$C$22/1000</f>
        <v>1.7489827604766657E-4</v>
      </c>
      <c r="S4" s="129">
        <f>'FE-Vias'!$D$22/1000</f>
        <v>1.7489827604766657E-4</v>
      </c>
      <c r="T4" s="129">
        <f>'FE-Vias'!$E$22/1000</f>
        <v>5.4345140567386742E-3</v>
      </c>
      <c r="U4" s="134">
        <f>'FE-Vias'!$F$22/1000</f>
        <v>2.1032135261668511E-4</v>
      </c>
      <c r="V4" s="129">
        <f>'FE-Vias'!$G$22/1000</f>
        <v>1.0383730075038094E-3</v>
      </c>
      <c r="W4" s="129">
        <f>'FE-Vias'!$H$22/1000</f>
        <v>2.4766340643796463E-4</v>
      </c>
      <c r="X4" s="39">
        <f t="shared" ref="X4" si="2">(N4*I4*(1-M4/100))+(Q4*I4)</f>
        <v>0.46498070832917721</v>
      </c>
      <c r="Y4" s="39">
        <f t="shared" ref="Y4" si="3">(O4*I4*(1-M4/100))+(R4*I4)</f>
        <v>0.13230002548469477</v>
      </c>
      <c r="Z4" s="39">
        <f t="shared" ref="Z4" si="4">(P4*I4*(1-M4/100))+(S4*I4)</f>
        <v>1.3325923337860136E-2</v>
      </c>
      <c r="AA4" s="39">
        <f t="shared" ref="AA4" si="5">T4*I4</f>
        <v>3.3116575598931054E-3</v>
      </c>
      <c r="AB4" s="39">
        <f t="shared" ref="AB4" si="6">U4*I4</f>
        <v>1.2816459579055266E-4</v>
      </c>
      <c r="AC4" s="39">
        <f t="shared" ref="AC4" si="7">V4*I4</f>
        <v>6.3275865779111864E-4</v>
      </c>
      <c r="AD4" s="39">
        <f t="shared" ref="AD4" si="8">W4*I4</f>
        <v>1.5091991366222786E-4</v>
      </c>
    </row>
    <row r="5" spans="1:30" x14ac:dyDescent="0.25">
      <c r="A5" s="199" t="s">
        <v>211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4">
        <f t="shared" ref="X5:AD5" si="9">SUM(X3:X4)</f>
        <v>1.6474121189631394</v>
      </c>
      <c r="Y5" s="14">
        <f t="shared" si="9"/>
        <v>0.46873485591647718</v>
      </c>
      <c r="Z5" s="14">
        <f t="shared" si="9"/>
        <v>4.7213329950934149E-2</v>
      </c>
      <c r="AA5" s="14">
        <f t="shared" si="9"/>
        <v>1.1733099245402525E-2</v>
      </c>
      <c r="AB5" s="14">
        <f t="shared" si="9"/>
        <v>4.5408315774230965E-4</v>
      </c>
      <c r="AC5" s="14">
        <f t="shared" si="9"/>
        <v>2.2418441508458772E-3</v>
      </c>
      <c r="AD5" s="14">
        <f t="shared" si="9"/>
        <v>5.3470453785797126E-4</v>
      </c>
    </row>
    <row r="6" spans="1:30" x14ac:dyDescent="0.25">
      <c r="A6" s="40"/>
      <c r="K6" s="32"/>
      <c r="L6" s="32"/>
    </row>
    <row r="7" spans="1:30" x14ac:dyDescent="0.25">
      <c r="A7" s="2"/>
      <c r="B7" s="2"/>
    </row>
    <row r="8" spans="1:30" x14ac:dyDescent="0.25">
      <c r="A8" s="2"/>
      <c r="B8" s="2"/>
    </row>
    <row r="9" spans="1:30" x14ac:dyDescent="0.25">
      <c r="A9" s="2"/>
      <c r="B9" s="2"/>
    </row>
    <row r="10" spans="1:30" x14ac:dyDescent="0.25">
      <c r="A10" s="2"/>
      <c r="B10" s="103"/>
    </row>
    <row r="12" spans="1:30" x14ac:dyDescent="0.25">
      <c r="A12" s="6"/>
      <c r="B12" s="6"/>
      <c r="C12" s="30"/>
    </row>
    <row r="13" spans="1:30" x14ac:dyDescent="0.25">
      <c r="A13" s="6"/>
      <c r="B13" s="6"/>
      <c r="C13" s="1"/>
    </row>
  </sheetData>
  <sheetProtection password="B056" sheet="1" objects="1" scenarios="1"/>
  <mergeCells count="17">
    <mergeCell ref="A5:W5"/>
    <mergeCell ref="A1:A2"/>
    <mergeCell ref="B1:B2"/>
    <mergeCell ref="C1:C2"/>
    <mergeCell ref="D1:D2"/>
    <mergeCell ref="E1:E2"/>
    <mergeCell ref="F1:F2"/>
    <mergeCell ref="G1:G2"/>
    <mergeCell ref="X1:AD1"/>
    <mergeCell ref="H1:H2"/>
    <mergeCell ref="I1:I2"/>
    <mergeCell ref="J1:J2"/>
    <mergeCell ref="K1:K2"/>
    <mergeCell ref="N1:P1"/>
    <mergeCell ref="Q1:W1"/>
    <mergeCell ref="M1:M2"/>
    <mergeCell ref="L1:L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9" sqref="C18:C19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208" t="s">
        <v>147</v>
      </c>
      <c r="B1" s="202" t="s">
        <v>1</v>
      </c>
      <c r="C1" s="203"/>
      <c r="D1" s="203"/>
      <c r="E1" s="203"/>
      <c r="F1" s="203"/>
      <c r="G1" s="203"/>
      <c r="H1" s="203"/>
    </row>
    <row r="2" spans="1:9" ht="15" customHeight="1" x14ac:dyDescent="0.25">
      <c r="A2" s="208"/>
      <c r="B2" s="5" t="s">
        <v>2</v>
      </c>
      <c r="C2" s="5" t="s">
        <v>3</v>
      </c>
      <c r="D2" s="5" t="s">
        <v>20</v>
      </c>
      <c r="E2" s="5" t="s">
        <v>5</v>
      </c>
      <c r="F2" s="5" t="s">
        <v>6</v>
      </c>
      <c r="G2" s="5" t="s">
        <v>4</v>
      </c>
      <c r="H2" s="5" t="s">
        <v>214</v>
      </c>
    </row>
    <row r="3" spans="1:9" ht="15" customHeight="1" x14ac:dyDescent="0.25">
      <c r="A3" s="2" t="s">
        <v>142</v>
      </c>
      <c r="B3" s="8">
        <f>'Emissão Perfuração e Detonação'!I4+'Emissão Perfuração e Detonação'!H10</f>
        <v>2.091010506236118E-2</v>
      </c>
      <c r="C3" s="17">
        <f>'Emissão Perfuração e Detonação'!J4+'Emissão Perfuração e Detonação'!I10</f>
        <v>1.0975829974893566E-2</v>
      </c>
      <c r="D3" s="17">
        <f>'Emissão Perfuração e Detonação'!K4+'Emissão Perfuração e Detonação'!J10</f>
        <v>6.2730315187083531E-4</v>
      </c>
      <c r="E3" s="8">
        <f>'Emissão Perfuração e Detonação'!K10</f>
        <v>1.3390410958904109E-2</v>
      </c>
      <c r="F3" s="17">
        <f>'Emissão Perfuração e Detonação'!L10</f>
        <v>1.6738013698630136E-3</v>
      </c>
      <c r="G3" s="8">
        <f>'Emissão Perfuração e Detonação'!M10</f>
        <v>0.72308219178082189</v>
      </c>
      <c r="H3" s="8">
        <f>'Emissão Perfuração e Detonação'!N10</f>
        <v>0.10210188356164383</v>
      </c>
    </row>
    <row r="4" spans="1:9" ht="15" customHeight="1" x14ac:dyDescent="0.25">
      <c r="A4" s="2" t="s">
        <v>121</v>
      </c>
      <c r="B4" s="8">
        <f>'Emissão Transferências'!K15</f>
        <v>0.87443018919099824</v>
      </c>
      <c r="C4" s="8">
        <f>'Emissão Transferências'!L15</f>
        <v>0.41358184623898564</v>
      </c>
      <c r="D4" s="8">
        <f>'Emissão Transferências'!M15</f>
        <v>6.2628108144760691E-2</v>
      </c>
      <c r="E4" s="30" t="s">
        <v>149</v>
      </c>
      <c r="F4" s="30" t="s">
        <v>149</v>
      </c>
      <c r="G4" s="30" t="s">
        <v>149</v>
      </c>
      <c r="H4" s="30" t="s">
        <v>149</v>
      </c>
    </row>
    <row r="5" spans="1:9" ht="15" customHeight="1" x14ac:dyDescent="0.25">
      <c r="A5" s="2" t="s">
        <v>143</v>
      </c>
      <c r="B5" s="8">
        <f>'Emissão Maq e Equip'!H6</f>
        <v>5.1849421308369607E-2</v>
      </c>
      <c r="C5" s="8">
        <f>'Emissão Maq e Equip'!I6</f>
        <v>5.1849421308369607E-2</v>
      </c>
      <c r="D5" s="8">
        <f>'Emissão Maq e Equip'!J6</f>
        <v>5.1849421308369607E-2</v>
      </c>
      <c r="E5" s="8">
        <f>'Emissão Maq e Equip'!K6</f>
        <v>1.2432884673174909</v>
      </c>
      <c r="F5" s="17">
        <f>'Emissão Maq e Equip'!L6</f>
        <v>1.1294840134124082E-3</v>
      </c>
      <c r="G5" s="8">
        <f>'Emissão Maq e Equip'!M6</f>
        <v>0.39676841336746504</v>
      </c>
      <c r="H5" s="8">
        <f>'Emissão Maq e Equip'!N6</f>
        <v>0.12933836502544732</v>
      </c>
    </row>
    <row r="6" spans="1:9" ht="15" customHeight="1" x14ac:dyDescent="0.25">
      <c r="A6" s="2" t="s">
        <v>144</v>
      </c>
      <c r="B6" s="8">
        <f>'Emissão Britagem e Peneiramento'!J5+'Emissão Britagem e Peneiramento'!H12</f>
        <v>0.50450659183789948</v>
      </c>
      <c r="C6" s="8">
        <f>'Emissão Britagem e Peneiramento'!K5+'Emissão Britagem e Peneiramento'!I12</f>
        <v>0.17693944052511415</v>
      </c>
      <c r="D6" s="8">
        <f>'Emissão Britagem e Peneiramento'!L5+'Emissão Britagem e Peneiramento'!J12</f>
        <v>1.3719201435168044E-2</v>
      </c>
      <c r="E6" s="30" t="s">
        <v>149</v>
      </c>
      <c r="F6" s="30" t="s">
        <v>149</v>
      </c>
      <c r="G6" s="30" t="s">
        <v>149</v>
      </c>
      <c r="H6" s="30" t="s">
        <v>149</v>
      </c>
    </row>
    <row r="7" spans="1:9" ht="15" customHeight="1" x14ac:dyDescent="0.25">
      <c r="A7" s="2" t="s">
        <v>145</v>
      </c>
      <c r="B7" s="8">
        <f>'Emissão Vias '!X5</f>
        <v>1.6474121189631394</v>
      </c>
      <c r="C7" s="8">
        <f>'Emissão Vias '!Y5</f>
        <v>0.46873485591647718</v>
      </c>
      <c r="D7" s="8">
        <f>'Emissão Vias '!Z5</f>
        <v>4.7213329950934149E-2</v>
      </c>
      <c r="E7" s="8">
        <f>'Emissão Vias '!AA5</f>
        <v>1.1733099245402525E-2</v>
      </c>
      <c r="F7" s="17">
        <f>'Emissão Vias '!AB5</f>
        <v>4.5408315774230965E-4</v>
      </c>
      <c r="G7" s="17">
        <f>'Emissão Vias '!AC5</f>
        <v>2.2418441508458772E-3</v>
      </c>
      <c r="H7" s="17">
        <f>'Emissão Vias '!AD5</f>
        <v>5.3470453785797126E-4</v>
      </c>
    </row>
    <row r="8" spans="1:9" ht="15" customHeight="1" x14ac:dyDescent="0.25">
      <c r="A8" s="2" t="s">
        <v>146</v>
      </c>
      <c r="B8" s="135">
        <v>0.25407586310336461</v>
      </c>
      <c r="C8" s="135">
        <v>0.1270379315516823</v>
      </c>
      <c r="D8" s="135">
        <v>1.9055689732752346E-2</v>
      </c>
      <c r="E8" s="30" t="s">
        <v>149</v>
      </c>
      <c r="F8" s="30" t="s">
        <v>149</v>
      </c>
      <c r="G8" s="30" t="s">
        <v>149</v>
      </c>
      <c r="H8" s="30" t="s">
        <v>149</v>
      </c>
    </row>
    <row r="9" spans="1:9" ht="15" customHeight="1" x14ac:dyDescent="0.25">
      <c r="A9" s="82" t="s">
        <v>211</v>
      </c>
      <c r="B9" s="14">
        <f>SUM(B3:B8)</f>
        <v>3.3531842894661326</v>
      </c>
      <c r="C9" s="14">
        <f t="shared" ref="C9:H9" si="0">SUM(C3:C8)</f>
        <v>1.2491193255155224</v>
      </c>
      <c r="D9" s="14">
        <f t="shared" si="0"/>
        <v>0.19509305372385566</v>
      </c>
      <c r="E9" s="14">
        <f t="shared" si="0"/>
        <v>1.2684119775217975</v>
      </c>
      <c r="F9" s="14">
        <f t="shared" si="0"/>
        <v>3.2573685410177316E-3</v>
      </c>
      <c r="G9" s="14">
        <f t="shared" si="0"/>
        <v>1.1220924492991329</v>
      </c>
      <c r="H9" s="14">
        <f t="shared" si="0"/>
        <v>0.23197495312494915</v>
      </c>
      <c r="I9" s="57"/>
    </row>
    <row r="11" spans="1:9" ht="15" customHeight="1" x14ac:dyDescent="0.25">
      <c r="A11" s="2" t="s">
        <v>217</v>
      </c>
    </row>
  </sheetData>
  <sheetProtection password="B056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selection activeCell="H12" sqref="H12"/>
    </sheetView>
  </sheetViews>
  <sheetFormatPr defaultRowHeight="15" x14ac:dyDescent="0.25"/>
  <cols>
    <col min="1" max="2" width="17.140625" customWidth="1"/>
    <col min="3" max="3" width="18.5703125" customWidth="1"/>
    <col min="4" max="4" width="18.28515625" customWidth="1"/>
  </cols>
  <sheetData>
    <row r="1" spans="1:9" ht="23.25" customHeight="1" x14ac:dyDescent="0.25">
      <c r="A1" s="141" t="s">
        <v>113</v>
      </c>
      <c r="B1" s="141"/>
      <c r="C1" s="141"/>
      <c r="D1" s="141"/>
      <c r="E1" s="141"/>
      <c r="F1" s="141"/>
      <c r="G1" s="141"/>
      <c r="H1" s="141"/>
      <c r="I1" s="62"/>
    </row>
    <row r="2" spans="1:9" ht="26.25" customHeight="1" x14ac:dyDescent="0.25">
      <c r="A2" s="143" t="s">
        <v>114</v>
      </c>
      <c r="B2" s="143"/>
      <c r="C2" s="143"/>
      <c r="D2" s="143"/>
    </row>
    <row r="3" spans="1:9" x14ac:dyDescent="0.25">
      <c r="A3" s="142" t="s">
        <v>115</v>
      </c>
      <c r="B3" s="142"/>
      <c r="C3" s="142"/>
      <c r="D3" s="142"/>
    </row>
    <row r="4" spans="1:9" x14ac:dyDescent="0.25">
      <c r="A4" s="145" t="s">
        <v>43</v>
      </c>
      <c r="B4" s="145"/>
      <c r="C4" s="145" t="s">
        <v>101</v>
      </c>
      <c r="D4" s="145"/>
    </row>
    <row r="5" spans="1:9" x14ac:dyDescent="0.25">
      <c r="A5" s="146" t="s">
        <v>102</v>
      </c>
      <c r="B5" s="146"/>
      <c r="C5" s="42" t="s">
        <v>2</v>
      </c>
      <c r="D5" s="42" t="s">
        <v>36</v>
      </c>
    </row>
    <row r="6" spans="1:9" x14ac:dyDescent="0.25">
      <c r="A6" s="146"/>
      <c r="B6" s="146"/>
      <c r="C6" s="42">
        <v>0.59</v>
      </c>
      <c r="D6" s="42">
        <v>0.31</v>
      </c>
    </row>
    <row r="8" spans="1:9" x14ac:dyDescent="0.25">
      <c r="A8" s="142" t="s">
        <v>103</v>
      </c>
      <c r="B8" s="142"/>
      <c r="C8" s="142"/>
      <c r="D8" s="142"/>
    </row>
    <row r="9" spans="1:9" ht="21.75" customHeight="1" x14ac:dyDescent="0.25">
      <c r="A9" s="143" t="s">
        <v>104</v>
      </c>
      <c r="B9" s="143"/>
      <c r="C9" s="143"/>
      <c r="D9" s="143"/>
    </row>
    <row r="10" spans="1:9" x14ac:dyDescent="0.25">
      <c r="A10" s="53" t="s">
        <v>43</v>
      </c>
      <c r="B10" s="144" t="s">
        <v>105</v>
      </c>
      <c r="C10" s="144"/>
      <c r="D10" s="144"/>
    </row>
    <row r="11" spans="1:9" x14ac:dyDescent="0.25">
      <c r="A11" s="148" t="s">
        <v>106</v>
      </c>
      <c r="B11" s="42" t="s">
        <v>2</v>
      </c>
      <c r="C11" s="42" t="s">
        <v>36</v>
      </c>
      <c r="D11" s="52" t="s">
        <v>120</v>
      </c>
    </row>
    <row r="12" spans="1:9" ht="26.25" customHeight="1" x14ac:dyDescent="0.25">
      <c r="A12" s="148"/>
    </row>
    <row r="13" spans="1:9" ht="19.5" customHeight="1" x14ac:dyDescent="0.25">
      <c r="A13" s="64" t="s">
        <v>119</v>
      </c>
      <c r="B13" s="147" t="s">
        <v>118</v>
      </c>
      <c r="C13" s="147"/>
      <c r="D13" s="147"/>
    </row>
    <row r="15" spans="1:9" x14ac:dyDescent="0.25">
      <c r="A15" s="1" t="s">
        <v>184</v>
      </c>
    </row>
    <row r="16" spans="1:9" x14ac:dyDescent="0.25">
      <c r="A16" s="151" t="s">
        <v>185</v>
      </c>
      <c r="B16" s="152"/>
      <c r="C16" s="152"/>
      <c r="D16" s="152"/>
      <c r="E16" s="152"/>
      <c r="F16" s="12"/>
      <c r="G16" s="12"/>
    </row>
    <row r="17" spans="1:7" ht="15" customHeight="1" x14ac:dyDescent="0.25">
      <c r="A17" s="153" t="s">
        <v>186</v>
      </c>
      <c r="B17" s="154"/>
      <c r="C17" s="154"/>
      <c r="D17" s="154"/>
      <c r="E17" s="154"/>
      <c r="F17" s="121"/>
      <c r="G17" s="121"/>
    </row>
    <row r="18" spans="1:7" x14ac:dyDescent="0.25">
      <c r="A18" s="149" t="s">
        <v>107</v>
      </c>
      <c r="B18" s="155" t="s">
        <v>108</v>
      </c>
      <c r="C18" s="156"/>
      <c r="D18" s="156"/>
      <c r="E18" s="156"/>
      <c r="F18" s="123"/>
      <c r="G18" s="120"/>
    </row>
    <row r="19" spans="1:7" x14ac:dyDescent="0.25">
      <c r="A19" s="150"/>
      <c r="B19" s="115" t="s">
        <v>4</v>
      </c>
      <c r="C19" s="109" t="s">
        <v>109</v>
      </c>
      <c r="D19" s="109" t="s">
        <v>187</v>
      </c>
      <c r="E19" s="109" t="s">
        <v>188</v>
      </c>
      <c r="F19" s="122"/>
    </row>
    <row r="20" spans="1:7" x14ac:dyDescent="0.25">
      <c r="A20" s="107" t="s">
        <v>180</v>
      </c>
      <c r="B20" s="107">
        <v>34</v>
      </c>
      <c r="C20" s="111">
        <v>8</v>
      </c>
      <c r="D20" s="111">
        <v>1</v>
      </c>
      <c r="E20" s="107" t="s">
        <v>149</v>
      </c>
      <c r="F20" s="119"/>
    </row>
    <row r="21" spans="1:7" x14ac:dyDescent="0.25">
      <c r="A21" s="107" t="s">
        <v>181</v>
      </c>
      <c r="B21" s="107">
        <v>398</v>
      </c>
      <c r="C21" s="116" t="s">
        <v>149</v>
      </c>
      <c r="D21" s="116" t="s">
        <v>149</v>
      </c>
      <c r="E21" s="119">
        <v>61</v>
      </c>
      <c r="F21" s="119"/>
    </row>
  </sheetData>
  <sheetProtection password="B056" sheet="1" objects="1" scenarios="1"/>
  <mergeCells count="15">
    <mergeCell ref="B13:D13"/>
    <mergeCell ref="A11:A12"/>
    <mergeCell ref="A18:A19"/>
    <mergeCell ref="A16:E16"/>
    <mergeCell ref="A17:E17"/>
    <mergeCell ref="B18:E18"/>
    <mergeCell ref="A1:H1"/>
    <mergeCell ref="A8:D8"/>
    <mergeCell ref="A9:D9"/>
    <mergeCell ref="B10:D10"/>
    <mergeCell ref="A2:D2"/>
    <mergeCell ref="A3:D3"/>
    <mergeCell ref="A4:B4"/>
    <mergeCell ref="C4:D4"/>
    <mergeCell ref="A5:B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workbookViewId="0">
      <selection activeCell="K14" sqref="K14:L14"/>
    </sheetView>
  </sheetViews>
  <sheetFormatPr defaultRowHeight="15" x14ac:dyDescent="0.25"/>
  <cols>
    <col min="1" max="1" width="19.42578125" bestFit="1" customWidth="1"/>
    <col min="2" max="2" width="20.140625" customWidth="1"/>
    <col min="3" max="4" width="10" bestFit="1" customWidth="1"/>
    <col min="5" max="5" width="10.5703125" bestFit="1" customWidth="1"/>
    <col min="6" max="7" width="10" bestFit="1" customWidth="1"/>
    <col min="8" max="8" width="11.7109375" bestFit="1" customWidth="1"/>
    <col min="9" max="9" width="10" bestFit="1" customWidth="1"/>
    <col min="11" max="11" width="12.7109375" bestFit="1" customWidth="1"/>
  </cols>
  <sheetData>
    <row r="1" spans="1:20" x14ac:dyDescent="0.25">
      <c r="A1" s="2" t="s">
        <v>23</v>
      </c>
    </row>
    <row r="2" spans="1:20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K2" s="86"/>
      <c r="L2" s="86"/>
      <c r="M2" s="16"/>
      <c r="N2" s="16"/>
      <c r="O2" s="16"/>
      <c r="P2" s="16"/>
      <c r="Q2" s="16"/>
      <c r="R2" s="16"/>
      <c r="S2" s="16"/>
    </row>
    <row r="3" spans="1:20" s="46" customFormat="1" x14ac:dyDescent="0.25">
      <c r="A3" s="157" t="s">
        <v>89</v>
      </c>
      <c r="B3" s="47" t="s">
        <v>90</v>
      </c>
      <c r="C3" s="85">
        <v>3.9890165496478201E-3</v>
      </c>
      <c r="D3" s="85">
        <v>6.1369251319822266E-2</v>
      </c>
      <c r="E3" s="85">
        <v>9.4616446621996876E-5</v>
      </c>
      <c r="F3" s="85">
        <v>3.0704922620167548E-2</v>
      </c>
      <c r="G3" s="85">
        <v>9.325230578523698E-3</v>
      </c>
      <c r="H3" s="85">
        <v>7.4570981157761267</v>
      </c>
      <c r="I3" s="85">
        <v>8.4140057334345904E-4</v>
      </c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s="46" customFormat="1" x14ac:dyDescent="0.25">
      <c r="A4" s="158"/>
      <c r="B4" s="47" t="s">
        <v>91</v>
      </c>
      <c r="C4" s="85">
        <v>1.5482138027073926E-2</v>
      </c>
      <c r="D4" s="85">
        <v>0.12602279653815557</v>
      </c>
      <c r="E4" s="85">
        <v>1.4669823419588148E-4</v>
      </c>
      <c r="F4" s="85">
        <v>0.15992567973540345</v>
      </c>
      <c r="G4" s="85">
        <v>6.8514240153494874E-2</v>
      </c>
      <c r="H4" s="85">
        <v>11.347760681124397</v>
      </c>
      <c r="I4" s="85">
        <v>6.1819292303150449E-3</v>
      </c>
      <c r="K4" s="86"/>
      <c r="L4" s="84"/>
      <c r="M4" s="86"/>
      <c r="N4" s="86"/>
      <c r="O4" s="86"/>
      <c r="P4" s="86"/>
      <c r="Q4" s="86"/>
      <c r="R4" s="86"/>
      <c r="S4" s="86"/>
      <c r="T4" s="86"/>
    </row>
    <row r="5" spans="1:20" s="46" customFormat="1" x14ac:dyDescent="0.25">
      <c r="A5" s="158"/>
      <c r="B5" s="47" t="s">
        <v>92</v>
      </c>
      <c r="C5" s="85">
        <v>4.3689955953397884E-2</v>
      </c>
      <c r="D5" s="85">
        <v>0.46744735992116221</v>
      </c>
      <c r="E5" s="85">
        <v>3.9173850602458582E-4</v>
      </c>
      <c r="F5" s="85">
        <v>0.24966648844319658</v>
      </c>
      <c r="G5" s="85">
        <v>8.1017998911048009E-2</v>
      </c>
      <c r="H5" s="85">
        <v>33.394826528703661</v>
      </c>
      <c r="I5" s="85">
        <v>7.3101241308548672E-3</v>
      </c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0" s="46" customFormat="1" x14ac:dyDescent="0.25">
      <c r="A6" s="158"/>
      <c r="B6" s="47" t="s">
        <v>93</v>
      </c>
      <c r="C6" s="85">
        <v>3.6023154684608628E-2</v>
      </c>
      <c r="D6" s="85">
        <v>0.63034815463312366</v>
      </c>
      <c r="E6" s="85">
        <v>5.7274397999067218E-4</v>
      </c>
      <c r="F6" s="85">
        <v>0.30652652990664653</v>
      </c>
      <c r="G6" s="85">
        <v>8.1297557226803041E-2</v>
      </c>
      <c r="H6" s="85">
        <v>50.902804870404331</v>
      </c>
      <c r="I6" s="85">
        <v>7.3353490732738606E-3</v>
      </c>
      <c r="K6" s="86"/>
      <c r="L6" s="86"/>
      <c r="M6" s="16"/>
      <c r="N6" s="16"/>
      <c r="O6" s="16"/>
      <c r="P6" s="16"/>
      <c r="Q6" s="16"/>
      <c r="R6" s="16"/>
      <c r="S6" s="16"/>
      <c r="T6" s="86"/>
    </row>
    <row r="7" spans="1:20" s="46" customFormat="1" x14ac:dyDescent="0.25">
      <c r="A7" s="158"/>
      <c r="B7" s="47" t="s">
        <v>94</v>
      </c>
      <c r="C7" s="85">
        <v>2.9088427954342536E-2</v>
      </c>
      <c r="D7" s="85">
        <v>0.84182054273419638</v>
      </c>
      <c r="E7" s="85">
        <v>8.0986730271663749E-4</v>
      </c>
      <c r="F7" s="85">
        <v>0.21055843242538708</v>
      </c>
      <c r="G7" s="85">
        <v>7.8277754706101627E-2</v>
      </c>
      <c r="H7" s="85">
        <v>71.977225347554125</v>
      </c>
      <c r="I7" s="85">
        <v>7.0628741220007361E-3</v>
      </c>
      <c r="K7" s="86"/>
      <c r="L7" s="86"/>
      <c r="M7" s="86"/>
      <c r="N7" s="86"/>
      <c r="O7" s="86"/>
      <c r="P7" s="86"/>
      <c r="Q7" s="86"/>
      <c r="R7" s="86"/>
      <c r="S7" s="86"/>
      <c r="T7" s="86"/>
    </row>
    <row r="8" spans="1:20" s="46" customFormat="1" x14ac:dyDescent="0.25">
      <c r="A8" s="158"/>
      <c r="B8" s="47" t="s">
        <v>95</v>
      </c>
      <c r="C8" s="13">
        <v>3.8897927506608358E-2</v>
      </c>
      <c r="D8" s="13">
        <v>1.0799749312549003</v>
      </c>
      <c r="E8" s="13">
        <v>1.0406255490298018E-3</v>
      </c>
      <c r="F8" s="13">
        <v>0.34712417522482392</v>
      </c>
      <c r="G8" s="13">
        <v>0.1040828387327908</v>
      </c>
      <c r="H8" s="13">
        <v>106.02050023214386</v>
      </c>
      <c r="I8" s="13">
        <v>9.3912260611923714E-3</v>
      </c>
      <c r="K8" s="86"/>
      <c r="L8" s="86"/>
      <c r="M8" s="86"/>
      <c r="N8" s="86"/>
      <c r="O8" s="86"/>
      <c r="P8" s="86"/>
      <c r="Q8" s="86"/>
      <c r="R8" s="86"/>
      <c r="S8" s="86"/>
      <c r="T8" s="86"/>
    </row>
    <row r="9" spans="1:20" s="46" customFormat="1" x14ac:dyDescent="0.25">
      <c r="A9" s="159"/>
      <c r="B9" s="47" t="s">
        <v>96</v>
      </c>
      <c r="C9" s="13">
        <v>6.5509575064624348E-2</v>
      </c>
      <c r="D9" s="13">
        <v>1.848764979398662</v>
      </c>
      <c r="E9" s="13">
        <v>1.7668986494167919E-3</v>
      </c>
      <c r="F9" s="13">
        <v>0.57357271429451673</v>
      </c>
      <c r="G9" s="13">
        <v>0.17421540945270575</v>
      </c>
      <c r="H9" s="13">
        <v>175.7281803441501</v>
      </c>
      <c r="I9" s="13">
        <v>1.5719177508701557E-2</v>
      </c>
      <c r="K9" s="86"/>
      <c r="L9" s="86"/>
      <c r="M9" s="86"/>
      <c r="N9" s="86"/>
      <c r="O9" s="86"/>
      <c r="P9" s="86"/>
      <c r="Q9" s="86"/>
      <c r="R9" s="86"/>
      <c r="S9" s="86"/>
      <c r="T9" s="86"/>
    </row>
    <row r="10" spans="1:20" x14ac:dyDescent="0.25">
      <c r="A10" s="181" t="s">
        <v>26</v>
      </c>
      <c r="B10" s="15" t="s">
        <v>27</v>
      </c>
      <c r="C10" s="85">
        <v>4.1647481574952775E-3</v>
      </c>
      <c r="D10" s="85">
        <v>6.5318933034944765E-2</v>
      </c>
      <c r="E10" s="85">
        <v>9.7431139391112798E-5</v>
      </c>
      <c r="F10" s="85">
        <v>3.2117661168667613E-2</v>
      </c>
      <c r="G10" s="85">
        <v>1.0013560541894806E-2</v>
      </c>
      <c r="H10" s="85">
        <v>7.6789363702976381</v>
      </c>
      <c r="I10" s="85">
        <v>9.0350737078986789E-4</v>
      </c>
      <c r="J10" s="16"/>
      <c r="K10" s="16"/>
    </row>
    <row r="11" spans="1:20" x14ac:dyDescent="0.25">
      <c r="A11" s="141"/>
      <c r="B11" s="15" t="s">
        <v>28</v>
      </c>
      <c r="C11" s="85">
        <v>1.9389461005136124E-2</v>
      </c>
      <c r="D11" s="85">
        <v>0.15850781980120351</v>
      </c>
      <c r="E11" s="85">
        <v>1.8265581631205882E-4</v>
      </c>
      <c r="F11" s="85">
        <v>0.19953638186759515</v>
      </c>
      <c r="G11" s="85">
        <v>8.7889870552575564E-2</v>
      </c>
      <c r="H11" s="85">
        <v>14.129238189499569</v>
      </c>
      <c r="I11" s="85">
        <v>7.9301638618412291E-3</v>
      </c>
    </row>
    <row r="12" spans="1:20" x14ac:dyDescent="0.25">
      <c r="A12" s="141"/>
      <c r="B12" s="15" t="s">
        <v>29</v>
      </c>
      <c r="C12" s="85">
        <v>3.5159649405128737E-2</v>
      </c>
      <c r="D12" s="85">
        <v>0.39013010201093185</v>
      </c>
      <c r="E12" s="85">
        <v>3.1347091665644508E-4</v>
      </c>
      <c r="F12" s="85">
        <v>0.2004419223709539</v>
      </c>
      <c r="G12" s="85">
        <v>6.7138814469940591E-2</v>
      </c>
      <c r="H12" s="85">
        <v>26.722695910514073</v>
      </c>
      <c r="I12" s="85">
        <v>6.0578280967871325E-3</v>
      </c>
    </row>
    <row r="13" spans="1:20" x14ac:dyDescent="0.25">
      <c r="A13" s="141"/>
      <c r="B13" s="15" t="s">
        <v>30</v>
      </c>
      <c r="C13" s="85">
        <v>3.4873730864910753E-2</v>
      </c>
      <c r="D13" s="85">
        <v>0.62819014565488085</v>
      </c>
      <c r="E13" s="85">
        <v>5.4259968788077681E-4</v>
      </c>
      <c r="F13" s="85">
        <v>0.29143683660988179</v>
      </c>
      <c r="G13" s="85">
        <v>7.9806989940830519E-2</v>
      </c>
      <c r="H13" s="85">
        <v>48.223729179933819</v>
      </c>
      <c r="I13" s="85">
        <v>7.2008552575325378E-3</v>
      </c>
    </row>
    <row r="14" spans="1:20" x14ac:dyDescent="0.25">
      <c r="A14" s="141"/>
      <c r="B14" s="15" t="s">
        <v>31</v>
      </c>
      <c r="C14" s="13">
        <v>3.101083119228833E-2</v>
      </c>
      <c r="D14" s="13">
        <v>0.83698143551687265</v>
      </c>
      <c r="E14" s="13">
        <v>7.6033040375300068E-4</v>
      </c>
      <c r="F14" s="13">
        <v>0.22495851814724077</v>
      </c>
      <c r="G14" s="13">
        <v>8.0781384871570633E-2</v>
      </c>
      <c r="H14" s="13">
        <v>67.57462749683539</v>
      </c>
      <c r="I14" s="13">
        <v>7.2887737155482657E-3</v>
      </c>
      <c r="L14" s="86"/>
    </row>
    <row r="15" spans="1:20" x14ac:dyDescent="0.25">
      <c r="A15" s="141"/>
      <c r="B15" s="15" t="s">
        <v>32</v>
      </c>
      <c r="C15" s="13">
        <v>4.4312637095619792E-2</v>
      </c>
      <c r="D15" s="13">
        <v>1.1811178567160983</v>
      </c>
      <c r="E15" s="13">
        <v>1.0551972934755545E-3</v>
      </c>
      <c r="F15" s="13">
        <v>0.44023160723795168</v>
      </c>
      <c r="G15" s="13">
        <v>0.11468313954524458</v>
      </c>
      <c r="H15" s="13">
        <v>107.50511325477065</v>
      </c>
      <c r="I15" s="13">
        <v>1.0347677695252593E-2</v>
      </c>
    </row>
    <row r="16" spans="1:20" x14ac:dyDescent="0.25">
      <c r="A16" s="141"/>
      <c r="B16" s="15" t="s">
        <v>33</v>
      </c>
      <c r="C16" s="13">
        <v>9.1699292295937748E-2</v>
      </c>
      <c r="D16" s="13">
        <v>2.4816495823931239</v>
      </c>
      <c r="E16" s="13">
        <v>2.2143711863278365E-3</v>
      </c>
      <c r="F16" s="13">
        <v>0.8977989810489746</v>
      </c>
      <c r="G16" s="13">
        <v>0.2376690359121682</v>
      </c>
      <c r="H16" s="13">
        <v>220.23193257962103</v>
      </c>
      <c r="I16" s="13">
        <v>2.1444490325478866E-2</v>
      </c>
    </row>
    <row r="17" spans="1:9" x14ac:dyDescent="0.25">
      <c r="A17" s="141"/>
      <c r="B17" s="15" t="s">
        <v>34</v>
      </c>
      <c r="C17" s="13">
        <v>0.11281698418835924</v>
      </c>
      <c r="D17" s="13">
        <v>3.6320533542247149</v>
      </c>
      <c r="E17" s="13">
        <v>2.708513011176045E-3</v>
      </c>
      <c r="F17" s="13">
        <v>1.2834306373108464</v>
      </c>
      <c r="G17" s="13">
        <v>0.33188731556128104</v>
      </c>
      <c r="H17" s="13">
        <v>269.37717766866973</v>
      </c>
      <c r="I17" s="13">
        <v>2.9945664738985911E-2</v>
      </c>
    </row>
    <row r="19" spans="1:9" x14ac:dyDescent="0.25">
      <c r="A19" s="160" t="s">
        <v>21</v>
      </c>
      <c r="B19" s="163"/>
      <c r="C19" s="164"/>
      <c r="D19" s="164"/>
      <c r="E19" s="165"/>
    </row>
    <row r="20" spans="1:9" x14ac:dyDescent="0.25">
      <c r="A20" s="161"/>
      <c r="B20" s="166"/>
      <c r="C20" s="167"/>
      <c r="D20" s="167"/>
      <c r="E20" s="168"/>
    </row>
    <row r="21" spans="1:9" x14ac:dyDescent="0.25">
      <c r="A21" s="161"/>
      <c r="B21" s="169"/>
      <c r="C21" s="170"/>
      <c r="D21" s="170"/>
      <c r="E21" s="171"/>
    </row>
    <row r="22" spans="1:9" x14ac:dyDescent="0.25">
      <c r="A22" s="161"/>
      <c r="B22" s="172" t="s">
        <v>22</v>
      </c>
      <c r="C22" s="173"/>
      <c r="D22" s="173"/>
      <c r="E22" s="174"/>
    </row>
    <row r="23" spans="1:9" x14ac:dyDescent="0.25">
      <c r="A23" s="161"/>
      <c r="B23" s="175"/>
      <c r="C23" s="176"/>
      <c r="D23" s="176"/>
      <c r="E23" s="177"/>
    </row>
    <row r="24" spans="1:9" x14ac:dyDescent="0.25">
      <c r="A24" s="161"/>
      <c r="B24" s="175"/>
      <c r="C24" s="176"/>
      <c r="D24" s="176"/>
      <c r="E24" s="177"/>
    </row>
    <row r="25" spans="1:9" x14ac:dyDescent="0.25">
      <c r="A25" s="162"/>
      <c r="B25" s="178"/>
      <c r="C25" s="179"/>
      <c r="D25" s="179"/>
      <c r="E25" s="180"/>
    </row>
    <row r="27" spans="1:9" x14ac:dyDescent="0.25">
      <c r="A27" s="2" t="s">
        <v>150</v>
      </c>
    </row>
    <row r="28" spans="1:9" x14ac:dyDescent="0.25">
      <c r="A28" s="2" t="s">
        <v>151</v>
      </c>
    </row>
  </sheetData>
  <sheetProtection password="B056" sheet="1" objects="1" scenarios="1"/>
  <mergeCells count="5">
    <mergeCell ref="A3:A9"/>
    <mergeCell ref="A19:A25"/>
    <mergeCell ref="B19:E21"/>
    <mergeCell ref="B22:E25"/>
    <mergeCell ref="A10:A17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3" sqref="B3:D3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82" t="s">
        <v>40</v>
      </c>
      <c r="B1" s="183"/>
      <c r="C1" s="183"/>
      <c r="D1" s="183"/>
    </row>
    <row r="2" spans="1:5" x14ac:dyDescent="0.25">
      <c r="A2" s="11"/>
      <c r="B2" s="11" t="s">
        <v>2</v>
      </c>
      <c r="C2" s="11" t="s">
        <v>36</v>
      </c>
      <c r="D2" s="11" t="s">
        <v>37</v>
      </c>
    </row>
    <row r="3" spans="1:5" x14ac:dyDescent="0.25">
      <c r="A3" s="10" t="s">
        <v>38</v>
      </c>
      <c r="B3" s="125">
        <v>0.74</v>
      </c>
      <c r="C3" s="125">
        <v>0.35</v>
      </c>
      <c r="D3" s="125">
        <v>5.2999999999999999E-2</v>
      </c>
    </row>
    <row r="5" spans="1:5" x14ac:dyDescent="0.25">
      <c r="A5" s="160" t="s">
        <v>21</v>
      </c>
      <c r="B5" s="20"/>
      <c r="C5" s="21"/>
      <c r="D5" s="21"/>
      <c r="E5" s="26"/>
    </row>
    <row r="6" spans="1:5" x14ac:dyDescent="0.25">
      <c r="A6" s="161"/>
      <c r="B6" s="22"/>
      <c r="C6" s="23"/>
      <c r="D6" s="23"/>
      <c r="E6" s="26"/>
    </row>
    <row r="7" spans="1:5" x14ac:dyDescent="0.25">
      <c r="A7" s="161"/>
      <c r="B7" s="24"/>
      <c r="C7" s="25"/>
      <c r="D7" s="25"/>
      <c r="E7" s="26"/>
    </row>
    <row r="8" spans="1:5" ht="15" customHeight="1" x14ac:dyDescent="0.25">
      <c r="A8" s="161"/>
      <c r="B8" s="172" t="s">
        <v>39</v>
      </c>
      <c r="C8" s="173"/>
      <c r="D8" s="173"/>
      <c r="E8" s="27"/>
    </row>
    <row r="9" spans="1:5" x14ac:dyDescent="0.25">
      <c r="A9" s="161"/>
      <c r="B9" s="175"/>
      <c r="C9" s="176"/>
      <c r="D9" s="176"/>
      <c r="E9" s="27"/>
    </row>
    <row r="10" spans="1:5" ht="17.25" customHeight="1" x14ac:dyDescent="0.25">
      <c r="A10" s="161"/>
      <c r="B10" s="175"/>
      <c r="C10" s="176"/>
      <c r="D10" s="176"/>
      <c r="E10" s="27"/>
    </row>
    <row r="11" spans="1:5" ht="19.5" customHeight="1" x14ac:dyDescent="0.25">
      <c r="A11" s="162"/>
      <c r="B11" s="178"/>
      <c r="C11" s="179"/>
      <c r="D11" s="179"/>
      <c r="E11" s="27"/>
    </row>
  </sheetData>
  <sheetProtection password="B056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24.42578125" customWidth="1"/>
    <col min="2" max="5" width="20.42578125" customWidth="1"/>
    <col min="6" max="6" width="20.85546875" customWidth="1"/>
    <col min="7" max="7" width="18.42578125" customWidth="1"/>
  </cols>
  <sheetData>
    <row r="1" spans="1:7" x14ac:dyDescent="0.25">
      <c r="A1" s="2" t="s">
        <v>125</v>
      </c>
    </row>
    <row r="2" spans="1:7" x14ac:dyDescent="0.25">
      <c r="A2" s="155" t="s">
        <v>126</v>
      </c>
      <c r="B2" s="156"/>
      <c r="C2" s="156"/>
      <c r="D2" s="156"/>
      <c r="E2" s="156"/>
      <c r="F2" s="156"/>
      <c r="G2" s="156"/>
    </row>
    <row r="3" spans="1:7" ht="15" customHeight="1" x14ac:dyDescent="0.25">
      <c r="A3" s="143" t="s">
        <v>127</v>
      </c>
      <c r="B3" s="143"/>
      <c r="C3" s="143"/>
      <c r="D3" s="143"/>
      <c r="E3" s="143"/>
      <c r="F3" s="143"/>
      <c r="G3" s="143"/>
    </row>
    <row r="4" spans="1:7" x14ac:dyDescent="0.25">
      <c r="A4" s="66" t="s">
        <v>110</v>
      </c>
      <c r="B4" s="67" t="s">
        <v>2</v>
      </c>
      <c r="C4" s="67" t="s">
        <v>132</v>
      </c>
      <c r="D4" s="67" t="s">
        <v>36</v>
      </c>
      <c r="E4" s="67" t="s">
        <v>132</v>
      </c>
      <c r="F4" s="67" t="s">
        <v>120</v>
      </c>
      <c r="G4" s="67" t="s">
        <v>132</v>
      </c>
    </row>
    <row r="5" spans="1:7" x14ac:dyDescent="0.25">
      <c r="A5" s="78" t="s">
        <v>128</v>
      </c>
      <c r="B5" s="79">
        <v>2.7000000000000001E-3</v>
      </c>
      <c r="C5" s="79" t="s">
        <v>133</v>
      </c>
      <c r="D5" s="79">
        <v>1.1999999999999999E-3</v>
      </c>
      <c r="E5" s="79" t="s">
        <v>134</v>
      </c>
      <c r="F5" s="79" t="s">
        <v>112</v>
      </c>
      <c r="G5" s="49"/>
    </row>
    <row r="6" spans="1:7" x14ac:dyDescent="0.25">
      <c r="A6" s="18" t="s">
        <v>129</v>
      </c>
      <c r="B6" s="72">
        <v>5.9999999999999995E-4</v>
      </c>
      <c r="C6" s="72" t="s">
        <v>133</v>
      </c>
      <c r="D6" s="72">
        <v>2.7E-4</v>
      </c>
      <c r="E6" s="72" t="s">
        <v>134</v>
      </c>
      <c r="F6" s="72">
        <v>5.0000000000000002E-5</v>
      </c>
      <c r="G6" s="30" t="s">
        <v>133</v>
      </c>
    </row>
    <row r="7" spans="1:7" x14ac:dyDescent="0.25">
      <c r="A7" s="60" t="s">
        <v>111</v>
      </c>
      <c r="B7" s="68">
        <v>1.2500000000000001E-2</v>
      </c>
      <c r="C7" s="68" t="s">
        <v>133</v>
      </c>
      <c r="D7" s="68">
        <v>4.3E-3</v>
      </c>
      <c r="E7" s="68" t="s">
        <v>134</v>
      </c>
      <c r="F7" s="68" t="s">
        <v>112</v>
      </c>
      <c r="G7" s="49"/>
    </row>
    <row r="8" spans="1:7" x14ac:dyDescent="0.25">
      <c r="A8" s="2" t="s">
        <v>130</v>
      </c>
      <c r="B8" s="30">
        <v>1.1000000000000001E-3</v>
      </c>
      <c r="C8" s="30" t="s">
        <v>133</v>
      </c>
      <c r="D8" s="30">
        <v>3.6999999999999999E-4</v>
      </c>
      <c r="E8" s="30" t="s">
        <v>134</v>
      </c>
      <c r="F8" s="69">
        <v>2.5000000000000001E-5</v>
      </c>
      <c r="G8" s="30" t="s">
        <v>133</v>
      </c>
    </row>
    <row r="9" spans="1:7" x14ac:dyDescent="0.25">
      <c r="A9" s="2"/>
      <c r="B9" s="1"/>
      <c r="C9" s="1"/>
      <c r="D9" s="1"/>
      <c r="E9" s="1"/>
    </row>
    <row r="10" spans="1:7" x14ac:dyDescent="0.25">
      <c r="D10" s="87"/>
    </row>
    <row r="11" spans="1:7" x14ac:dyDescent="0.25">
      <c r="D11" s="87"/>
    </row>
    <row r="13" spans="1:7" x14ac:dyDescent="0.25">
      <c r="F13" s="87"/>
    </row>
    <row r="15" spans="1:7" x14ac:dyDescent="0.25">
      <c r="D15" s="88"/>
      <c r="F15" s="87"/>
    </row>
    <row r="16" spans="1:7" x14ac:dyDescent="0.25">
      <c r="D16" s="88"/>
      <c r="F16" s="87"/>
    </row>
  </sheetData>
  <sheetProtection password="B056" sheet="1" objects="1" scenarios="1"/>
  <mergeCells count="2">
    <mergeCell ref="A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F22" sqref="F22"/>
    </sheetView>
  </sheetViews>
  <sheetFormatPr defaultRowHeight="15" x14ac:dyDescent="0.25"/>
  <cols>
    <col min="1" max="4" width="13.42578125" customWidth="1"/>
    <col min="6" max="6" width="10.28515625" customWidth="1"/>
    <col min="7" max="7" width="16.42578125" customWidth="1"/>
    <col min="8" max="8" width="20.140625" customWidth="1"/>
    <col min="9" max="9" width="11.28515625" bestFit="1" customWidth="1"/>
    <col min="10" max="10" width="13.85546875" customWidth="1"/>
  </cols>
  <sheetData>
    <row r="1" spans="1:10" x14ac:dyDescent="0.25">
      <c r="A1" s="2" t="s">
        <v>46</v>
      </c>
      <c r="B1" s="2"/>
      <c r="C1" s="2"/>
      <c r="D1" s="2"/>
      <c r="F1" s="142" t="s">
        <v>62</v>
      </c>
      <c r="G1" s="142"/>
      <c r="H1" s="142"/>
      <c r="I1" s="142"/>
      <c r="J1" s="142"/>
    </row>
    <row r="2" spans="1:10" ht="22.5" x14ac:dyDescent="0.25">
      <c r="A2" s="144" t="s">
        <v>47</v>
      </c>
      <c r="B2" s="144"/>
      <c r="C2" s="144"/>
      <c r="D2" s="144"/>
      <c r="F2" s="110" t="s">
        <v>63</v>
      </c>
      <c r="G2" s="108" t="s">
        <v>64</v>
      </c>
      <c r="H2" s="108" t="s">
        <v>65</v>
      </c>
      <c r="I2" s="110" t="s">
        <v>66</v>
      </c>
      <c r="J2" s="110" t="s">
        <v>67</v>
      </c>
    </row>
    <row r="3" spans="1:10" x14ac:dyDescent="0.25">
      <c r="A3" s="152" t="s">
        <v>48</v>
      </c>
      <c r="B3" s="152"/>
      <c r="C3" s="152"/>
      <c r="D3" s="152"/>
      <c r="F3" s="111" t="s">
        <v>68</v>
      </c>
      <c r="G3" s="111">
        <v>0</v>
      </c>
      <c r="H3" s="111">
        <v>0</v>
      </c>
      <c r="I3" s="111">
        <v>31</v>
      </c>
      <c r="J3" s="43">
        <f>(I3-H3)/I3</f>
        <v>1</v>
      </c>
    </row>
    <row r="4" spans="1:10" x14ac:dyDescent="0.25">
      <c r="A4" s="184" t="s">
        <v>49</v>
      </c>
      <c r="B4" s="184" t="s">
        <v>50</v>
      </c>
      <c r="C4" s="184"/>
      <c r="D4" s="184"/>
      <c r="F4" s="111" t="s">
        <v>69</v>
      </c>
      <c r="G4" s="111">
        <v>52</v>
      </c>
      <c r="H4" s="111">
        <v>7</v>
      </c>
      <c r="I4" s="111">
        <v>28</v>
      </c>
      <c r="J4" s="43">
        <f t="shared" ref="J4:J14" si="0">(I4-H4)/I4</f>
        <v>0.75</v>
      </c>
    </row>
    <row r="5" spans="1:10" x14ac:dyDescent="0.25">
      <c r="A5" s="184"/>
      <c r="B5" s="36" t="s">
        <v>51</v>
      </c>
      <c r="C5" s="36" t="s">
        <v>52</v>
      </c>
      <c r="D5" s="36" t="s">
        <v>53</v>
      </c>
      <c r="F5" s="111" t="s">
        <v>70</v>
      </c>
      <c r="G5" s="111">
        <v>69</v>
      </c>
      <c r="H5" s="111">
        <v>7</v>
      </c>
      <c r="I5" s="111">
        <v>31</v>
      </c>
      <c r="J5" s="43">
        <f t="shared" si="0"/>
        <v>0.77419354838709675</v>
      </c>
    </row>
    <row r="6" spans="1:10" x14ac:dyDescent="0.25">
      <c r="A6" s="37" t="s">
        <v>54</v>
      </c>
      <c r="B6" s="37">
        <v>0.15</v>
      </c>
      <c r="C6" s="37">
        <v>1.5</v>
      </c>
      <c r="D6" s="37">
        <v>4.9000000000000004</v>
      </c>
      <c r="F6" s="111" t="s">
        <v>71</v>
      </c>
      <c r="G6" s="111">
        <v>44</v>
      </c>
      <c r="H6" s="111">
        <v>8</v>
      </c>
      <c r="I6" s="111">
        <v>30</v>
      </c>
      <c r="J6" s="43">
        <f t="shared" si="0"/>
        <v>0.73333333333333328</v>
      </c>
    </row>
    <row r="7" spans="1:10" x14ac:dyDescent="0.25">
      <c r="A7" s="37" t="s">
        <v>55</v>
      </c>
      <c r="B7" s="37">
        <v>0.9</v>
      </c>
      <c r="C7" s="37">
        <v>0.9</v>
      </c>
      <c r="D7" s="37">
        <v>0.7</v>
      </c>
      <c r="F7" s="111" t="s">
        <v>72</v>
      </c>
      <c r="G7" s="111">
        <v>185.8</v>
      </c>
      <c r="H7" s="111">
        <v>16</v>
      </c>
      <c r="I7" s="111">
        <v>31</v>
      </c>
      <c r="J7" s="43">
        <f t="shared" si="0"/>
        <v>0.4838709677419355</v>
      </c>
    </row>
    <row r="8" spans="1:10" x14ac:dyDescent="0.25">
      <c r="A8" s="37" t="s">
        <v>56</v>
      </c>
      <c r="B8" s="37">
        <v>0.45</v>
      </c>
      <c r="C8" s="37">
        <v>0.45</v>
      </c>
      <c r="D8" s="37">
        <v>0.45</v>
      </c>
      <c r="F8" s="111" t="s">
        <v>73</v>
      </c>
      <c r="G8" s="111">
        <v>119.2</v>
      </c>
      <c r="H8" s="111">
        <v>9</v>
      </c>
      <c r="I8" s="111">
        <v>30</v>
      </c>
      <c r="J8" s="43">
        <f t="shared" si="0"/>
        <v>0.7</v>
      </c>
    </row>
    <row r="9" spans="1:10" x14ac:dyDescent="0.25">
      <c r="A9" s="37" t="s">
        <v>58</v>
      </c>
      <c r="B9" s="12">
        <v>281.89999999999998</v>
      </c>
      <c r="C9" s="37" t="s">
        <v>59</v>
      </c>
      <c r="D9" s="37"/>
      <c r="F9" s="111" t="s">
        <v>74</v>
      </c>
      <c r="G9" s="111">
        <v>17.8</v>
      </c>
      <c r="H9" s="111">
        <v>6</v>
      </c>
      <c r="I9" s="111">
        <v>31</v>
      </c>
      <c r="J9" s="43">
        <f t="shared" si="0"/>
        <v>0.80645161290322576</v>
      </c>
    </row>
    <row r="10" spans="1:10" x14ac:dyDescent="0.25">
      <c r="A10" s="184" t="s">
        <v>57</v>
      </c>
      <c r="B10" s="184"/>
      <c r="C10" s="184"/>
      <c r="D10" s="184"/>
      <c r="F10" s="111" t="s">
        <v>75</v>
      </c>
      <c r="G10" s="111">
        <v>70.2</v>
      </c>
      <c r="H10" s="111">
        <v>11</v>
      </c>
      <c r="I10" s="111">
        <v>31</v>
      </c>
      <c r="J10" s="43">
        <f t="shared" si="0"/>
        <v>0.64516129032258063</v>
      </c>
    </row>
    <row r="11" spans="1:10" x14ac:dyDescent="0.25">
      <c r="A11" s="184"/>
      <c r="B11" s="184"/>
      <c r="C11" s="184"/>
      <c r="D11" s="184"/>
      <c r="F11" s="111" t="s">
        <v>76</v>
      </c>
      <c r="G11" s="111">
        <v>25.2</v>
      </c>
      <c r="H11" s="111">
        <v>7</v>
      </c>
      <c r="I11" s="111">
        <v>30</v>
      </c>
      <c r="J11" s="43">
        <f t="shared" si="0"/>
        <v>0.76666666666666672</v>
      </c>
    </row>
    <row r="12" spans="1:10" ht="15" customHeight="1" x14ac:dyDescent="0.25">
      <c r="A12" s="184"/>
      <c r="B12" s="185" t="s">
        <v>198</v>
      </c>
      <c r="C12" s="185"/>
      <c r="D12" s="185"/>
      <c r="F12" s="111" t="s">
        <v>77</v>
      </c>
      <c r="G12" s="111">
        <v>54.4</v>
      </c>
      <c r="H12" s="111">
        <v>6</v>
      </c>
      <c r="I12" s="111">
        <v>31</v>
      </c>
      <c r="J12" s="43">
        <f t="shared" si="0"/>
        <v>0.80645161290322576</v>
      </c>
    </row>
    <row r="13" spans="1:10" x14ac:dyDescent="0.25">
      <c r="A13" s="184"/>
      <c r="B13" s="185"/>
      <c r="C13" s="185"/>
      <c r="D13" s="185"/>
      <c r="F13" s="111" t="s">
        <v>78</v>
      </c>
      <c r="G13" s="44">
        <v>48.6</v>
      </c>
      <c r="H13" s="111">
        <v>9</v>
      </c>
      <c r="I13" s="111">
        <v>30</v>
      </c>
      <c r="J13" s="43">
        <f t="shared" si="0"/>
        <v>0.7</v>
      </c>
    </row>
    <row r="14" spans="1:10" x14ac:dyDescent="0.25">
      <c r="A14" s="184"/>
      <c r="B14" s="185"/>
      <c r="C14" s="185"/>
      <c r="D14" s="185"/>
      <c r="F14" s="111" t="s">
        <v>79</v>
      </c>
      <c r="G14" s="111">
        <v>91.4</v>
      </c>
      <c r="H14" s="111">
        <v>6</v>
      </c>
      <c r="I14" s="111">
        <v>31</v>
      </c>
      <c r="J14" s="43">
        <f t="shared" si="0"/>
        <v>0.80645161290322576</v>
      </c>
    </row>
    <row r="15" spans="1:10" x14ac:dyDescent="0.25">
      <c r="A15" s="184"/>
      <c r="B15" s="185"/>
      <c r="C15" s="185"/>
      <c r="D15" s="185"/>
      <c r="F15" s="112" t="s">
        <v>80</v>
      </c>
      <c r="G15" s="8">
        <f>(365-SUM(H3:H14))/365</f>
        <v>0.74794520547945209</v>
      </c>
      <c r="H15" s="2"/>
      <c r="I15" s="30"/>
      <c r="J15" s="2"/>
    </row>
    <row r="16" spans="1:10" x14ac:dyDescent="0.25">
      <c r="A16" s="184"/>
      <c r="B16" s="185"/>
      <c r="C16" s="185"/>
      <c r="D16" s="185"/>
      <c r="H16" s="1"/>
      <c r="I16" s="1"/>
      <c r="J16" s="1"/>
    </row>
    <row r="17" spans="1:8" x14ac:dyDescent="0.25">
      <c r="A17" s="184"/>
      <c r="B17" s="185"/>
      <c r="C17" s="185"/>
      <c r="D17" s="185"/>
    </row>
    <row r="19" spans="1:8" x14ac:dyDescent="0.25">
      <c r="A19" s="142" t="s">
        <v>81</v>
      </c>
      <c r="B19" s="142" t="s">
        <v>82</v>
      </c>
      <c r="C19" s="142"/>
      <c r="D19" s="142"/>
      <c r="E19" s="142"/>
      <c r="F19" s="142"/>
      <c r="G19" s="142"/>
      <c r="H19" s="142"/>
    </row>
    <row r="20" spans="1:8" x14ac:dyDescent="0.25">
      <c r="A20" s="142"/>
      <c r="B20" s="142" t="s">
        <v>83</v>
      </c>
      <c r="C20" s="142"/>
      <c r="D20" s="142"/>
      <c r="E20" s="142"/>
      <c r="F20" s="142"/>
      <c r="G20" s="142"/>
      <c r="H20" s="142"/>
    </row>
    <row r="21" spans="1:8" x14ac:dyDescent="0.25">
      <c r="A21" s="142"/>
      <c r="B21" s="41" t="s">
        <v>2</v>
      </c>
      <c r="C21" s="41" t="s">
        <v>36</v>
      </c>
      <c r="D21" s="41" t="s">
        <v>86</v>
      </c>
      <c r="E21" s="41" t="s">
        <v>87</v>
      </c>
      <c r="F21" s="41" t="s">
        <v>88</v>
      </c>
      <c r="G21" s="41" t="s">
        <v>4</v>
      </c>
      <c r="H21" s="41" t="s">
        <v>84</v>
      </c>
    </row>
    <row r="22" spans="1:8" x14ac:dyDescent="0.25">
      <c r="A22" s="90" t="s">
        <v>85</v>
      </c>
      <c r="B22" s="127">
        <v>0.17489827604766656</v>
      </c>
      <c r="C22" s="127">
        <v>0.17489827604766656</v>
      </c>
      <c r="D22" s="127">
        <v>0.17489827604766656</v>
      </c>
      <c r="E22" s="127">
        <v>5.4345140567386743</v>
      </c>
      <c r="F22" s="127">
        <v>0.21032135261668511</v>
      </c>
      <c r="G22" s="127">
        <v>1.0383730075038093</v>
      </c>
      <c r="H22" s="127">
        <v>0.24766340643796464</v>
      </c>
    </row>
  </sheetData>
  <sheetProtection password="B056" sheet="1" objects="1" scenarios="1"/>
  <mergeCells count="11">
    <mergeCell ref="F1:J1"/>
    <mergeCell ref="A10:A17"/>
    <mergeCell ref="B12:D17"/>
    <mergeCell ref="A19:A21"/>
    <mergeCell ref="B19:H19"/>
    <mergeCell ref="B20:H20"/>
    <mergeCell ref="A2:D2"/>
    <mergeCell ref="A3:D3"/>
    <mergeCell ref="A4:A5"/>
    <mergeCell ref="B4:D4"/>
    <mergeCell ref="B10:D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workbookViewId="0">
      <selection activeCell="I21" sqref="I21"/>
    </sheetView>
  </sheetViews>
  <sheetFormatPr defaultRowHeight="15" x14ac:dyDescent="0.25"/>
  <cols>
    <col min="1" max="1" width="27.28515625" bestFit="1" customWidth="1"/>
    <col min="2" max="2" width="15.7109375" customWidth="1"/>
    <col min="3" max="3" width="13.42578125" customWidth="1"/>
    <col min="4" max="4" width="16.28515625" customWidth="1"/>
    <col min="5" max="5" width="13.85546875" customWidth="1"/>
    <col min="6" max="6" width="13.28515625" customWidth="1"/>
    <col min="7" max="7" width="11.140625" customWidth="1"/>
    <col min="8" max="8" width="12" customWidth="1"/>
    <col min="9" max="9" width="10.85546875" customWidth="1"/>
  </cols>
  <sheetData>
    <row r="1" spans="1:14" ht="22.5" customHeight="1" x14ac:dyDescent="0.25">
      <c r="A1" s="189" t="s">
        <v>0</v>
      </c>
      <c r="B1" s="196" t="s">
        <v>215</v>
      </c>
      <c r="C1" s="196" t="s">
        <v>216</v>
      </c>
      <c r="D1" s="190" t="s">
        <v>99</v>
      </c>
      <c r="E1" s="193" t="s">
        <v>190</v>
      </c>
      <c r="F1" s="194"/>
      <c r="G1" s="195"/>
      <c r="H1" s="190" t="s">
        <v>189</v>
      </c>
      <c r="I1" s="191" t="s">
        <v>1</v>
      </c>
      <c r="J1" s="192"/>
      <c r="K1" s="192"/>
    </row>
    <row r="2" spans="1:14" x14ac:dyDescent="0.25">
      <c r="A2" s="189"/>
      <c r="B2" s="196"/>
      <c r="C2" s="196"/>
      <c r="D2" s="190"/>
      <c r="E2" s="54" t="s">
        <v>35</v>
      </c>
      <c r="F2" s="54" t="s">
        <v>3</v>
      </c>
      <c r="G2" s="54" t="s">
        <v>122</v>
      </c>
      <c r="H2" s="190"/>
      <c r="I2" s="54" t="s">
        <v>35</v>
      </c>
      <c r="J2" s="54" t="s">
        <v>3</v>
      </c>
      <c r="K2" s="54" t="s">
        <v>122</v>
      </c>
    </row>
    <row r="3" spans="1:14" x14ac:dyDescent="0.25">
      <c r="A3" s="4" t="s">
        <v>100</v>
      </c>
      <c r="B3" s="30">
        <v>-20.167380999999999</v>
      </c>
      <c r="C3" s="30">
        <v>-40.278889999999997</v>
      </c>
      <c r="D3" s="58">
        <f>Dados!B15</f>
        <v>1080</v>
      </c>
      <c r="E3" s="63">
        <f>'FE-Perfuração e Detonação'!C6</f>
        <v>0.59</v>
      </c>
      <c r="F3" s="63">
        <f>'FE-Perfuração e Detonação'!D6</f>
        <v>0.31</v>
      </c>
      <c r="G3" s="63">
        <f>0.03*E3</f>
        <v>1.7699999999999997E-2</v>
      </c>
      <c r="H3" s="30">
        <v>74</v>
      </c>
      <c r="I3" s="138">
        <f>(D3*E3/8760)*(1-H3/100)</f>
        <v>1.8912328767123288E-2</v>
      </c>
      <c r="J3" s="138">
        <f>(F3*D3/8760)*(1-H3/100)</f>
        <v>9.9369863013698632E-3</v>
      </c>
      <c r="K3" s="17">
        <f>(G3*D3/8760)*(1-H3/100)</f>
        <v>5.6736986301369856E-4</v>
      </c>
    </row>
    <row r="4" spans="1:14" x14ac:dyDescent="0.25">
      <c r="A4" s="151" t="s">
        <v>209</v>
      </c>
      <c r="B4" s="152"/>
      <c r="C4" s="152"/>
      <c r="D4" s="152"/>
      <c r="E4" s="152"/>
      <c r="F4" s="152"/>
      <c r="G4" s="152"/>
      <c r="H4" s="188"/>
      <c r="I4" s="29">
        <f>SUM(I3)</f>
        <v>1.8912328767123288E-2</v>
      </c>
      <c r="J4" s="29">
        <f>SUM(J3)</f>
        <v>9.9369863013698632E-3</v>
      </c>
      <c r="K4" s="14">
        <f>SUM(K3)</f>
        <v>5.6736986301369856E-4</v>
      </c>
    </row>
    <row r="5" spans="1:14" x14ac:dyDescent="0.25">
      <c r="A5" s="65"/>
    </row>
    <row r="7" spans="1:14" x14ac:dyDescent="0.25">
      <c r="A7" s="189" t="s">
        <v>0</v>
      </c>
      <c r="B7" s="196" t="s">
        <v>215</v>
      </c>
      <c r="C7" s="196" t="s">
        <v>216</v>
      </c>
      <c r="D7" s="190" t="s">
        <v>191</v>
      </c>
      <c r="E7" s="197" t="s">
        <v>97</v>
      </c>
      <c r="F7" s="189" t="s">
        <v>192</v>
      </c>
      <c r="G7" s="189"/>
      <c r="H7" s="186" t="s">
        <v>1</v>
      </c>
      <c r="I7" s="187"/>
      <c r="J7" s="187"/>
      <c r="K7" s="187"/>
      <c r="L7" s="187"/>
      <c r="M7" s="187"/>
      <c r="N7" s="187"/>
    </row>
    <row r="8" spans="1:14" ht="24.75" customHeight="1" x14ac:dyDescent="0.25">
      <c r="A8" s="189"/>
      <c r="B8" s="196"/>
      <c r="C8" s="196"/>
      <c r="D8" s="190"/>
      <c r="E8" s="198"/>
      <c r="F8" s="113" t="s">
        <v>180</v>
      </c>
      <c r="G8" s="113" t="s">
        <v>181</v>
      </c>
      <c r="H8" s="113" t="s">
        <v>35</v>
      </c>
      <c r="I8" s="113" t="s">
        <v>60</v>
      </c>
      <c r="J8" s="113" t="s">
        <v>61</v>
      </c>
      <c r="K8" s="113" t="s">
        <v>182</v>
      </c>
      <c r="L8" s="113" t="s">
        <v>183</v>
      </c>
      <c r="M8" s="113" t="s">
        <v>4</v>
      </c>
      <c r="N8" s="113" t="s">
        <v>214</v>
      </c>
    </row>
    <row r="9" spans="1:14" x14ac:dyDescent="0.25">
      <c r="A9" s="55" t="s">
        <v>98</v>
      </c>
      <c r="B9" s="30">
        <v>-20.167380999999999</v>
      </c>
      <c r="C9" s="30">
        <v>-40.278889999999997</v>
      </c>
      <c r="D9" s="56">
        <f>Dados!B17/Dados!B19</f>
        <v>150.69767441860466</v>
      </c>
      <c r="E9" s="56">
        <f>Dados!B19</f>
        <v>43</v>
      </c>
      <c r="F9" s="114">
        <f>Dados!B18*0.5</f>
        <v>14.6625</v>
      </c>
      <c r="G9" s="114">
        <f>Dados!B18*0.5</f>
        <v>14.6625</v>
      </c>
      <c r="H9" s="136">
        <f>0.00022*(D9^1.5)*$E$9/8760</f>
        <v>1.9977762952378916E-3</v>
      </c>
      <c r="I9" s="13">
        <f>0.52*0.00022*(D9^1.5)*$E$9/8760</f>
        <v>1.0388436735237036E-3</v>
      </c>
      <c r="J9" s="13">
        <f>0.03*0.00022*(D9^1.5)*$E$9/8760</f>
        <v>5.9933288857136754E-5</v>
      </c>
      <c r="K9" s="13">
        <f>F9*'FE-Perfuração e Detonação'!$C$20/8760</f>
        <v>1.3390410958904109E-2</v>
      </c>
      <c r="L9" s="137">
        <f>F9*'FE-Perfuração e Detonação'!$D$20/8760</f>
        <v>1.6738013698630136E-3</v>
      </c>
      <c r="M9" s="137">
        <f>((F9*'FE-Perfuração e Detonação'!$B$20)+(G9*'FE-Perfuração e Detonação'!$B$21))/8760</f>
        <v>0.72308219178082189</v>
      </c>
      <c r="N9" s="137">
        <f>G9*'FE-Perfuração e Detonação'!E21/8760</f>
        <v>0.10210188356164383</v>
      </c>
    </row>
    <row r="10" spans="1:14" x14ac:dyDescent="0.25">
      <c r="A10" s="152" t="s">
        <v>210</v>
      </c>
      <c r="B10" s="152"/>
      <c r="C10" s="152"/>
      <c r="D10" s="152"/>
      <c r="E10" s="152"/>
      <c r="F10" s="152"/>
      <c r="G10" s="152"/>
      <c r="H10" s="14">
        <f>SUM(H9)</f>
        <v>1.9977762952378916E-3</v>
      </c>
      <c r="I10" s="14">
        <f>SUM(I9)</f>
        <v>1.0388436735237036E-3</v>
      </c>
      <c r="J10" s="14">
        <f t="shared" ref="J10:N10" si="0">SUM(J9)</f>
        <v>5.9933288857136754E-5</v>
      </c>
      <c r="K10" s="14">
        <f t="shared" si="0"/>
        <v>1.3390410958904109E-2</v>
      </c>
      <c r="L10" s="14">
        <f t="shared" si="0"/>
        <v>1.6738013698630136E-3</v>
      </c>
      <c r="M10" s="14">
        <f t="shared" si="0"/>
        <v>0.72308219178082189</v>
      </c>
      <c r="N10" s="14">
        <f t="shared" si="0"/>
        <v>0.10210188356164383</v>
      </c>
    </row>
    <row r="11" spans="1:14" x14ac:dyDescent="0.25">
      <c r="A11" s="2" t="s">
        <v>179</v>
      </c>
      <c r="J11" s="89"/>
    </row>
  </sheetData>
  <sheetProtection password="B056" sheet="1" objects="1" scenarios="1"/>
  <mergeCells count="16">
    <mergeCell ref="A10:G10"/>
    <mergeCell ref="H7:N7"/>
    <mergeCell ref="A4:H4"/>
    <mergeCell ref="A1:A2"/>
    <mergeCell ref="D1:D2"/>
    <mergeCell ref="I1:K1"/>
    <mergeCell ref="E1:G1"/>
    <mergeCell ref="A7:A8"/>
    <mergeCell ref="D7:D8"/>
    <mergeCell ref="B1:B2"/>
    <mergeCell ref="C1:C2"/>
    <mergeCell ref="H1:H2"/>
    <mergeCell ref="B7:B8"/>
    <mergeCell ref="C7:C8"/>
    <mergeCell ref="E7:E8"/>
    <mergeCell ref="F7:G7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workbookViewId="0">
      <selection activeCell="D25" sqref="D25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3.7109375" style="1" bestFit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5" ht="15" customHeight="1" x14ac:dyDescent="0.2">
      <c r="A1" s="200" t="s">
        <v>0</v>
      </c>
      <c r="B1" s="200" t="s">
        <v>16</v>
      </c>
      <c r="C1" s="200" t="s">
        <v>17</v>
      </c>
      <c r="D1" s="196" t="s">
        <v>215</v>
      </c>
      <c r="E1" s="196" t="s">
        <v>216</v>
      </c>
      <c r="F1" s="200" t="s">
        <v>18</v>
      </c>
      <c r="G1" s="200" t="s">
        <v>19</v>
      </c>
      <c r="H1" s="202" t="s">
        <v>1</v>
      </c>
      <c r="I1" s="203"/>
      <c r="J1" s="203"/>
      <c r="K1" s="203"/>
      <c r="L1" s="203"/>
      <c r="M1" s="203"/>
      <c r="N1" s="203"/>
    </row>
    <row r="2" spans="1:15" ht="15" customHeight="1" x14ac:dyDescent="0.2">
      <c r="A2" s="201"/>
      <c r="B2" s="201"/>
      <c r="C2" s="201"/>
      <c r="D2" s="196"/>
      <c r="E2" s="196"/>
      <c r="F2" s="201"/>
      <c r="G2" s="201"/>
      <c r="H2" s="5" t="s">
        <v>2</v>
      </c>
      <c r="I2" s="5" t="s">
        <v>3</v>
      </c>
      <c r="J2" s="5" t="s">
        <v>20</v>
      </c>
      <c r="K2" s="5" t="s">
        <v>5</v>
      </c>
      <c r="L2" s="5" t="s">
        <v>6</v>
      </c>
      <c r="M2" s="5" t="s">
        <v>4</v>
      </c>
      <c r="N2" s="5" t="s">
        <v>214</v>
      </c>
    </row>
    <row r="3" spans="1:15" ht="15" customHeight="1" x14ac:dyDescent="0.2">
      <c r="A3" s="3" t="s">
        <v>42</v>
      </c>
      <c r="B3" s="9">
        <v>147.5</v>
      </c>
      <c r="C3" s="3" t="s">
        <v>93</v>
      </c>
      <c r="D3" s="30">
        <v>-20.167380999999999</v>
      </c>
      <c r="E3" s="30">
        <v>-40.278889999999997</v>
      </c>
      <c r="F3" s="6">
        <v>2</v>
      </c>
      <c r="G3" s="9">
        <f>2000/365</f>
        <v>5.4794520547945202</v>
      </c>
      <c r="H3" s="28">
        <f t="shared" ref="H3:H5" si="0">(INDEX(FE_Equip,MATCH($C3,Pot_Equip,0),2))*F3*G3/(24)</f>
        <v>1.6448929079729967E-2</v>
      </c>
      <c r="I3" s="28">
        <f>H3</f>
        <v>1.6448929079729967E-2</v>
      </c>
      <c r="J3" s="28">
        <f>H3</f>
        <v>1.6448929079729967E-2</v>
      </c>
      <c r="K3" s="28">
        <f t="shared" ref="K3:K5" si="1">(INDEX(FE_Equip,MATCH($C3,Pot_Equip,0),3))*F3*G3/(24)</f>
        <v>0.28783020759503358</v>
      </c>
      <c r="L3" s="28">
        <f t="shared" ref="L3:L5" si="2">(INDEX(FE_Equip,MATCH($C3,Pot_Equip,0),4))*F3*G3/(24)</f>
        <v>2.6152693150259E-4</v>
      </c>
      <c r="M3" s="28">
        <f t="shared" ref="M3:M5" si="3">(INDEX(FE_Equip,MATCH($C3,Pot_Equip,0),5))*F3*G3/(24)</f>
        <v>0.13996645201216737</v>
      </c>
      <c r="N3" s="28">
        <f t="shared" ref="N3:N5" si="4">(INDEX(FE_Equip,MATCH($C3,Pot_Equip,0),6))*F3*G3/(24)</f>
        <v>3.7122172249681749E-2</v>
      </c>
    </row>
    <row r="4" spans="1:15" ht="15" customHeight="1" x14ac:dyDescent="0.2">
      <c r="A4" s="3" t="s">
        <v>25</v>
      </c>
      <c r="B4" s="9">
        <v>227.97</v>
      </c>
      <c r="C4" s="3" t="s">
        <v>31</v>
      </c>
      <c r="D4" s="30">
        <v>-20.167380999999999</v>
      </c>
      <c r="E4" s="30">
        <v>-40.278889999999997</v>
      </c>
      <c r="F4" s="6">
        <v>4</v>
      </c>
      <c r="G4" s="9">
        <f>2000/365</f>
        <v>5.4794520547945202</v>
      </c>
      <c r="H4" s="28">
        <f t="shared" si="0"/>
        <v>2.8320393782911717E-2</v>
      </c>
      <c r="I4" s="28">
        <f>H4</f>
        <v>2.8320393782911717E-2</v>
      </c>
      <c r="J4" s="28">
        <f>H4</f>
        <v>2.8320393782911717E-2</v>
      </c>
      <c r="K4" s="28">
        <f t="shared" si="1"/>
        <v>0.76436660777796595</v>
      </c>
      <c r="L4" s="28">
        <f t="shared" si="2"/>
        <v>6.9436566552785446E-4</v>
      </c>
      <c r="M4" s="28">
        <f t="shared" si="3"/>
        <v>0.20544156908423813</v>
      </c>
      <c r="N4" s="28">
        <f t="shared" si="4"/>
        <v>7.3772954220612447E-2</v>
      </c>
    </row>
    <row r="5" spans="1:15" ht="15" customHeight="1" x14ac:dyDescent="0.2">
      <c r="A5" s="3" t="s">
        <v>25</v>
      </c>
      <c r="B5" s="9">
        <v>227.97</v>
      </c>
      <c r="C5" s="3" t="s">
        <v>31</v>
      </c>
      <c r="D5" s="30">
        <v>-20.167380999999999</v>
      </c>
      <c r="E5" s="30">
        <v>-40.278889999999997</v>
      </c>
      <c r="F5" s="6">
        <v>2</v>
      </c>
      <c r="G5" s="9">
        <f>1000/365</f>
        <v>2.7397260273972601</v>
      </c>
      <c r="H5" s="28">
        <f t="shared" si="0"/>
        <v>7.0800984457279293E-3</v>
      </c>
      <c r="I5" s="28">
        <f>H5</f>
        <v>7.0800984457279293E-3</v>
      </c>
      <c r="J5" s="28">
        <f>H5</f>
        <v>7.0800984457279293E-3</v>
      </c>
      <c r="K5" s="28">
        <f t="shared" si="1"/>
        <v>0.19109165194449149</v>
      </c>
      <c r="L5" s="28">
        <f t="shared" si="2"/>
        <v>1.7359141638196362E-4</v>
      </c>
      <c r="M5" s="28">
        <f t="shared" si="3"/>
        <v>5.1360392271059534E-2</v>
      </c>
      <c r="N5" s="28">
        <f t="shared" si="4"/>
        <v>1.8443238555153112E-2</v>
      </c>
    </row>
    <row r="6" spans="1:15" ht="15" customHeight="1" x14ac:dyDescent="0.2">
      <c r="A6" s="199" t="s">
        <v>211</v>
      </c>
      <c r="B6" s="199"/>
      <c r="C6" s="199"/>
      <c r="D6" s="199"/>
      <c r="E6" s="199"/>
      <c r="F6" s="199"/>
      <c r="G6" s="199"/>
      <c r="H6" s="14">
        <f t="shared" ref="H6:N6" si="5">SUM(H3:H5)</f>
        <v>5.1849421308369607E-2</v>
      </c>
      <c r="I6" s="14">
        <f t="shared" si="5"/>
        <v>5.1849421308369607E-2</v>
      </c>
      <c r="J6" s="14">
        <f t="shared" si="5"/>
        <v>5.1849421308369607E-2</v>
      </c>
      <c r="K6" s="14">
        <f t="shared" si="5"/>
        <v>1.2432884673174909</v>
      </c>
      <c r="L6" s="14">
        <f t="shared" si="5"/>
        <v>1.1294840134124082E-3</v>
      </c>
      <c r="M6" s="14">
        <f t="shared" si="5"/>
        <v>0.39676841336746504</v>
      </c>
      <c r="N6" s="14">
        <f t="shared" si="5"/>
        <v>0.12933836502544732</v>
      </c>
      <c r="O6" s="17"/>
    </row>
  </sheetData>
  <sheetProtection password="B056" sheet="1" objects="1" scenarios="1"/>
  <mergeCells count="9">
    <mergeCell ref="A6:G6"/>
    <mergeCell ref="G1:G2"/>
    <mergeCell ref="H1:N1"/>
    <mergeCell ref="A1:A2"/>
    <mergeCell ref="B1:B2"/>
    <mergeCell ref="C1:C2"/>
    <mergeCell ref="F1:F2"/>
    <mergeCell ref="D1:D2"/>
    <mergeCell ref="E1:E2"/>
  </mergeCells>
  <dataValidations disablePrompts="1" count="1">
    <dataValidation type="list" allowBlank="1" showInputMessage="1" showErrorMessage="1" sqref="C3:C5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workbookViewId="0">
      <selection activeCell="E25" sqref="E25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6" width="10.140625" customWidth="1"/>
    <col min="7" max="7" width="12.140625" customWidth="1"/>
    <col min="8" max="13" width="11" customWidth="1"/>
  </cols>
  <sheetData>
    <row r="1" spans="1:14" ht="15" customHeight="1" x14ac:dyDescent="0.25">
      <c r="A1" s="189" t="s">
        <v>0</v>
      </c>
      <c r="B1" s="196" t="s">
        <v>215</v>
      </c>
      <c r="C1" s="196" t="s">
        <v>216</v>
      </c>
      <c r="D1" s="190" t="s">
        <v>194</v>
      </c>
      <c r="E1" s="205" t="s">
        <v>193</v>
      </c>
      <c r="F1" s="190" t="s">
        <v>116</v>
      </c>
      <c r="G1" s="190"/>
      <c r="H1" s="191" t="s">
        <v>195</v>
      </c>
      <c r="I1" s="192"/>
      <c r="J1" s="207"/>
      <c r="K1" s="191" t="s">
        <v>1</v>
      </c>
      <c r="L1" s="192"/>
      <c r="M1" s="207"/>
    </row>
    <row r="2" spans="1:14" x14ac:dyDescent="0.25">
      <c r="A2" s="189"/>
      <c r="B2" s="196"/>
      <c r="C2" s="196"/>
      <c r="D2" s="190"/>
      <c r="E2" s="206"/>
      <c r="F2" s="118" t="s">
        <v>24</v>
      </c>
      <c r="G2" s="118" t="s">
        <v>199</v>
      </c>
      <c r="H2" s="34" t="s">
        <v>35</v>
      </c>
      <c r="I2" s="34" t="s">
        <v>60</v>
      </c>
      <c r="J2" s="34" t="s">
        <v>61</v>
      </c>
      <c r="K2" s="34" t="s">
        <v>35</v>
      </c>
      <c r="L2" s="34" t="s">
        <v>60</v>
      </c>
      <c r="M2" s="34" t="s">
        <v>61</v>
      </c>
    </row>
    <row r="3" spans="1:14" x14ac:dyDescent="0.25">
      <c r="A3" s="18" t="s">
        <v>124</v>
      </c>
      <c r="B3" s="30">
        <v>-20.167380999999999</v>
      </c>
      <c r="C3" s="30">
        <v>-40.278889999999997</v>
      </c>
      <c r="D3" s="63">
        <f>Dados!B13/8760</f>
        <v>16.662600456621004</v>
      </c>
      <c r="E3" s="58">
        <v>1</v>
      </c>
      <c r="F3" s="58" t="s">
        <v>149</v>
      </c>
      <c r="G3" s="81" t="s">
        <v>149</v>
      </c>
      <c r="H3" s="128">
        <f>'FE-Transferências'!$B$3*0.0016*(($B$17/2.2)^1.3)/(($E3/2)^1.4)</f>
        <v>7.2282377015546288E-3</v>
      </c>
      <c r="I3" s="128">
        <f>'FE-Transferências'!$C$3*0.0016*(($B$17/2.2)^1.3)/(($E3/2)^1.4)</f>
        <v>3.418761075059621E-3</v>
      </c>
      <c r="J3" s="128">
        <f>'FE-Transferências'!$D$3*0.0016*(($B$17/2.2)^1.3)/(($E3/2)^1.4)</f>
        <v>5.176981056518856E-4</v>
      </c>
      <c r="K3" s="129">
        <f>H3*$D3</f>
        <v>0.12044123682648931</v>
      </c>
      <c r="L3" s="129">
        <f>I3*$D3</f>
        <v>5.6965449850366556E-2</v>
      </c>
      <c r="M3" s="129">
        <f>J3*$D3</f>
        <v>8.6261966916269372E-3</v>
      </c>
    </row>
    <row r="4" spans="1:14" x14ac:dyDescent="0.25">
      <c r="A4" s="71" t="s">
        <v>136</v>
      </c>
      <c r="B4" s="95">
        <v>-20.167777999999998</v>
      </c>
      <c r="C4" s="95">
        <v>-40.278171</v>
      </c>
      <c r="D4" s="76">
        <f>D3</f>
        <v>16.662600456621004</v>
      </c>
      <c r="E4" s="58">
        <v>1</v>
      </c>
      <c r="F4" s="81" t="s">
        <v>200</v>
      </c>
      <c r="G4" s="81">
        <v>50</v>
      </c>
      <c r="H4" s="130">
        <f>'FE-Transferências'!$B$3*0.0016*(($B$17/2.2)^1.3)/(($E4/2)^1.4)</f>
        <v>7.2282377015546288E-3</v>
      </c>
      <c r="I4" s="128">
        <f>'FE-Transferências'!$C$3*0.0016*(($B$17/2.2)^1.3)/(($E4/2)^1.4)</f>
        <v>3.418761075059621E-3</v>
      </c>
      <c r="J4" s="128">
        <f>'FE-Transferências'!$D$3*0.0016*(($B$17/2.2)^1.3)/(($E4/2)^1.4)</f>
        <v>5.176981056518856E-4</v>
      </c>
      <c r="K4" s="129">
        <f>H4*$D4*(1-G4/100)</f>
        <v>6.0220618413244657E-2</v>
      </c>
      <c r="L4" s="129">
        <f>I4*$D4*(1-G4/100)</f>
        <v>2.8482724925183278E-2</v>
      </c>
      <c r="M4" s="129">
        <f>J4*$D4*(1-G4/100)</f>
        <v>4.3130983458134686E-3</v>
      </c>
    </row>
    <row r="5" spans="1:14" x14ac:dyDescent="0.25">
      <c r="A5" s="71" t="s">
        <v>170</v>
      </c>
      <c r="B5" s="30">
        <v>-20.168074000000001</v>
      </c>
      <c r="C5" s="30">
        <v>-40.278283999999999</v>
      </c>
      <c r="D5" s="76">
        <f>Dados!B13/8760</f>
        <v>16.662600456621004</v>
      </c>
      <c r="E5" s="81">
        <v>1</v>
      </c>
      <c r="F5" s="81" t="s">
        <v>149</v>
      </c>
      <c r="G5" s="81" t="s">
        <v>149</v>
      </c>
      <c r="H5" s="130">
        <f>'FE-Transferências'!$B$3*0.0016*(($B$17/2.2)^1.3)/(($E5/2)^1.4)</f>
        <v>7.2282377015546288E-3</v>
      </c>
      <c r="I5" s="128">
        <f>'FE-Transferências'!$C$3*0.0016*(($B$17/2.2)^1.3)/(($E5/2)^1.4)</f>
        <v>3.418761075059621E-3</v>
      </c>
      <c r="J5" s="128">
        <f>'FE-Transferências'!$D$3*0.0016*(($B$17/2.2)^1.3)/(($E5/2)^1.4)</f>
        <v>5.176981056518856E-4</v>
      </c>
      <c r="K5" s="129">
        <f t="shared" ref="K5:K12" si="0">H5*$D5</f>
        <v>0.12044123682648931</v>
      </c>
      <c r="L5" s="129">
        <f t="shared" ref="L5:L12" si="1">I5*$D5</f>
        <v>5.6965449850366556E-2</v>
      </c>
      <c r="M5" s="129">
        <f t="shared" ref="M5:M12" si="2">J5*$D5</f>
        <v>8.6261966916269372E-3</v>
      </c>
    </row>
    <row r="6" spans="1:14" x14ac:dyDescent="0.25">
      <c r="A6" s="71" t="s">
        <v>171</v>
      </c>
      <c r="B6" s="95">
        <v>-20.168399000000001</v>
      </c>
      <c r="C6" s="95">
        <v>-40.278441000000001</v>
      </c>
      <c r="D6" s="76">
        <f>Dados!B13/8760</f>
        <v>16.662600456621004</v>
      </c>
      <c r="E6" s="81">
        <v>1</v>
      </c>
      <c r="F6" s="81" t="s">
        <v>200</v>
      </c>
      <c r="G6" s="81">
        <v>50</v>
      </c>
      <c r="H6" s="130">
        <f>'FE-Transferências'!$B$3*0.0016*(($B$17/2.2)^1.3)/(($E6/2)^1.4)</f>
        <v>7.2282377015546288E-3</v>
      </c>
      <c r="I6" s="128">
        <f>'FE-Transferências'!$C$3*0.0016*(($B$17/2.2)^1.3)/(($E6/2)^1.4)</f>
        <v>3.418761075059621E-3</v>
      </c>
      <c r="J6" s="128">
        <f>'FE-Transferências'!$D$3*0.0016*(($B$17/2.2)^1.3)/(($E6/2)^1.4)</f>
        <v>5.176981056518856E-4</v>
      </c>
      <c r="K6" s="129">
        <f>H6*$D6*(1-G6/100)</f>
        <v>6.0220618413244657E-2</v>
      </c>
      <c r="L6" s="129">
        <f>I6*$D6*(1-G6/100)</f>
        <v>2.8482724925183278E-2</v>
      </c>
      <c r="M6" s="129">
        <f>J6*$D6*(1-G6/100)</f>
        <v>4.3130983458134686E-3</v>
      </c>
      <c r="N6" s="32"/>
    </row>
    <row r="7" spans="1:14" x14ac:dyDescent="0.25">
      <c r="A7" s="71" t="s">
        <v>178</v>
      </c>
      <c r="B7" s="30">
        <v>-20.168579000000001</v>
      </c>
      <c r="C7" s="30">
        <v>-40.27843</v>
      </c>
      <c r="D7" s="76">
        <f>Dados!B11/8760</f>
        <v>9.5122146118721454E-2</v>
      </c>
      <c r="E7" s="81">
        <v>1</v>
      </c>
      <c r="F7" s="81" t="s">
        <v>149</v>
      </c>
      <c r="G7" s="81" t="s">
        <v>149</v>
      </c>
      <c r="H7" s="130">
        <f>'FE-Transferências'!$B$3*0.0016*(($B$17/2.2)^1.3)/(($E7/2)^1.4)</f>
        <v>7.2282377015546288E-3</v>
      </c>
      <c r="I7" s="128">
        <f>'FE-Transferências'!$C$3*0.0016*(($B$17/2.2)^1.3)/(($E7/2)^1.4)</f>
        <v>3.418761075059621E-3</v>
      </c>
      <c r="J7" s="128">
        <f>'FE-Transferências'!$D$3*0.0016*(($B$17/2.2)^1.3)/(($E7/2)^1.4)</f>
        <v>5.176981056518856E-4</v>
      </c>
      <c r="K7" s="129">
        <f t="shared" ref="K7" si="3">H7*$D7</f>
        <v>6.8756548282813067E-4</v>
      </c>
      <c r="L7" s="129">
        <f t="shared" ref="L7" si="4">I7*$D7</f>
        <v>3.2519989052681849E-4</v>
      </c>
      <c r="M7" s="129">
        <f t="shared" ref="M7" si="5">J7*$D7</f>
        <v>4.9244554851203961E-5</v>
      </c>
      <c r="N7" s="32"/>
    </row>
    <row r="8" spans="1:14" x14ac:dyDescent="0.25">
      <c r="A8" s="71" t="s">
        <v>172</v>
      </c>
      <c r="B8" s="45">
        <v>-20.168316999999998</v>
      </c>
      <c r="C8" s="45">
        <v>-40.278202</v>
      </c>
      <c r="D8" s="76">
        <f>Dados!B13/8760</f>
        <v>16.662600456621004</v>
      </c>
      <c r="E8" s="81">
        <v>1</v>
      </c>
      <c r="F8" s="81" t="s">
        <v>149</v>
      </c>
      <c r="G8" s="81" t="s">
        <v>149</v>
      </c>
      <c r="H8" s="130">
        <f>'FE-Transferências'!$B$3*0.0016*(($B$17/2.2)^1.3)/(($E8/2)^1.4)</f>
        <v>7.2282377015546288E-3</v>
      </c>
      <c r="I8" s="128">
        <f>'FE-Transferências'!$C$3*0.0016*(($B$17/2.2)^1.3)/(($E8/2)^1.4)</f>
        <v>3.418761075059621E-3</v>
      </c>
      <c r="J8" s="128">
        <f>'FE-Transferências'!$D$3*0.0016*(($B$17/2.2)^1.3)/(($E8/2)^1.4)</f>
        <v>5.176981056518856E-4</v>
      </c>
      <c r="K8" s="129">
        <f t="shared" ref="K8" si="6">H8*$D8</f>
        <v>0.12044123682648931</v>
      </c>
      <c r="L8" s="129">
        <f t="shared" ref="L8" si="7">I8*$D8</f>
        <v>5.6965449850366556E-2</v>
      </c>
      <c r="M8" s="129">
        <f t="shared" ref="M8" si="8">J8*$D8</f>
        <v>8.6261966916269372E-3</v>
      </c>
      <c r="N8" s="32"/>
    </row>
    <row r="9" spans="1:14" x14ac:dyDescent="0.25">
      <c r="A9" s="71" t="s">
        <v>173</v>
      </c>
      <c r="B9" s="96">
        <v>-20.168192000000001</v>
      </c>
      <c r="C9" s="96">
        <v>-40.277920999999999</v>
      </c>
      <c r="D9" s="76">
        <f>SUM(Dados!B9,Dados!B12,Dados!B10)/8760</f>
        <v>16.567478310502281</v>
      </c>
      <c r="E9" s="81">
        <v>1</v>
      </c>
      <c r="F9" s="81" t="s">
        <v>149</v>
      </c>
      <c r="G9" s="81" t="s">
        <v>149</v>
      </c>
      <c r="H9" s="130">
        <f>'FE-Transferências'!$B$3*0.0016*(($B$17/2.2)^1.3)/(($E9/2)^1.4)</f>
        <v>7.2282377015546288E-3</v>
      </c>
      <c r="I9" s="128">
        <f>'FE-Transferências'!$C$3*0.0016*(($B$17/2.2)^1.3)/(($E9/2)^1.4)</f>
        <v>3.418761075059621E-3</v>
      </c>
      <c r="J9" s="128">
        <f>'FE-Transferências'!$D$3*0.0016*(($B$17/2.2)^1.3)/(($E9/2)^1.4)</f>
        <v>5.176981056518856E-4</v>
      </c>
      <c r="K9" s="129">
        <f t="shared" si="0"/>
        <v>0.11975367134366117</v>
      </c>
      <c r="L9" s="129">
        <f t="shared" si="1"/>
        <v>5.6640249959839732E-2</v>
      </c>
      <c r="M9" s="129">
        <f t="shared" si="2"/>
        <v>8.5769521367757336E-3</v>
      </c>
      <c r="N9" s="32"/>
    </row>
    <row r="10" spans="1:14" x14ac:dyDescent="0.25">
      <c r="A10" s="71" t="s">
        <v>174</v>
      </c>
      <c r="B10" s="104">
        <v>-20.16825</v>
      </c>
      <c r="C10" s="96">
        <v>-40.277667000000001</v>
      </c>
      <c r="D10" s="76">
        <f>Dados!B9/8760</f>
        <v>4.4311073059360728</v>
      </c>
      <c r="E10" s="81">
        <v>1</v>
      </c>
      <c r="F10" s="81" t="s">
        <v>149</v>
      </c>
      <c r="G10" s="81" t="s">
        <v>149</v>
      </c>
      <c r="H10" s="130">
        <f>'FE-Transferências'!$B$3*0.0016*(($B$17/2.2)^1.3)/(($E10/2)^1.4)</f>
        <v>7.2282377015546288E-3</v>
      </c>
      <c r="I10" s="128">
        <f>'FE-Transferências'!$C$3*0.0016*(($B$17/2.2)^1.3)/(($E10/2)^1.4)</f>
        <v>3.418761075059621E-3</v>
      </c>
      <c r="J10" s="128">
        <f>'FE-Transferências'!$D$3*0.0016*(($B$17/2.2)^1.3)/(($E10/2)^1.4)</f>
        <v>5.176981056518856E-4</v>
      </c>
      <c r="K10" s="129">
        <f t="shared" si="0"/>
        <v>3.2029096888401283E-2</v>
      </c>
      <c r="L10" s="129">
        <f t="shared" si="1"/>
        <v>1.5148897176946549E-2</v>
      </c>
      <c r="M10" s="129">
        <f t="shared" si="2"/>
        <v>2.293975858223335E-3</v>
      </c>
      <c r="N10" s="32"/>
    </row>
    <row r="11" spans="1:14" x14ac:dyDescent="0.25">
      <c r="A11" s="71" t="s">
        <v>176</v>
      </c>
      <c r="B11" s="30">
        <v>-20.167952</v>
      </c>
      <c r="C11" s="30">
        <v>-40.277870999999998</v>
      </c>
      <c r="D11" s="76">
        <f>Dados!B10/8760</f>
        <v>6.1285445205479459</v>
      </c>
      <c r="E11" s="81">
        <v>1</v>
      </c>
      <c r="F11" s="81" t="s">
        <v>149</v>
      </c>
      <c r="G11" s="81" t="s">
        <v>149</v>
      </c>
      <c r="H11" s="130">
        <f>'FE-Transferências'!$B$3*0.0016*(($B$17/2.2)^1.3)/(($E11/2)^1.4)</f>
        <v>7.2282377015546288E-3</v>
      </c>
      <c r="I11" s="128">
        <f>'FE-Transferências'!$C$3*0.0016*(($B$17/2.2)^1.3)/(($E11/2)^1.4)</f>
        <v>3.418761075059621E-3</v>
      </c>
      <c r="J11" s="128">
        <f>'FE-Transferências'!$D$3*0.0016*(($B$17/2.2)^1.3)/(($E11/2)^1.4)</f>
        <v>5.176981056518856E-4</v>
      </c>
      <c r="K11" s="129">
        <f t="shared" si="0"/>
        <v>4.4298576559080698E-2</v>
      </c>
      <c r="L11" s="129">
        <f t="shared" si="1"/>
        <v>2.0952029453619247E-2</v>
      </c>
      <c r="M11" s="129">
        <f t="shared" si="2"/>
        <v>3.172735888690915E-3</v>
      </c>
      <c r="N11" s="32"/>
    </row>
    <row r="12" spans="1:14" x14ac:dyDescent="0.25">
      <c r="A12" s="71" t="s">
        <v>137</v>
      </c>
      <c r="B12" s="30">
        <v>-20.168358999999999</v>
      </c>
      <c r="C12" s="30">
        <v>-40.277762000000003</v>
      </c>
      <c r="D12" s="76">
        <f>Dados!B12/8760</f>
        <v>6.0078264840182642</v>
      </c>
      <c r="E12" s="81">
        <v>1</v>
      </c>
      <c r="F12" s="81" t="s">
        <v>149</v>
      </c>
      <c r="G12" s="81" t="s">
        <v>149</v>
      </c>
      <c r="H12" s="130">
        <f>'FE-Transferências'!$B$3*0.0016*(($B$17/2.2)^1.3)/(($E12/2)^1.4)</f>
        <v>7.2282377015546288E-3</v>
      </c>
      <c r="I12" s="128">
        <f>'FE-Transferências'!$C$3*0.0016*(($B$17/2.2)^1.3)/(($E12/2)^1.4)</f>
        <v>3.418761075059621E-3</v>
      </c>
      <c r="J12" s="128">
        <f>'FE-Transferências'!$D$3*0.0016*(($B$17/2.2)^1.3)/(($E12/2)^1.4)</f>
        <v>5.176981056518856E-4</v>
      </c>
      <c r="K12" s="129">
        <f t="shared" si="0"/>
        <v>4.3425997896179208E-2</v>
      </c>
      <c r="L12" s="129">
        <f t="shared" si="1"/>
        <v>2.0539323329273943E-2</v>
      </c>
      <c r="M12" s="129">
        <f t="shared" si="2"/>
        <v>3.1102403898614836E-3</v>
      </c>
    </row>
    <row r="13" spans="1:14" x14ac:dyDescent="0.25">
      <c r="A13" s="12" t="s">
        <v>177</v>
      </c>
      <c r="B13" s="30">
        <v>-20.168265999999999</v>
      </c>
      <c r="C13" s="30">
        <v>-40.277532999999998</v>
      </c>
      <c r="D13" s="76">
        <f>Dados!B9/8760</f>
        <v>4.4311073059360728</v>
      </c>
      <c r="E13" s="81">
        <v>1</v>
      </c>
      <c r="F13" s="81" t="s">
        <v>149</v>
      </c>
      <c r="G13" s="81" t="s">
        <v>149</v>
      </c>
      <c r="H13" s="130">
        <f>'FE-Transferências'!$B$3*0.0016*(($B$17/2.2)^1.3)/(($E13/2)^1.4)</f>
        <v>7.2282377015546288E-3</v>
      </c>
      <c r="I13" s="128">
        <f>'FE-Transferências'!$C$3*0.0016*(($B$17/2.2)^1.3)/(($E13/2)^1.4)</f>
        <v>3.418761075059621E-3</v>
      </c>
      <c r="J13" s="128">
        <f>'FE-Transferências'!$D$3*0.0016*(($B$17/2.2)^1.3)/(($E13/2)^1.4)</f>
        <v>5.176981056518856E-4</v>
      </c>
      <c r="K13" s="129">
        <f t="shared" ref="K13" si="9">H13*$D13</f>
        <v>3.2029096888401283E-2</v>
      </c>
      <c r="L13" s="129">
        <f t="shared" ref="L13" si="10">I13*$D13</f>
        <v>1.5148897176946549E-2</v>
      </c>
      <c r="M13" s="129">
        <f t="shared" ref="M13" si="11">J13*$D13</f>
        <v>2.293975858223335E-3</v>
      </c>
    </row>
    <row r="14" spans="1:14" x14ac:dyDescent="0.25">
      <c r="A14" s="12" t="s">
        <v>138</v>
      </c>
      <c r="B14" s="77">
        <v>-20.168188000000001</v>
      </c>
      <c r="C14" s="30">
        <v>-40.277818000000003</v>
      </c>
      <c r="D14" s="76">
        <f>Dados!B13/8760</f>
        <v>16.662600456621004</v>
      </c>
      <c r="E14" s="81">
        <v>1</v>
      </c>
      <c r="F14" s="81" t="s">
        <v>149</v>
      </c>
      <c r="G14" s="81" t="s">
        <v>149</v>
      </c>
      <c r="H14" s="130">
        <f>'FE-Transferências'!$B$3*0.0016*(($B$17/2.2)^1.3)/(($E14/2)^1.4)</f>
        <v>7.2282377015546288E-3</v>
      </c>
      <c r="I14" s="128">
        <f>'FE-Transferências'!$C$3*0.0016*(($B$17/2.2)^1.3)/(($E14/2)^1.4)</f>
        <v>3.418761075059621E-3</v>
      </c>
      <c r="J14" s="128">
        <f>'FE-Transferências'!$D$3*0.0016*(($B$17/2.2)^1.3)/(($E14/2)^1.4)</f>
        <v>5.176981056518856E-4</v>
      </c>
      <c r="K14" s="129">
        <f t="shared" ref="K14" si="12">H14*$D14</f>
        <v>0.12044123682648931</v>
      </c>
      <c r="L14" s="129">
        <f t="shared" ref="L14" si="13">I14*$D14</f>
        <v>5.6965449850366556E-2</v>
      </c>
      <c r="M14" s="129">
        <f t="shared" ref="M14" si="14">J14*$D14</f>
        <v>8.6261966916269372E-3</v>
      </c>
    </row>
    <row r="15" spans="1:14" x14ac:dyDescent="0.25">
      <c r="A15" s="204" t="s">
        <v>211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9">
        <f>SUM(K3:K14)</f>
        <v>0.87443018919099824</v>
      </c>
      <c r="L15" s="29">
        <f>SUM(L3:L14)</f>
        <v>0.41358184623898564</v>
      </c>
      <c r="M15" s="29">
        <f t="shared" ref="M15" si="15">SUM(M3:M14)</f>
        <v>6.2628108144760691E-2</v>
      </c>
      <c r="N15" s="19"/>
    </row>
    <row r="16" spans="1:14" x14ac:dyDescent="0.25">
      <c r="C16" s="32"/>
      <c r="D16" s="32"/>
      <c r="E16" s="32"/>
      <c r="F16" s="32"/>
      <c r="G16" s="32"/>
    </row>
    <row r="17" spans="1:2" x14ac:dyDescent="0.25">
      <c r="A17" s="31" t="s">
        <v>41</v>
      </c>
      <c r="B17" s="131">
        <v>4.1937865160171146</v>
      </c>
    </row>
    <row r="19" spans="1:2" x14ac:dyDescent="0.25">
      <c r="A19" s="1"/>
    </row>
    <row r="21" spans="1:2" x14ac:dyDescent="0.25">
      <c r="A21" s="32"/>
    </row>
  </sheetData>
  <sheetProtection password="B056" sheet="1" objects="1" scenarios="1"/>
  <mergeCells count="9">
    <mergeCell ref="A15:J15"/>
    <mergeCell ref="A1:A2"/>
    <mergeCell ref="D1:D2"/>
    <mergeCell ref="E1:E2"/>
    <mergeCell ref="K1:M1"/>
    <mergeCell ref="H1:J1"/>
    <mergeCell ref="B1:B2"/>
    <mergeCell ref="C1:C2"/>
    <mergeCell ref="F1:G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Dados</vt:lpstr>
      <vt:lpstr>FE-Perfuração e Detonação</vt:lpstr>
      <vt:lpstr>FE-Maq Equip</vt:lpstr>
      <vt:lpstr>FE-Transferências</vt:lpstr>
      <vt:lpstr>FE-Britagem e Peneiramento</vt:lpstr>
      <vt:lpstr>FE-Vias</vt:lpstr>
      <vt:lpstr>Emissão Perfuração e Detonação</vt:lpstr>
      <vt:lpstr>Emissão Maq e Equip</vt:lpstr>
      <vt:lpstr>Emissão Transferências</vt:lpstr>
      <vt:lpstr>Emissão Britagem e Peneiramento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2019-06-06T20:02:18Z</dcterms:modified>
</cp:coreProperties>
</file>