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Tevisa\"/>
    </mc:Choice>
  </mc:AlternateContent>
  <bookViews>
    <workbookView xWindow="0" yWindow="0" windowWidth="24000" windowHeight="9735" tabRatio="741" activeTab="6"/>
  </bookViews>
  <sheets>
    <sheet name="Resumo-2015" sheetId="10" r:id="rId1"/>
    <sheet name="ppm to mg.m-3" sheetId="12" state="hidden" r:id="rId2"/>
    <sheet name="FE-Combustão" sheetId="13" r:id="rId3"/>
    <sheet name="Monitoramento_Cham. Geradores " sheetId="5" r:id="rId4"/>
    <sheet name="Emissão Chaminés" sheetId="9" r:id="rId5"/>
    <sheet name="Emissão Tanques" sheetId="11" r:id="rId6"/>
    <sheet name="Resumo" sheetId="1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6" i="11" l="1"/>
  <c r="E9" i="13" l="1"/>
  <c r="C9" i="13" l="1"/>
  <c r="C8" i="13"/>
  <c r="O15" i="10"/>
  <c r="G17" i="9" s="1"/>
  <c r="A26" i="12"/>
  <c r="J13" i="12"/>
  <c r="S27" i="9" l="1"/>
  <c r="R13" i="9"/>
  <c r="R25" i="9"/>
  <c r="R29" i="9"/>
  <c r="J3" i="9"/>
  <c r="G3" i="9"/>
  <c r="H3" i="9" s="1"/>
  <c r="C3" i="9"/>
  <c r="B35" i="9"/>
  <c r="E39" i="9"/>
  <c r="D39" i="9"/>
  <c r="D14" i="13"/>
  <c r="E14" i="13" s="1"/>
  <c r="F14" i="13" s="1"/>
  <c r="D13" i="13"/>
  <c r="E13" i="13" s="1"/>
  <c r="F13" i="13" s="1"/>
  <c r="E12" i="13"/>
  <c r="F12" i="13" s="1"/>
  <c r="B12" i="13"/>
  <c r="B14" i="13" s="1"/>
  <c r="C14" i="13" s="1"/>
  <c r="S12" i="9" s="1"/>
  <c r="E11" i="13"/>
  <c r="F11" i="13" s="1"/>
  <c r="C11" i="13"/>
  <c r="E10" i="13"/>
  <c r="F10" i="13" s="1"/>
  <c r="C10" i="13"/>
  <c r="F9" i="13"/>
  <c r="E8" i="13"/>
  <c r="F8" i="13" s="1"/>
  <c r="B8" i="13"/>
  <c r="R14" i="9" s="1"/>
  <c r="E7" i="13"/>
  <c r="F7" i="13" s="1"/>
  <c r="C7" i="13"/>
  <c r="E6" i="13"/>
  <c r="F6" i="13" s="1"/>
  <c r="C6" i="13"/>
  <c r="S23" i="9" l="1"/>
  <c r="R21" i="9"/>
  <c r="S19" i="9"/>
  <c r="R17" i="9"/>
  <c r="Y17" i="9" s="1"/>
  <c r="S11" i="9"/>
  <c r="S15" i="9"/>
  <c r="R28" i="9"/>
  <c r="R24" i="9"/>
  <c r="R20" i="9"/>
  <c r="R16" i="9"/>
  <c r="R12" i="9"/>
  <c r="S30" i="9"/>
  <c r="S26" i="9"/>
  <c r="S22" i="9"/>
  <c r="S18" i="9"/>
  <c r="S14" i="9"/>
  <c r="R11" i="9"/>
  <c r="R27" i="9"/>
  <c r="R23" i="9"/>
  <c r="R19" i="9"/>
  <c r="R15" i="9"/>
  <c r="S29" i="9"/>
  <c r="S25" i="9"/>
  <c r="S21" i="9"/>
  <c r="S17" i="9"/>
  <c r="S13" i="9"/>
  <c r="R30" i="9"/>
  <c r="R26" i="9"/>
  <c r="R22" i="9"/>
  <c r="R18" i="9"/>
  <c r="S28" i="9"/>
  <c r="S24" i="9"/>
  <c r="S20" i="9"/>
  <c r="S16" i="9"/>
  <c r="Z17" i="9"/>
  <c r="C35" i="9"/>
  <c r="B13" i="13"/>
  <c r="C13" i="13" s="1"/>
  <c r="C12" i="13"/>
  <c r="AC10" i="11" l="1"/>
  <c r="O15" i="11"/>
  <c r="O10" i="11"/>
  <c r="AA15" i="11" l="1"/>
  <c r="AA14" i="11"/>
  <c r="AA13" i="11"/>
  <c r="AA12" i="11"/>
  <c r="AA10" i="11"/>
  <c r="AA11" i="11" l="1"/>
  <c r="AD10" i="11" l="1"/>
  <c r="V102" i="5" l="1"/>
  <c r="N102" i="5"/>
  <c r="F102" i="5"/>
  <c r="V101" i="5"/>
  <c r="N101" i="5"/>
  <c r="F101" i="5"/>
  <c r="V100" i="5"/>
  <c r="N100" i="5"/>
  <c r="F100" i="5"/>
  <c r="V99" i="5"/>
  <c r="N99" i="5"/>
  <c r="F99" i="5"/>
  <c r="G16" i="12" s="1"/>
  <c r="V98" i="5"/>
  <c r="N98" i="5"/>
  <c r="F98" i="5"/>
  <c r="E28" i="9" s="1"/>
  <c r="V97" i="5"/>
  <c r="N97" i="5"/>
  <c r="F97" i="5"/>
  <c r="F28" i="9" s="1"/>
  <c r="V95" i="5"/>
  <c r="N95" i="5"/>
  <c r="F95" i="5"/>
  <c r="V94" i="5"/>
  <c r="N94" i="5"/>
  <c r="F94" i="5"/>
  <c r="F16" i="12" s="1"/>
  <c r="V92" i="5"/>
  <c r="N92" i="5"/>
  <c r="F92" i="5"/>
  <c r="N28" i="9" s="1"/>
  <c r="V91" i="5"/>
  <c r="N91" i="5"/>
  <c r="F91" i="5"/>
  <c r="V89" i="5"/>
  <c r="N89" i="5"/>
  <c r="F89" i="5"/>
  <c r="K28" i="9" s="1"/>
  <c r="V88" i="5"/>
  <c r="N88" i="5"/>
  <c r="F88" i="5"/>
  <c r="V75" i="5"/>
  <c r="N75" i="5"/>
  <c r="F75" i="5"/>
  <c r="V74" i="5"/>
  <c r="N74" i="5"/>
  <c r="F74" i="5"/>
  <c r="V73" i="5"/>
  <c r="N73" i="5"/>
  <c r="F73" i="5"/>
  <c r="V72" i="5"/>
  <c r="N72" i="5"/>
  <c r="F72" i="5"/>
  <c r="G15" i="12" s="1"/>
  <c r="V71" i="5"/>
  <c r="N71" i="5"/>
  <c r="F71" i="5"/>
  <c r="E27" i="9" s="1"/>
  <c r="V70" i="5"/>
  <c r="N70" i="5"/>
  <c r="F27" i="9" s="1"/>
  <c r="F70" i="5"/>
  <c r="V68" i="5"/>
  <c r="N68" i="5"/>
  <c r="F68" i="5"/>
  <c r="V67" i="5"/>
  <c r="N67" i="5"/>
  <c r="F67" i="5"/>
  <c r="F15" i="12" s="1"/>
  <c r="V65" i="5"/>
  <c r="N27" i="9" s="1"/>
  <c r="N65" i="5"/>
  <c r="F65" i="5"/>
  <c r="V64" i="5"/>
  <c r="N64" i="5"/>
  <c r="F64" i="5"/>
  <c r="V62" i="5"/>
  <c r="N62" i="5"/>
  <c r="F62" i="5"/>
  <c r="K27" i="9" s="1"/>
  <c r="V61" i="5"/>
  <c r="N61" i="5"/>
  <c r="F61" i="5"/>
  <c r="V48" i="5"/>
  <c r="N48" i="5"/>
  <c r="F48" i="5"/>
  <c r="V47" i="5"/>
  <c r="N47" i="5"/>
  <c r="F47" i="5"/>
  <c r="V46" i="5"/>
  <c r="N46" i="5"/>
  <c r="F46" i="5"/>
  <c r="V45" i="5"/>
  <c r="N45" i="5"/>
  <c r="F45" i="5"/>
  <c r="G14" i="12" s="1"/>
  <c r="V44" i="5"/>
  <c r="E13" i="9" s="1"/>
  <c r="N44" i="5"/>
  <c r="F44" i="5"/>
  <c r="V43" i="5"/>
  <c r="N43" i="5"/>
  <c r="F43" i="5"/>
  <c r="F13" i="9" s="1"/>
  <c r="V41" i="5"/>
  <c r="N41" i="5"/>
  <c r="F41" i="5"/>
  <c r="V40" i="5"/>
  <c r="N40" i="5"/>
  <c r="F40" i="5"/>
  <c r="F14" i="12" s="1"/>
  <c r="V38" i="5"/>
  <c r="N38" i="5"/>
  <c r="F38" i="5"/>
  <c r="N13" i="9" s="1"/>
  <c r="V37" i="5"/>
  <c r="N37" i="5"/>
  <c r="F37" i="5"/>
  <c r="V35" i="5"/>
  <c r="N35" i="5"/>
  <c r="F35" i="5"/>
  <c r="K13" i="9" s="1"/>
  <c r="V34" i="5"/>
  <c r="N34" i="5"/>
  <c r="F34" i="5"/>
  <c r="D28" i="9" l="1"/>
  <c r="D27" i="9"/>
  <c r="D13" i="9"/>
  <c r="O11" i="11" l="1"/>
  <c r="O12" i="11"/>
  <c r="O13" i="11"/>
  <c r="O14" i="11"/>
  <c r="J10" i="11" l="1"/>
  <c r="L10" i="11"/>
  <c r="N10" i="11"/>
  <c r="Q10" i="11"/>
  <c r="S10" i="11"/>
  <c r="U10" i="11"/>
  <c r="W10" i="11"/>
  <c r="Z10" i="11"/>
  <c r="J11" i="11"/>
  <c r="L11" i="11"/>
  <c r="N11" i="11"/>
  <c r="Q11" i="11"/>
  <c r="S11" i="11"/>
  <c r="U11" i="11"/>
  <c r="W11" i="11"/>
  <c r="Z11" i="11"/>
  <c r="J12" i="11"/>
  <c r="L12" i="11"/>
  <c r="N12" i="11"/>
  <c r="Q12" i="11"/>
  <c r="S12" i="11"/>
  <c r="U12" i="11"/>
  <c r="W12" i="11"/>
  <c r="Z12" i="11"/>
  <c r="J13" i="11"/>
  <c r="L13" i="11"/>
  <c r="N13" i="11"/>
  <c r="Q13" i="11"/>
  <c r="S13" i="11"/>
  <c r="U13" i="11"/>
  <c r="W13" i="11"/>
  <c r="Z13" i="11"/>
  <c r="J14" i="11"/>
  <c r="L14" i="11"/>
  <c r="N14" i="11"/>
  <c r="Q14" i="11"/>
  <c r="S14" i="11"/>
  <c r="U14" i="11"/>
  <c r="W14" i="11"/>
  <c r="Z14" i="11"/>
  <c r="J15" i="11"/>
  <c r="L15" i="11"/>
  <c r="N15" i="11"/>
  <c r="Q15" i="11"/>
  <c r="S15" i="11"/>
  <c r="U15" i="11"/>
  <c r="W15" i="11"/>
  <c r="Z15" i="11"/>
  <c r="AC11" i="11" l="1"/>
  <c r="AD11" i="11" s="1"/>
  <c r="AC12" i="11"/>
  <c r="AD12" i="11" s="1"/>
  <c r="AC13" i="11"/>
  <c r="AD13" i="11" s="1"/>
  <c r="AC14" i="11"/>
  <c r="AD14" i="11" s="1"/>
  <c r="AC15" i="11"/>
  <c r="AD15" i="11" s="1"/>
  <c r="AD16" i="11" l="1"/>
  <c r="AC16" i="11"/>
  <c r="H4" i="15" s="1"/>
  <c r="H16" i="12"/>
  <c r="J16" i="12" s="1"/>
  <c r="L28" i="9" s="1"/>
  <c r="M28" i="9" s="1"/>
  <c r="H15" i="12"/>
  <c r="J15" i="12" s="1"/>
  <c r="L27" i="9" s="1"/>
  <c r="M27" i="9" s="1"/>
  <c r="H14" i="12"/>
  <c r="J14" i="12" s="1"/>
  <c r="L13" i="9" s="1"/>
  <c r="B2" i="11"/>
  <c r="M13" i="9" l="1"/>
  <c r="E30" i="9"/>
  <c r="E29" i="9"/>
  <c r="E26" i="9"/>
  <c r="E25" i="9"/>
  <c r="E24" i="9"/>
  <c r="E23" i="9"/>
  <c r="E22" i="9"/>
  <c r="E21" i="9"/>
  <c r="E20" i="9"/>
  <c r="E19" i="9"/>
  <c r="E18" i="9"/>
  <c r="E17" i="9"/>
  <c r="E16" i="9"/>
  <c r="E15" i="9"/>
  <c r="E14" i="9"/>
  <c r="E11" i="9"/>
  <c r="F21" i="5"/>
  <c r="F20" i="5"/>
  <c r="F19" i="5"/>
  <c r="F18" i="5"/>
  <c r="F17" i="5"/>
  <c r="F16" i="5"/>
  <c r="F14" i="5"/>
  <c r="F13" i="5"/>
  <c r="F11" i="5"/>
  <c r="F10" i="5"/>
  <c r="F8" i="5"/>
  <c r="F7" i="5"/>
  <c r="W27" i="9" l="1"/>
  <c r="W28" i="9"/>
  <c r="B15" i="10"/>
  <c r="AN15" i="10" l="1"/>
  <c r="AL15" i="10"/>
  <c r="AJ15" i="10"/>
  <c r="AH15" i="10"/>
  <c r="AF15" i="10"/>
  <c r="AD15" i="10"/>
  <c r="AB15" i="10"/>
  <c r="Z15" i="10"/>
  <c r="X15" i="10"/>
  <c r="V15" i="10"/>
  <c r="T15" i="10"/>
  <c r="R15" i="10"/>
  <c r="P15" i="10"/>
  <c r="N15" i="10"/>
  <c r="J17" i="9" s="1"/>
  <c r="L15" i="10"/>
  <c r="J15" i="10"/>
  <c r="H15" i="10"/>
  <c r="F15" i="10"/>
  <c r="D15" i="10"/>
  <c r="AP14" i="10"/>
  <c r="AP13" i="10"/>
  <c r="AP12" i="10"/>
  <c r="AP11" i="10"/>
  <c r="AP10" i="10"/>
  <c r="AP9" i="10"/>
  <c r="AP8" i="10"/>
  <c r="AP7" i="10"/>
  <c r="AP6" i="10"/>
  <c r="AP5" i="10"/>
  <c r="AP4" i="10"/>
  <c r="AP3" i="10"/>
  <c r="J28" i="9" l="1"/>
  <c r="J29" i="9"/>
  <c r="J26" i="9"/>
  <c r="AQ5" i="10"/>
  <c r="AQ6" i="10"/>
  <c r="AQ9" i="10"/>
  <c r="AQ10" i="10"/>
  <c r="K15" i="10"/>
  <c r="AA15" i="10"/>
  <c r="AI15" i="10"/>
  <c r="J27" i="9" s="1"/>
  <c r="AP15" i="10"/>
  <c r="I15" i="10"/>
  <c r="Q15" i="10"/>
  <c r="Y15" i="10"/>
  <c r="J22" i="9" s="1"/>
  <c r="AG15" i="10"/>
  <c r="AO15" i="10"/>
  <c r="AQ3" i="10"/>
  <c r="U15" i="10"/>
  <c r="J20" i="9" s="1"/>
  <c r="AC15" i="10"/>
  <c r="J24" i="9" s="1"/>
  <c r="AK15" i="10"/>
  <c r="AQ4" i="10"/>
  <c r="AQ7" i="10"/>
  <c r="AQ8" i="10"/>
  <c r="AQ11" i="10"/>
  <c r="AQ12" i="10"/>
  <c r="C15" i="10"/>
  <c r="S15" i="10"/>
  <c r="J19" i="9" s="1"/>
  <c r="M15" i="10"/>
  <c r="G15" i="10"/>
  <c r="W15" i="10"/>
  <c r="J21" i="9" s="1"/>
  <c r="AE15" i="10"/>
  <c r="J25" i="9" s="1"/>
  <c r="AM15" i="10"/>
  <c r="AQ13" i="10"/>
  <c r="AQ14" i="10"/>
  <c r="E15" i="10"/>
  <c r="G29" i="9" l="1"/>
  <c r="Y29" i="9"/>
  <c r="Z29" i="9"/>
  <c r="G16" i="9"/>
  <c r="Y16" i="9"/>
  <c r="Z16" i="9"/>
  <c r="G28" i="9"/>
  <c r="Y28" i="9"/>
  <c r="Z28" i="9"/>
  <c r="G30" i="9"/>
  <c r="Y30" i="9"/>
  <c r="Z30" i="9"/>
  <c r="G14" i="9"/>
  <c r="Y14" i="9"/>
  <c r="Z14" i="9"/>
  <c r="G15" i="9"/>
  <c r="Y15" i="9"/>
  <c r="Z15" i="9"/>
  <c r="J15" i="9"/>
  <c r="G18" i="9"/>
  <c r="Y18" i="9"/>
  <c r="Z18" i="9"/>
  <c r="G25" i="9"/>
  <c r="Y25" i="9"/>
  <c r="Z25" i="9"/>
  <c r="G19" i="9"/>
  <c r="Y19" i="9"/>
  <c r="Z19" i="9"/>
  <c r="G24" i="9"/>
  <c r="Y24" i="9"/>
  <c r="Z24" i="9"/>
  <c r="G26" i="9"/>
  <c r="Z26" i="9"/>
  <c r="Y26" i="9"/>
  <c r="J16" i="9"/>
  <c r="J18" i="9"/>
  <c r="Y13" i="9"/>
  <c r="Z13" i="9"/>
  <c r="G13" i="9"/>
  <c r="G23" i="9"/>
  <c r="Y23" i="9"/>
  <c r="Z23" i="9"/>
  <c r="Z12" i="9"/>
  <c r="Y12" i="9"/>
  <c r="G12" i="9"/>
  <c r="G21" i="9"/>
  <c r="Z21" i="9"/>
  <c r="Y21" i="9"/>
  <c r="G11" i="9"/>
  <c r="Y11" i="9"/>
  <c r="Z11" i="9"/>
  <c r="J11" i="9"/>
  <c r="G20" i="9"/>
  <c r="Y20" i="9"/>
  <c r="Z20" i="9"/>
  <c r="G22" i="9"/>
  <c r="Y22" i="9"/>
  <c r="Z22" i="9"/>
  <c r="Z27" i="9"/>
  <c r="Y27" i="9"/>
  <c r="G27" i="9"/>
  <c r="J23" i="9"/>
  <c r="J30" i="9"/>
  <c r="J14" i="9"/>
  <c r="J13" i="9"/>
  <c r="J12" i="9"/>
  <c r="AQ15" i="10"/>
  <c r="X13" i="9" l="1"/>
  <c r="T13" i="9"/>
  <c r="U13" i="9" s="1"/>
  <c r="V13" i="9" s="1"/>
  <c r="W13" i="9"/>
  <c r="X28" i="9"/>
  <c r="T28" i="9"/>
  <c r="U28" i="9" s="1"/>
  <c r="V28" i="9" s="1"/>
  <c r="X27" i="9"/>
  <c r="T27" i="9"/>
  <c r="U27" i="9" s="1"/>
  <c r="V27" i="9" s="1"/>
  <c r="Z31" i="9"/>
  <c r="H3" i="15" s="1"/>
  <c r="Y31" i="9"/>
  <c r="G3" i="15" s="1"/>
  <c r="V21" i="5"/>
  <c r="V20" i="5"/>
  <c r="V19" i="5"/>
  <c r="V18" i="5"/>
  <c r="V17" i="5"/>
  <c r="V16" i="5"/>
  <c r="V14" i="5"/>
  <c r="V13" i="5"/>
  <c r="V11" i="5"/>
  <c r="V10" i="5"/>
  <c r="V8" i="5"/>
  <c r="V7" i="5"/>
  <c r="H5" i="15" l="1"/>
  <c r="G5" i="15"/>
  <c r="N21" i="5"/>
  <c r="N20" i="5"/>
  <c r="N19" i="5"/>
  <c r="N18" i="5"/>
  <c r="N17" i="5"/>
  <c r="E12" i="9" s="1"/>
  <c r="N16" i="5"/>
  <c r="F12" i="9" s="1"/>
  <c r="N14" i="5"/>
  <c r="N13" i="5"/>
  <c r="F13" i="12" s="1"/>
  <c r="N11" i="5"/>
  <c r="N12" i="9" s="1"/>
  <c r="X12" i="9" s="1"/>
  <c r="N10" i="5"/>
  <c r="N8" i="5"/>
  <c r="K12" i="9" s="1"/>
  <c r="D35" i="9" s="1"/>
  <c r="N7" i="5"/>
  <c r="E35" i="9" l="1"/>
  <c r="B39" i="9" s="1"/>
  <c r="T12" i="9"/>
  <c r="U12" i="9" s="1"/>
  <c r="V12" i="9" s="1"/>
  <c r="A39" i="9"/>
  <c r="G13" i="12"/>
  <c r="H13" i="12" s="1"/>
  <c r="D12" i="9"/>
  <c r="O12" i="9" l="1"/>
  <c r="O16" i="9"/>
  <c r="O20" i="9"/>
  <c r="O24" i="9"/>
  <c r="O28" i="9"/>
  <c r="O14" i="9"/>
  <c r="O22" i="9"/>
  <c r="O30" i="9"/>
  <c r="O15" i="9"/>
  <c r="O23" i="9"/>
  <c r="O11" i="9"/>
  <c r="T11" i="9" s="1"/>
  <c r="O13" i="9"/>
  <c r="O17" i="9"/>
  <c r="O21" i="9"/>
  <c r="O25" i="9"/>
  <c r="O29" i="9"/>
  <c r="O18" i="9"/>
  <c r="O26" i="9"/>
  <c r="O19" i="9"/>
  <c r="O27" i="9"/>
  <c r="Q12" i="9"/>
  <c r="Q16" i="9"/>
  <c r="X16" i="9" s="1"/>
  <c r="Q20" i="9"/>
  <c r="X20" i="9" s="1"/>
  <c r="Q24" i="9"/>
  <c r="X24" i="9" s="1"/>
  <c r="Q28" i="9"/>
  <c r="Q18" i="9"/>
  <c r="X18" i="9" s="1"/>
  <c r="Q22" i="9"/>
  <c r="X22" i="9" s="1"/>
  <c r="Q30" i="9"/>
  <c r="X30" i="9" s="1"/>
  <c r="Q15" i="9"/>
  <c r="X15" i="9" s="1"/>
  <c r="Q23" i="9"/>
  <c r="X23" i="9" s="1"/>
  <c r="Q11" i="9"/>
  <c r="X11" i="9" s="1"/>
  <c r="Q13" i="9"/>
  <c r="Q17" i="9"/>
  <c r="X17" i="9" s="1"/>
  <c r="Q21" i="9"/>
  <c r="X21" i="9" s="1"/>
  <c r="Q25" i="9"/>
  <c r="X25" i="9" s="1"/>
  <c r="Q29" i="9"/>
  <c r="X29" i="9" s="1"/>
  <c r="Q14" i="9"/>
  <c r="X14" i="9" s="1"/>
  <c r="Q26" i="9"/>
  <c r="X26" i="9" s="1"/>
  <c r="Q19" i="9"/>
  <c r="X19" i="9" s="1"/>
  <c r="Q27" i="9"/>
  <c r="L12" i="9"/>
  <c r="M12" i="9" s="1"/>
  <c r="T30" i="9" l="1"/>
  <c r="U30" i="9" s="1"/>
  <c r="V30" i="9" s="1"/>
  <c r="T19" i="9"/>
  <c r="U19" i="9" s="1"/>
  <c r="V19" i="9" s="1"/>
  <c r="U11" i="9"/>
  <c r="T22" i="9"/>
  <c r="U22" i="9" s="1"/>
  <c r="V22" i="9" s="1"/>
  <c r="T20" i="9"/>
  <c r="U20" i="9" s="1"/>
  <c r="V20" i="9" s="1"/>
  <c r="T23" i="9"/>
  <c r="U23" i="9" s="1"/>
  <c r="V23" i="9" s="1"/>
  <c r="T16" i="9"/>
  <c r="U16" i="9" s="1"/>
  <c r="V16" i="9" s="1"/>
  <c r="T29" i="9"/>
  <c r="U29" i="9" s="1"/>
  <c r="V29" i="9" s="1"/>
  <c r="T24" i="9"/>
  <c r="U24" i="9" s="1"/>
  <c r="V24" i="9" s="1"/>
  <c r="T25" i="9"/>
  <c r="U25" i="9" s="1"/>
  <c r="V25" i="9" s="1"/>
  <c r="T26" i="9"/>
  <c r="U26" i="9" s="1"/>
  <c r="V26" i="9" s="1"/>
  <c r="T21" i="9"/>
  <c r="U21" i="9" s="1"/>
  <c r="V21" i="9" s="1"/>
  <c r="T14" i="9"/>
  <c r="U14" i="9" s="1"/>
  <c r="V14" i="9" s="1"/>
  <c r="T18" i="9"/>
  <c r="U18" i="9" s="1"/>
  <c r="V18" i="9" s="1"/>
  <c r="T17" i="9"/>
  <c r="T15" i="9"/>
  <c r="F35" i="9"/>
  <c r="W12" i="9"/>
  <c r="X31" i="9"/>
  <c r="F3" i="15" l="1"/>
  <c r="U17" i="9"/>
  <c r="V17" i="9" s="1"/>
  <c r="T31" i="9"/>
  <c r="V11" i="9"/>
  <c r="U15" i="9"/>
  <c r="V15" i="9" s="1"/>
  <c r="C39" i="9"/>
  <c r="P11" i="9" s="1"/>
  <c r="W11" i="9" s="1"/>
  <c r="U31" i="9" l="1"/>
  <c r="C3" i="15" s="1"/>
  <c r="C5" i="15" s="1"/>
  <c r="B3" i="15"/>
  <c r="B5" i="15" s="1"/>
  <c r="V31" i="9"/>
  <c r="P12" i="9"/>
  <c r="P16" i="9"/>
  <c r="W16" i="9" s="1"/>
  <c r="P20" i="9"/>
  <c r="W20" i="9" s="1"/>
  <c r="P24" i="9"/>
  <c r="W24" i="9" s="1"/>
  <c r="P28" i="9"/>
  <c r="P18" i="9"/>
  <c r="W18" i="9" s="1"/>
  <c r="P26" i="9"/>
  <c r="W26" i="9" s="1"/>
  <c r="P13" i="9"/>
  <c r="P17" i="9"/>
  <c r="W17" i="9" s="1"/>
  <c r="P21" i="9"/>
  <c r="W21" i="9" s="1"/>
  <c r="P25" i="9"/>
  <c r="W25" i="9" s="1"/>
  <c r="P29" i="9"/>
  <c r="W29" i="9" s="1"/>
  <c r="P14" i="9"/>
  <c r="W14" i="9" s="1"/>
  <c r="P22" i="9"/>
  <c r="W22" i="9" s="1"/>
  <c r="P30" i="9"/>
  <c r="W30" i="9" s="1"/>
  <c r="P15" i="9"/>
  <c r="W15" i="9" s="1"/>
  <c r="P19" i="9"/>
  <c r="W19" i="9" s="1"/>
  <c r="P23" i="9"/>
  <c r="W23" i="9" s="1"/>
  <c r="P27" i="9"/>
  <c r="D3" i="15" l="1"/>
  <c r="D5" i="15" s="1"/>
  <c r="W31" i="9"/>
  <c r="F5" i="15" l="1"/>
  <c r="E3" i="15"/>
  <c r="E5" i="15" s="1"/>
</calcChain>
</file>

<file path=xl/comments1.xml><?xml version="1.0" encoding="utf-8"?>
<comments xmlns="http://schemas.openxmlformats.org/spreadsheetml/2006/main">
  <authors>
    <author>Andrielly Moutinho Knupp</author>
  </authors>
  <commentList>
    <comment ref="A16" authorId="0" shapeId="0">
      <text>
        <r>
          <rPr>
            <sz val="9"/>
            <color indexed="81"/>
            <rFont val="Segoe UI"/>
            <family val="2"/>
          </rPr>
          <t>Obtido nos relatórios de monitoramento dos geradores</t>
        </r>
      </text>
    </comment>
  </commentList>
</comments>
</file>

<file path=xl/comments2.xml><?xml version="1.0" encoding="utf-8"?>
<comments xmlns="http://schemas.openxmlformats.org/spreadsheetml/2006/main">
  <authors>
    <author>Andrielly Moutinho Knupp</author>
    <author>Tatiane Jardim Morais</author>
  </authors>
  <commentList>
    <comment ref="G1" authorId="0" shapeId="0">
      <text>
        <r>
          <rPr>
            <sz val="9"/>
            <color indexed="81"/>
            <rFont val="Segoe UI"/>
            <family val="2"/>
          </rPr>
          <t>Dados obtidos do Inventário de Gases de Efeito Estufa - 2015, fornecido pela TEVISA</t>
        </r>
      </text>
    </comment>
    <comment ref="A2" authorId="0" shapeId="0">
      <text>
        <r>
          <rPr>
            <sz val="9"/>
            <color indexed="81"/>
            <rFont val="Segoe UI"/>
            <family val="2"/>
          </rPr>
          <t>Teor de Enxofre:
http://legislacao.anp.gov.br/?path=legislacao-anp/resol-anp/2016/janeiro&amp;item=ranp-3--2016</t>
        </r>
      </text>
    </comment>
    <comment ref="H2" authorId="0" shapeId="0">
      <text>
        <r>
          <rPr>
            <sz val="9"/>
            <color indexed="81"/>
            <rFont val="Segoe UI"/>
            <family val="2"/>
          </rPr>
          <t>Total de 20 geradores</t>
        </r>
      </text>
    </comment>
    <comment ref="A3" authorId="0" shapeId="0">
      <text>
        <r>
          <rPr>
            <b/>
            <sz val="9"/>
            <color indexed="81"/>
            <rFont val="Segoe UI"/>
            <family val="2"/>
          </rPr>
          <t>Andrielly Moutinho Knupp:</t>
        </r>
        <r>
          <rPr>
            <sz val="9"/>
            <color indexed="81"/>
            <rFont val="Segoe UI"/>
            <family val="2"/>
          </rPr>
          <t xml:space="preserve">
Obtido no relatório de monitoramento dos geradores e no 'Memorial descritivo.docx'</t>
        </r>
      </text>
    </comment>
    <comment ref="E10" authorId="1" shapeId="0">
      <text>
        <r>
          <rPr>
            <sz val="9"/>
            <color indexed="81"/>
            <rFont val="Segoe UI"/>
            <family val="2"/>
          </rPr>
          <t xml:space="preserve">
Vazão dos gases nas Condições Chaminé</t>
        </r>
      </text>
    </comment>
    <comment ref="F10" authorId="1" shapeId="0">
      <text>
        <r>
          <rPr>
            <sz val="9"/>
            <color indexed="81"/>
            <rFont val="Segoe UI"/>
            <family val="2"/>
          </rPr>
          <t xml:space="preserve">
Vazão dos gases Condições Normais Base Seca</t>
        </r>
      </text>
    </comment>
    <comment ref="A33" authorId="0" shapeId="0">
      <text>
        <r>
          <rPr>
            <sz val="9"/>
            <color indexed="81"/>
            <rFont val="Segoe UI"/>
            <family val="2"/>
          </rPr>
          <t xml:space="preserve">
Informações obtidas na aba: Dados de Monitoramento</t>
        </r>
      </text>
    </comment>
    <comment ref="D37" authorId="0" shapeId="0">
      <text>
        <r>
          <rPr>
            <sz val="9"/>
            <color indexed="81"/>
            <rFont val="Segoe UI"/>
            <family val="2"/>
          </rPr>
          <t>Adotada a relação PM10/PM obtida a partir: Table 3.4-2 - Particulate and Particle-sizing  Emission Factors for Large Uncontrolled Stationary Diesel Engines - Rating E</t>
        </r>
      </text>
    </comment>
    <comment ref="E37" authorId="0" shapeId="0">
      <text>
        <r>
          <rPr>
            <sz val="9"/>
            <color indexed="81"/>
            <rFont val="Segoe UI"/>
            <family val="2"/>
          </rPr>
          <t>Adotada a relação PM2.5/PM10 obtida a partir: Table 3.4-2 - Particulate and Particle-sizing  Emission Factors for Large Uncontrolled Stationary Diesel Engines - Rating E</t>
        </r>
      </text>
    </comment>
  </commentList>
</comments>
</file>

<file path=xl/comments3.xml><?xml version="1.0" encoding="utf-8"?>
<comments xmlns="http://schemas.openxmlformats.org/spreadsheetml/2006/main">
  <authors>
    <author>Andrielly Moutinho Knupp</author>
    <author>Tatiane Jardim Morais</author>
  </authors>
  <commentList>
    <comment ref="A1" authorId="0" shapeId="0">
      <text>
        <r>
          <rPr>
            <sz val="9"/>
            <color indexed="81"/>
            <rFont val="Segoe UI"/>
            <family val="2"/>
          </rPr>
          <t xml:space="preserve">http://www.br.com.br/wcm/connect/28dc5984-064e-4093-991c-23a32cb8b4cf/fispq-oleocomb-oc-1b.pdf?MOD=AJPERES&amp;CVID=lLJwxju
</t>
        </r>
      </text>
    </comment>
    <comment ref="Z9" authorId="1" shapeId="0">
      <text>
        <r>
          <rPr>
            <sz val="9"/>
            <color indexed="81"/>
            <rFont val="Segoe UI"/>
            <family val="2"/>
          </rPr>
          <t>Conversão de t/ano para bbl/ano:
http://www.portalnaval.com.br/media/tabela/conversao_petroleo_gas_1.pdf</t>
        </r>
      </text>
    </comment>
    <comment ref="AA9" authorId="0" shapeId="0">
      <text>
        <r>
          <rPr>
            <sz val="9"/>
            <color indexed="81"/>
            <rFont val="Segoe UI"/>
            <family val="2"/>
          </rPr>
          <t xml:space="preserve">Conversão de bbl para ft³: 5,614
Fonte: https://www3.epa.gov/ttn/chief/software/tanks/tank4man.pdf
</t>
        </r>
      </text>
    </comment>
    <comment ref="F10" authorId="0" shapeId="0">
      <text>
        <r>
          <rPr>
            <sz val="9"/>
            <color indexed="81"/>
            <rFont val="Segoe UI"/>
            <family val="2"/>
          </rPr>
          <t>Considerada cor cinza, pois no Tanks não há cor preta.</t>
        </r>
      </text>
    </comment>
    <comment ref="F11" authorId="0" shapeId="0">
      <text>
        <r>
          <rPr>
            <sz val="9"/>
            <color indexed="81"/>
            <rFont val="Segoe UI"/>
            <family val="2"/>
          </rPr>
          <t>Considerada cor cinza, pois no Tanks não há cor preta.</t>
        </r>
      </text>
    </comment>
  </commentList>
</comments>
</file>

<file path=xl/sharedStrings.xml><?xml version="1.0" encoding="utf-8"?>
<sst xmlns="http://schemas.openxmlformats.org/spreadsheetml/2006/main" count="922" uniqueCount="235">
  <si>
    <t>Unidade</t>
  </si>
  <si>
    <t>Taxa de Emissão</t>
  </si>
  <si>
    <t>ºC</t>
  </si>
  <si>
    <t>m/s</t>
  </si>
  <si>
    <t>m³/h</t>
  </si>
  <si>
    <t>Nm³/h</t>
  </si>
  <si>
    <t>-</t>
  </si>
  <si>
    <t>mg/Nm³</t>
  </si>
  <si>
    <t>Amostragem</t>
  </si>
  <si>
    <t>Concentração nas Condições Normais Base Seca</t>
  </si>
  <si>
    <t>kg/h</t>
  </si>
  <si>
    <t>Dados de Medição</t>
  </si>
  <si>
    <t>Monitoramento de Emissões Atmosféricas - Janeiro/2015</t>
  </si>
  <si>
    <t xml:space="preserve">Parâmetros </t>
  </si>
  <si>
    <t>Material Particulado</t>
  </si>
  <si>
    <t>Dióxidos de Enxofre</t>
  </si>
  <si>
    <t xml:space="preserve">Vazão dos Gases nas Condições Normais Base Seca </t>
  </si>
  <si>
    <t>Vazão dos Gases nas Condições da Chaminé</t>
  </si>
  <si>
    <t>Temperatura dos Gases</t>
  </si>
  <si>
    <r>
      <t xml:space="preserve">Velocidade Média dos Gases </t>
    </r>
    <r>
      <rPr>
        <vertAlign val="superscript"/>
        <sz val="8"/>
        <color theme="1"/>
        <rFont val="Arial"/>
        <family val="2"/>
      </rPr>
      <t>(a)</t>
    </r>
  </si>
  <si>
    <t xml:space="preserve">Teor de Dióxido de Carbono </t>
  </si>
  <si>
    <t>%</t>
  </si>
  <si>
    <t>Teor de Oxigênio</t>
  </si>
  <si>
    <t>Média Calculada</t>
  </si>
  <si>
    <t>Chaminé do Gerador 3</t>
  </si>
  <si>
    <t>Média Tabelada</t>
  </si>
  <si>
    <t>Chaminé do Gerador 17</t>
  </si>
  <si>
    <t>Chaminé do Gerador 18</t>
  </si>
  <si>
    <t>Monitoramento de Emissões Atmosféricas - Abril/2015</t>
  </si>
  <si>
    <t>Monitoramento de Emissões Atmosféricas - Outubro2015</t>
  </si>
  <si>
    <t>ppm-v</t>
  </si>
  <si>
    <t>Óxidos de Nitrogênio</t>
  </si>
  <si>
    <r>
      <t>NOx (atual O</t>
    </r>
    <r>
      <rPr>
        <vertAlign val="subscript"/>
        <sz val="8"/>
        <color theme="1"/>
        <rFont val="Arial"/>
        <family val="2"/>
      </rPr>
      <t>2</t>
    </r>
    <r>
      <rPr>
        <sz val="8"/>
        <color theme="1"/>
        <rFont val="Arial"/>
        <family val="2"/>
      </rPr>
      <t>)</t>
    </r>
  </si>
  <si>
    <r>
      <t>NOx como NO2 (15% O</t>
    </r>
    <r>
      <rPr>
        <vertAlign val="subscript"/>
        <sz val="8"/>
        <color theme="1"/>
        <rFont val="Arial"/>
        <family val="2"/>
      </rPr>
      <t>2</t>
    </r>
    <r>
      <rPr>
        <sz val="8"/>
        <color theme="1"/>
        <rFont val="Arial"/>
        <family val="2"/>
      </rPr>
      <t>)</t>
    </r>
  </si>
  <si>
    <t>Chaminé do Gerador 2</t>
  </si>
  <si>
    <t>Chaminé Gerador 2</t>
  </si>
  <si>
    <t>Chaminé Gerador 3</t>
  </si>
  <si>
    <t>Chaminé Gerador 18</t>
  </si>
  <si>
    <t>Chaminé Gerador 17</t>
  </si>
  <si>
    <t>Fonte Emissora</t>
  </si>
  <si>
    <t>Vazão</t>
  </si>
  <si>
    <t>Chaminé Gerador 1</t>
  </si>
  <si>
    <t>Chaminé Gerador 4</t>
  </si>
  <si>
    <t>Chaminé Gerador 5</t>
  </si>
  <si>
    <t>Chaminé Gerador 6</t>
  </si>
  <si>
    <t>Chaminé Gerador 7</t>
  </si>
  <si>
    <t>Chaminé Gerador 8</t>
  </si>
  <si>
    <t>Chaminé Gerador 9</t>
  </si>
  <si>
    <t>Chaminé Gerador 10</t>
  </si>
  <si>
    <t>Chaminé Gerador 11</t>
  </si>
  <si>
    <t>Chaminé Gerador 12</t>
  </si>
  <si>
    <t>Chaminé Gerador 13</t>
  </si>
  <si>
    <t>Chaminé Gerador 14</t>
  </si>
  <si>
    <t>Chaminé Gerador 15</t>
  </si>
  <si>
    <t>Chaminé Gerador 16</t>
  </si>
  <si>
    <t>Chaminé Gerador 19</t>
  </si>
  <si>
    <t>Chaminé Gerador 20</t>
  </si>
  <si>
    <t>DATA</t>
  </si>
  <si>
    <t>UG01</t>
  </si>
  <si>
    <t>UG02</t>
  </si>
  <si>
    <t>UG03</t>
  </si>
  <si>
    <t>UG04</t>
  </si>
  <si>
    <t>UG05</t>
  </si>
  <si>
    <t>UG06</t>
  </si>
  <si>
    <t>UG07</t>
  </si>
  <si>
    <t>UG08</t>
  </si>
  <si>
    <t>UG09</t>
  </si>
  <si>
    <t>UG10</t>
  </si>
  <si>
    <t>UG11</t>
  </si>
  <si>
    <t>UG12</t>
  </si>
  <si>
    <t>UG13</t>
  </si>
  <si>
    <t>UG14</t>
  </si>
  <si>
    <t>UG15</t>
  </si>
  <si>
    <t>UG16</t>
  </si>
  <si>
    <t>UG17</t>
  </si>
  <si>
    <t>UG18</t>
  </si>
  <si>
    <t>UG19</t>
  </si>
  <si>
    <t>UG20</t>
  </si>
  <si>
    <t>TOTAL</t>
  </si>
  <si>
    <t>Consumo de Combustíveis (kg)</t>
  </si>
  <si>
    <t>Horas de Serviço (h)</t>
  </si>
  <si>
    <t>Diâmetro [m]</t>
  </si>
  <si>
    <t>Altura [m]</t>
  </si>
  <si>
    <t>1 kW = 0.0034095106405145 MMBtu</t>
  </si>
  <si>
    <t>Monitoramento</t>
  </si>
  <si>
    <t>Consumo</t>
  </si>
  <si>
    <t>Identificação do tanque</t>
  </si>
  <si>
    <t>Combustível</t>
  </si>
  <si>
    <t>Combustível Usado no TANKS</t>
  </si>
  <si>
    <t>Tipo de Teto</t>
  </si>
  <si>
    <t>Tipo de tanque</t>
  </si>
  <si>
    <t>Cor da Pintura do Tanque</t>
  </si>
  <si>
    <t>Diâmetro [ft]</t>
  </si>
  <si>
    <t>Altura [ft]</t>
  </si>
  <si>
    <t>Volume total [m³]</t>
  </si>
  <si>
    <t>Volume total [ft³]</t>
  </si>
  <si>
    <t>Volume útil [m³]</t>
  </si>
  <si>
    <t>Volume útil [gal]</t>
  </si>
  <si>
    <t>Volume armazenado [t/ano]</t>
  </si>
  <si>
    <t>Volume armazenado [bbl/ano]</t>
  </si>
  <si>
    <t>Óleo combustível OCB1</t>
  </si>
  <si>
    <t>Residual oil n. 6</t>
  </si>
  <si>
    <t>Cônico</t>
  </si>
  <si>
    <t>Fixo</t>
  </si>
  <si>
    <t>Preto</t>
  </si>
  <si>
    <t>Fonte de informação: USER’S GUIDE to TANKS</t>
  </si>
  <si>
    <t>Revest. s/ pintura</t>
  </si>
  <si>
    <t>Diesel</t>
  </si>
  <si>
    <t>Distillate fuel oil n. 2</t>
  </si>
  <si>
    <t>Branco</t>
  </si>
  <si>
    <t>Óleo lubrificante</t>
  </si>
  <si>
    <t>Vermelho</t>
  </si>
  <si>
    <t xml:space="preserve">Densidade OC-1B (kg/L): </t>
  </si>
  <si>
    <t xml:space="preserve">Densidade OC-1B (lb/gal): </t>
  </si>
  <si>
    <t>Conversão kg/L para lb/gal:</t>
  </si>
  <si>
    <t>Conversão metro para pés:</t>
  </si>
  <si>
    <t>Conversão metro cúbico para pés cúbicos:</t>
  </si>
  <si>
    <t>Conversão metro cúbico para galão:</t>
  </si>
  <si>
    <t>Fonte: Informações enviadas pelo empreendimento através dos Ofícios IEMA N° 564/2016</t>
  </si>
  <si>
    <t>Latitude [º]</t>
  </si>
  <si>
    <t>Longitude [º]</t>
  </si>
  <si>
    <t>Altura da Cúpula [m]</t>
  </si>
  <si>
    <t>Altura da Cúpula [ft]</t>
  </si>
  <si>
    <t>Altura máxima líquido [m]</t>
  </si>
  <si>
    <t>Altura máxima líquido [ft]</t>
  </si>
  <si>
    <t>Altura média líquido [m]</t>
  </si>
  <si>
    <t>Altura média líquido [ft]</t>
  </si>
  <si>
    <t>TQ-PAB901</t>
  </si>
  <si>
    <t>TQ-PAB 902</t>
  </si>
  <si>
    <t>TQ-PBA 901</t>
  </si>
  <si>
    <t>TQ-PBC 901</t>
  </si>
  <si>
    <t>TQ-PBF 901</t>
  </si>
  <si>
    <t>TQ-QAC 901</t>
  </si>
  <si>
    <t>Volume útil [gal] - Calculado pelo Tanks</t>
  </si>
  <si>
    <t>Conversão ppm para mg/m³:</t>
  </si>
  <si>
    <t>Equação Geral:</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</si>
  <si>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</si>
  <si>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</si>
  <si>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Fonte</t>
  </si>
  <si>
    <t xml:space="preserve">Temperatura [ºC] </t>
  </si>
  <si>
    <t xml:space="preserve">Temperatura [K] </t>
  </si>
  <si>
    <t>Pressão [atm]</t>
  </si>
  <si>
    <t>NO2</t>
  </si>
  <si>
    <t>NO</t>
  </si>
  <si>
    <t>CO</t>
  </si>
  <si>
    <t>O3</t>
  </si>
  <si>
    <t>H2S</t>
  </si>
  <si>
    <t>SO2</t>
  </si>
  <si>
    <t>HCl</t>
  </si>
  <si>
    <t>HF</t>
  </si>
  <si>
    <t>C3H8</t>
  </si>
  <si>
    <t>Benzeno</t>
  </si>
  <si>
    <t>CO2</t>
  </si>
  <si>
    <t>Conversão de lb/10³ gal para kg/10³ L ou kg/m³:</t>
  </si>
  <si>
    <t>Teor Enxofre Óleo combustível OCB1 (%):</t>
  </si>
  <si>
    <r>
      <t>NO</t>
    </r>
    <r>
      <rPr>
        <vertAlign val="subscript"/>
        <sz val="8"/>
        <color theme="1"/>
        <rFont val="Arial"/>
        <family val="2"/>
      </rPr>
      <t>X</t>
    </r>
  </si>
  <si>
    <t>PM</t>
  </si>
  <si>
    <r>
      <t>PM</t>
    </r>
    <r>
      <rPr>
        <b/>
        <vertAlign val="subscript"/>
        <sz val="8"/>
        <color theme="0"/>
        <rFont val="Arial"/>
        <family val="2"/>
      </rPr>
      <t>10</t>
    </r>
  </si>
  <si>
    <r>
      <t>PM</t>
    </r>
    <r>
      <rPr>
        <b/>
        <vertAlign val="subscript"/>
        <sz val="8"/>
        <color theme="0"/>
        <rFont val="Arial"/>
        <family val="2"/>
      </rPr>
      <t>2,5</t>
    </r>
  </si>
  <si>
    <r>
      <t>NO</t>
    </r>
    <r>
      <rPr>
        <b/>
        <vertAlign val="subscript"/>
        <sz val="8"/>
        <color theme="0"/>
        <rFont val="Arial"/>
        <family val="2"/>
      </rPr>
      <t>X</t>
    </r>
  </si>
  <si>
    <r>
      <t>SO</t>
    </r>
    <r>
      <rPr>
        <b/>
        <vertAlign val="subscript"/>
        <sz val="8"/>
        <color theme="0"/>
        <rFont val="Arial"/>
        <family val="2"/>
      </rPr>
      <t>2</t>
    </r>
  </si>
  <si>
    <r>
      <t>Concentração NO</t>
    </r>
    <r>
      <rPr>
        <b/>
        <vertAlign val="subscript"/>
        <sz val="8"/>
        <color theme="1"/>
        <rFont val="Arial"/>
        <family val="2"/>
      </rPr>
      <t>X</t>
    </r>
    <r>
      <rPr>
        <b/>
        <sz val="8"/>
        <color theme="1"/>
        <rFont val="Arial"/>
        <family val="2"/>
      </rPr>
      <t xml:space="preserve"> [mg/m³]</t>
    </r>
  </si>
  <si>
    <r>
      <t>Concentração NO</t>
    </r>
    <r>
      <rPr>
        <b/>
        <vertAlign val="subscript"/>
        <sz val="8"/>
        <color theme="1"/>
        <rFont val="Arial"/>
        <family val="2"/>
      </rPr>
      <t>x</t>
    </r>
    <r>
      <rPr>
        <b/>
        <sz val="8"/>
        <color theme="1"/>
        <rFont val="Arial"/>
        <family val="2"/>
      </rPr>
      <t xml:space="preserve"> [ppm]</t>
    </r>
  </si>
  <si>
    <t>Taxa de Emissão [kg/h]</t>
  </si>
  <si>
    <r>
      <t>PM</t>
    </r>
    <r>
      <rPr>
        <b/>
        <vertAlign val="subscript"/>
        <sz val="8"/>
        <color theme="0"/>
        <rFont val="Arial"/>
        <family val="2"/>
      </rPr>
      <t>2.5</t>
    </r>
  </si>
  <si>
    <t>Chaminés dos Geradores</t>
  </si>
  <si>
    <t>Tanques</t>
  </si>
  <si>
    <t>Altura Real da Cúpula [ft]</t>
  </si>
  <si>
    <t>Referências: AP-42 (EPA, 1996) - https://www3.epa.gov/ttn/chief/ap42/ch03/final/c03s04.pdf</t>
  </si>
  <si>
    <t>Table 3.4-1 - GASEOUS EMISSION FACTORS FOR LARGE STATIONARY DIESEL AND ALL STATIONARY DUAL-FUEL ENGINES</t>
  </si>
  <si>
    <t>Pollutant</t>
  </si>
  <si>
    <t>Diesel Fuel</t>
  </si>
  <si>
    <t>Emission Factor (lb/hp-hr)
(power output)</t>
  </si>
  <si>
    <t>Emission Factor (kg/KW-hr)
(power output)</t>
  </si>
  <si>
    <t>Emission Factor (lb/MMBtu)
(fuel input)</t>
  </si>
  <si>
    <t>Emission Factor (ng/J)
(power output)</t>
  </si>
  <si>
    <t>Emission Factor (kg/MWh)
(power output)</t>
  </si>
  <si>
    <t>Emission Factor Rating</t>
  </si>
  <si>
    <t xml:space="preserve">  Uncontrolled</t>
  </si>
  <si>
    <t>B</t>
  </si>
  <si>
    <t xml:space="preserve">  Controlled</t>
  </si>
  <si>
    <t>C</t>
  </si>
  <si>
    <r>
      <t>SO</t>
    </r>
    <r>
      <rPr>
        <vertAlign val="subscript"/>
        <sz val="8"/>
        <color theme="1"/>
        <rFont val="Arial"/>
        <family val="2"/>
      </rPr>
      <t>X</t>
    </r>
  </si>
  <si>
    <t>8,09*10^-3*S</t>
  </si>
  <si>
    <t>1,01*S</t>
  </si>
  <si>
    <r>
      <t>CO</t>
    </r>
    <r>
      <rPr>
        <vertAlign val="subscript"/>
        <sz val="8"/>
        <color theme="1"/>
        <rFont val="Arial"/>
        <family val="2"/>
      </rPr>
      <t>2</t>
    </r>
  </si>
  <si>
    <r>
      <t>TOC (CH</t>
    </r>
    <r>
      <rPr>
        <vertAlign val="subscript"/>
        <sz val="8"/>
        <color theme="1"/>
        <rFont val="Arial"/>
        <family val="2"/>
      </rPr>
      <t>4</t>
    </r>
    <r>
      <rPr>
        <sz val="8"/>
        <color theme="1"/>
        <rFont val="Arial"/>
        <family val="2"/>
      </rPr>
      <t>)</t>
    </r>
  </si>
  <si>
    <t>Methane</t>
  </si>
  <si>
    <t>E</t>
  </si>
  <si>
    <t>Nonmethane</t>
  </si>
  <si>
    <t>Tipo combustível:</t>
  </si>
  <si>
    <t>OC-1B</t>
  </si>
  <si>
    <t>Poder calorífico (kcal/kg)</t>
  </si>
  <si>
    <t>Enxofre total (% massa)</t>
  </si>
  <si>
    <t>Consumo médio combustível (kg/h)</t>
  </si>
  <si>
    <r>
      <t>Massa específica (kg/m</t>
    </r>
    <r>
      <rPr>
        <i/>
        <sz val="8"/>
        <color theme="1"/>
        <rFont val="Arial"/>
        <family val="2"/>
      </rPr>
      <t>³)</t>
    </r>
  </si>
  <si>
    <t>Dados Operacionais e de Monitoramento</t>
  </si>
  <si>
    <t xml:space="preserve">Valor Médio </t>
  </si>
  <si>
    <t>Combustível [kg/h]</t>
  </si>
  <si>
    <t>Combustível [L/h]</t>
  </si>
  <si>
    <t>TE PM [kg/h]</t>
  </si>
  <si>
    <t>TE NOx [kg/h]</t>
  </si>
  <si>
    <t>Fator de Emissão</t>
  </si>
  <si>
    <r>
      <t>Relação PM</t>
    </r>
    <r>
      <rPr>
        <vertAlign val="subscript"/>
        <sz val="8"/>
        <color theme="1"/>
        <rFont val="Arial"/>
        <family val="2"/>
      </rPr>
      <t>10</t>
    </r>
    <r>
      <rPr>
        <sz val="8"/>
        <color theme="1"/>
        <rFont val="Arial"/>
        <family val="2"/>
      </rPr>
      <t>/PM</t>
    </r>
  </si>
  <si>
    <r>
      <t>Relação PM</t>
    </r>
    <r>
      <rPr>
        <vertAlign val="subscript"/>
        <sz val="8"/>
        <color theme="1"/>
        <rFont val="Arial"/>
        <family val="2"/>
      </rPr>
      <t>2.5</t>
    </r>
    <r>
      <rPr>
        <sz val="8"/>
        <color theme="1"/>
        <rFont val="Arial"/>
        <family val="2"/>
      </rPr>
      <t>/PM</t>
    </r>
    <r>
      <rPr>
        <vertAlign val="subscript"/>
        <sz val="8"/>
        <color theme="1"/>
        <rFont val="Arial"/>
        <family val="2"/>
      </rPr>
      <t>10</t>
    </r>
  </si>
  <si>
    <t>FE PM [kg/L]</t>
  </si>
  <si>
    <t>FE NOx [kg/L]</t>
  </si>
  <si>
    <t>Densidade OCB1 [kg/L]</t>
  </si>
  <si>
    <r>
      <t>FE SO</t>
    </r>
    <r>
      <rPr>
        <vertAlign val="subscript"/>
        <sz val="8"/>
        <color theme="1"/>
        <rFont val="Arial"/>
        <family val="2"/>
      </rPr>
      <t>2</t>
    </r>
    <r>
      <rPr>
        <sz val="8"/>
        <color theme="1"/>
        <rFont val="Arial"/>
        <family val="2"/>
      </rPr>
      <t xml:space="preserve"> [kg/L]</t>
    </r>
  </si>
  <si>
    <r>
      <t>TE SO</t>
    </r>
    <r>
      <rPr>
        <vertAlign val="subscript"/>
        <sz val="8"/>
        <color theme="1"/>
        <rFont val="Arial"/>
        <family val="2"/>
      </rPr>
      <t>2</t>
    </r>
    <r>
      <rPr>
        <sz val="8"/>
        <color theme="1"/>
        <rFont val="Arial"/>
        <family val="2"/>
      </rPr>
      <t xml:space="preserve"> [kg/h]</t>
    </r>
  </si>
  <si>
    <t>Geração de Energia - 2015</t>
  </si>
  <si>
    <t>Capacidade Instalada (MWh)</t>
  </si>
  <si>
    <t>Capacidade Instalada/Gerador (MWh)</t>
  </si>
  <si>
    <t>Total (MWh)</t>
  </si>
  <si>
    <t>Por Gerador (KWh)</t>
  </si>
  <si>
    <t>Massa Molar NOx</t>
  </si>
  <si>
    <r>
      <t>NOx = (95% NO e 5% NO</t>
    </r>
    <r>
      <rPr>
        <vertAlign val="subscript"/>
        <sz val="8"/>
        <color theme="1"/>
        <rFont val="Arial"/>
        <family val="2"/>
      </rPr>
      <t>2</t>
    </r>
    <r>
      <rPr>
        <sz val="8"/>
        <color theme="1"/>
        <rFont val="Arial"/>
        <family val="2"/>
      </rPr>
      <t>)</t>
    </r>
  </si>
  <si>
    <t>Teor de enxofre (%)</t>
  </si>
  <si>
    <t>Distúrbios por ano</t>
  </si>
  <si>
    <t>Temperatura [ºC]</t>
  </si>
  <si>
    <t>Percentual de Horas Trabalhadas [%]</t>
  </si>
  <si>
    <t>[m³/h]</t>
  </si>
  <si>
    <t>[Nm³/h]</t>
  </si>
  <si>
    <t>PM [kg/h]</t>
  </si>
  <si>
    <t xml:space="preserve">NOx [kg/h] </t>
  </si>
  <si>
    <t>[L/h]</t>
  </si>
  <si>
    <t xml:space="preserve">NOx [mg/m³] </t>
  </si>
  <si>
    <r>
      <t>SO</t>
    </r>
    <r>
      <rPr>
        <b/>
        <vertAlign val="subscript"/>
        <sz val="8"/>
        <color theme="0"/>
        <rFont val="Arial"/>
        <family val="2"/>
      </rPr>
      <t xml:space="preserve">2 </t>
    </r>
    <r>
      <rPr>
        <b/>
        <sz val="8"/>
        <color theme="0"/>
        <rFont val="Arial"/>
        <family val="2"/>
      </rPr>
      <t>[kg/h]</t>
    </r>
  </si>
  <si>
    <t>For surge tanks or constant level tanks, the number of turnovers calculated by dividing the throughput by the working volume may be excessively high. In this case, the number of turnovers should be adjusted by multiplying by the average change in the liquid height in feet and dividing by the maximum liquid height. Enter this computed value as the turnover rate, or enter 4 as a default turnover rate. Then, adjust the net throughput by multiplying the adjusted turnovers by the working</t>
  </si>
  <si>
    <t>Emissão dos Tanques [lbs/ano]</t>
  </si>
  <si>
    <t>Emissão dos Tanques [kg/h]</t>
  </si>
  <si>
    <t>Emissão dos Tanques [t/ano]</t>
  </si>
  <si>
    <t>Fonte: Informações fornecidos pelo empreendimento através do Ofício N° 564/2016</t>
  </si>
  <si>
    <t>VOC</t>
  </si>
  <si>
    <r>
      <t>FE [proporção dados medidos (PM, NOx e SO</t>
    </r>
    <r>
      <rPr>
        <b/>
        <vertAlign val="subscript"/>
        <sz val="8"/>
        <color theme="0"/>
        <rFont val="Arial"/>
        <family val="2"/>
      </rPr>
      <t>2</t>
    </r>
    <r>
      <rPr>
        <b/>
        <sz val="8"/>
        <color theme="0"/>
        <rFont val="Arial"/>
        <family val="2"/>
      </rPr>
      <t>) - (kg/L)]  FE [CO e COV] - (kg/KW-hr)</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</si>
</sst>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
    <numFmt numFmtId="165" formatCode="0.0"/>
    <numFmt numFmtId="166" formatCode="0.00000"/>
    <numFmt numFmtId="167" formatCode="0.0000"/>
    <numFmt numFmtId="168" formatCode="0.000"/>
    <numFmt numFmtId="169" formatCode="#,##0.000"/>
    <numFmt numFmtId="170" formatCode="0.0%"/>
    <numFmt numFmtId="171" formatCode="[&gt;=0.005]\ #,##0.00;[&lt;0.005]&quot;&lt;0,01&quot;"/>
  </numFmts>
  <fonts count="16" x14ac:knownFonts="1">
    <font>
      <sz val="11"/>
      <color theme="1"/>
      <name val="Calibri"/>
      <family val="2"/>
      <scheme val="minor"/>
    </font>
    <font>
      <sz val="8"/>
      <color theme="1"/>
      <name val="Arial"/>
      <family val="2"/>
    </font>
    <font>
      <sz val="11"/>
      <color theme="1"/>
      <name val="Calibri"/>
      <family val="2"/>
      <scheme val="minor"/>
    </font>
    <font>
      <vertAlign val="subscript"/>
      <sz val="8"/>
      <color theme="1"/>
      <name val="Arial"/>
      <family val="2"/>
    </font>
    <font>
      <vertAlign val="superscript"/>
      <sz val="8"/>
      <color theme="1"/>
      <name val="Arial"/>
      <family val="2"/>
    </font>
    <font>
      <b/>
      <sz val="8"/>
      <color theme="1"/>
      <name val="Arial"/>
      <family val="2"/>
    </font>
    <font>
      <sz val="8"/>
      <color theme="0"/>
      <name val="Arial"/>
      <family val="2"/>
    </font>
    <font>
      <sz val="9"/>
      <color indexed="81"/>
      <name val="Segoe UI"/>
      <family val="2"/>
    </font>
    <font>
      <sz val="8"/>
      <name val="Arial"/>
      <family val="2"/>
    </font>
    <font>
      <b/>
      <sz val="8"/>
      <color theme="0"/>
      <name val="Arial"/>
      <family val="2"/>
    </font>
    <font>
      <sz val="8"/>
      <color rgb="FFFF0000"/>
      <name val="Arial"/>
      <family val="2"/>
    </font>
    <font>
      <b/>
      <i/>
      <sz val="8"/>
      <color theme="1"/>
      <name val="Arial"/>
      <family val="2"/>
    </font>
    <font>
      <b/>
      <vertAlign val="subscript"/>
      <sz val="8"/>
      <color theme="1"/>
      <name val="Arial"/>
      <family val="2"/>
    </font>
    <font>
      <b/>
      <vertAlign val="subscript"/>
      <sz val="8"/>
      <color theme="0"/>
      <name val="Arial"/>
      <family val="2"/>
    </font>
    <font>
      <i/>
      <sz val="8"/>
      <color theme="1"/>
      <name val="Arial"/>
      <family val="2"/>
    </font>
    <font>
      <b/>
      <sz val="9"/>
      <color indexed="81"/>
      <name val="Segoe UI"/>
      <family val="2"/>
    </font>
  </fonts>
  <fills count="9">
    <fill>
      <patternFill patternType="none"/>
    </fill>
    <fill>
      <patternFill patternType="gray125"/>
    </fill>
    <fill>
      <patternFill patternType="solid">
        <fgColor rgb="FF4F81BD"/>
        <bgColor indexed="64"/>
      </patternFill>
    </fill>
    <fill>
      <patternFill patternType="solid">
        <fgColor theme="0"/>
        <bgColor indexed="64"/>
      </patternFill>
    </fill>
    <fill>
      <patternFill patternType="solid">
        <fgColor rgb="FFFFFFCC"/>
        <bgColor indexed="64"/>
      </patternFill>
    </fill>
    <fill>
      <patternFill patternType="solid">
        <fgColor rgb="FFDCE6F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top style="thin">
        <color theme="0" tint="-0.24994659260841701"/>
      </top>
      <bottom style="thin">
        <color theme="0" tint="-0.24994659260841701"/>
      </bottom>
      <diagonal/>
    </border>
    <border>
      <left/>
      <right/>
      <top style="thin">
        <color rgb="FFD9D9D9"/>
      </top>
      <bottom style="thin">
        <color rgb="FFD9D9D9"/>
      </bottom>
      <diagonal/>
    </border>
    <border>
      <left style="thin">
        <color rgb="FFD9D9D9"/>
      </left>
      <right style="thin">
        <color rgb="FFD9D9D9"/>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rgb="FFD9D9D9"/>
      </right>
      <top style="thin">
        <color rgb="FFD9D9D9"/>
      </top>
      <bottom/>
      <diagonal/>
    </border>
    <border>
      <left style="thin">
        <color theme="0"/>
      </left>
      <right style="thin">
        <color theme="0"/>
      </right>
      <top style="thin">
        <color theme="0"/>
      </top>
      <bottom/>
      <diagonal/>
    </border>
    <border>
      <left/>
      <right/>
      <top style="thin">
        <color rgb="FFD9D9D9"/>
      </top>
      <bottom/>
      <diagonal/>
    </border>
    <border>
      <left style="thin">
        <color rgb="FFD9D9D9"/>
      </left>
      <right/>
      <top/>
      <bottom/>
      <diagonal/>
    </border>
    <border>
      <left/>
      <right style="thin">
        <color rgb="FFD9D9D9"/>
      </right>
      <top/>
      <bottom/>
      <diagonal/>
    </border>
    <border>
      <left style="thin">
        <color rgb="FFD9D9D9"/>
      </left>
      <right/>
      <top/>
      <bottom style="thin">
        <color rgb="FFD9D9D9"/>
      </bottom>
      <diagonal/>
    </border>
    <border>
      <left/>
      <right/>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indexed="64"/>
      </bottom>
      <diagonal/>
    </border>
    <border>
      <left/>
      <right/>
      <top style="thin">
        <color rgb="FFD9D9D9"/>
      </top>
      <bottom style="thin">
        <color indexed="64"/>
      </bottom>
      <diagonal/>
    </border>
    <border>
      <left/>
      <right style="thin">
        <color rgb="FFD9D9D9"/>
      </right>
      <top style="thin">
        <color rgb="FFD9D9D9"/>
      </top>
      <bottom style="thin">
        <color indexed="64"/>
      </bottom>
      <diagonal/>
    </border>
    <border>
      <left/>
      <right style="thin">
        <color rgb="FFD9D9D9"/>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34">
    <xf numFmtId="0" fontId="0" fillId="0" borderId="0" xfId="0"/>
    <xf numFmtId="0" fontId="1" fillId="0" borderId="0" xfId="0" applyFont="1" applyAlignment="1">
      <alignment vertical="center"/>
    </xf>
    <xf numFmtId="3" fontId="1" fillId="0" borderId="0" xfId="0" applyNumberFormat="1" applyFont="1" applyAlignment="1">
      <alignment vertical="center"/>
    </xf>
    <xf numFmtId="4" fontId="1" fillId="0" borderId="0" xfId="0" applyNumberFormat="1" applyFont="1" applyAlignment="1">
      <alignment vertical="center"/>
    </xf>
    <xf numFmtId="0" fontId="5" fillId="3" borderId="0" xfId="0" applyFont="1" applyFill="1" applyAlignment="1">
      <alignment vertical="center"/>
    </xf>
    <xf numFmtId="0" fontId="1" fillId="3" borderId="0" xfId="0" applyFont="1" applyFill="1" applyAlignment="1">
      <alignment horizontal="center" vertical="center" wrapText="1"/>
    </xf>
    <xf numFmtId="0" fontId="6" fillId="2" borderId="11" xfId="0" applyFont="1" applyFill="1" applyBorder="1" applyAlignment="1">
      <alignment horizontal="center" vertical="center" wrapText="1"/>
    </xf>
    <xf numFmtId="17" fontId="8" fillId="0" borderId="12" xfId="0" applyNumberFormat="1" applyFont="1" applyFill="1" applyBorder="1" applyAlignment="1">
      <alignment horizontal="center" vertical="center"/>
    </xf>
    <xf numFmtId="3" fontId="1" fillId="3" borderId="12" xfId="0" applyNumberFormat="1" applyFont="1" applyFill="1" applyBorder="1" applyAlignment="1">
      <alignment horizontal="center" vertical="center"/>
    </xf>
    <xf numFmtId="0" fontId="1" fillId="3" borderId="12" xfId="0" applyFont="1" applyFill="1" applyBorder="1" applyAlignment="1">
      <alignment vertical="center"/>
    </xf>
    <xf numFmtId="17" fontId="8" fillId="4" borderId="12" xfId="0" applyNumberFormat="1" applyFont="1" applyFill="1" applyBorder="1" applyAlignment="1">
      <alignment horizontal="center" vertical="center"/>
    </xf>
    <xf numFmtId="0" fontId="6" fillId="2" borderId="8" xfId="0" applyFont="1" applyFill="1" applyBorder="1" applyAlignment="1">
      <alignment horizontal="center" vertical="center" wrapText="1"/>
    </xf>
    <xf numFmtId="3" fontId="1" fillId="3" borderId="14" xfId="0" applyNumberFormat="1" applyFont="1" applyFill="1" applyBorder="1" applyAlignment="1">
      <alignment horizontal="center" vertical="center"/>
    </xf>
    <xf numFmtId="0" fontId="5" fillId="3" borderId="13" xfId="0" applyFont="1" applyFill="1" applyBorder="1" applyAlignment="1">
      <alignment vertical="center"/>
    </xf>
    <xf numFmtId="0" fontId="1" fillId="3" borderId="13" xfId="0" applyFont="1" applyFill="1" applyBorder="1" applyAlignment="1">
      <alignment horizontal="center" vertical="center" wrapText="1"/>
    </xf>
    <xf numFmtId="0" fontId="1" fillId="3" borderId="13" xfId="0" applyFont="1" applyFill="1" applyBorder="1" applyAlignment="1">
      <alignment vertical="center"/>
    </xf>
    <xf numFmtId="0" fontId="1" fillId="0" borderId="13" xfId="0" applyFont="1" applyBorder="1" applyAlignment="1">
      <alignment vertical="center"/>
    </xf>
    <xf numFmtId="0" fontId="1" fillId="0" borderId="0" xfId="0" applyFont="1" applyAlignment="1">
      <alignment horizontal="center" vertical="center"/>
    </xf>
    <xf numFmtId="3" fontId="1" fillId="0" borderId="13" xfId="0" applyNumberFormat="1" applyFont="1" applyBorder="1" applyAlignment="1">
      <alignment vertical="center"/>
    </xf>
    <xf numFmtId="0" fontId="1" fillId="0" borderId="1" xfId="0" applyFont="1" applyBorder="1" applyAlignment="1">
      <alignment horizontal="center" vertical="center"/>
    </xf>
    <xf numFmtId="0" fontId="0" fillId="0" borderId="0" xfId="0" applyAlignment="1">
      <alignment vertical="center"/>
    </xf>
    <xf numFmtId="0" fontId="1" fillId="0" borderId="1" xfId="0" applyFont="1" applyBorder="1" applyAlignment="1">
      <alignment horizontal="left" vertical="center"/>
    </xf>
    <xf numFmtId="164" fontId="1" fillId="0" borderId="1" xfId="0" applyNumberFormat="1" applyFont="1" applyBorder="1" applyAlignment="1">
      <alignment horizontal="center" vertical="center"/>
    </xf>
    <xf numFmtId="4"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3" fontId="1" fillId="0" borderId="1" xfId="1" applyNumberFormat="1" applyFont="1" applyBorder="1" applyAlignment="1">
      <alignment horizontal="center" vertical="center"/>
    </xf>
    <xf numFmtId="4" fontId="1" fillId="0" borderId="1" xfId="1" applyNumberFormat="1" applyFont="1" applyBorder="1" applyAlignment="1">
      <alignment horizontal="center" vertical="center"/>
    </xf>
    <xf numFmtId="164" fontId="1" fillId="0" borderId="1" xfId="1" applyNumberFormat="1" applyFont="1" applyBorder="1" applyAlignment="1">
      <alignment horizontal="center" vertical="center"/>
    </xf>
    <xf numFmtId="0" fontId="8" fillId="0" borderId="0" xfId="0" applyFont="1" applyAlignment="1">
      <alignment vertical="center"/>
    </xf>
    <xf numFmtId="3" fontId="8" fillId="0" borderId="0" xfId="0" applyNumberFormat="1"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164" fontId="8" fillId="0" borderId="0" xfId="0" applyNumberFormat="1" applyFont="1" applyAlignment="1">
      <alignment horizontal="center" vertical="center"/>
    </xf>
    <xf numFmtId="0" fontId="1" fillId="0" borderId="0" xfId="0" applyFont="1" applyFill="1" applyBorder="1" applyAlignment="1">
      <alignment horizontal="left" vertical="center"/>
    </xf>
    <xf numFmtId="2" fontId="1" fillId="0" borderId="0" xfId="0" applyNumberFormat="1" applyFont="1" applyAlignment="1">
      <alignment horizontal="center" vertical="center"/>
    </xf>
    <xf numFmtId="2" fontId="10" fillId="0" borderId="0" xfId="0" applyNumberFormat="1" applyFont="1" applyAlignment="1">
      <alignment horizontal="center" vertical="center"/>
    </xf>
    <xf numFmtId="2" fontId="1" fillId="0" borderId="0" xfId="0" applyNumberFormat="1" applyFont="1" applyBorder="1" applyAlignment="1">
      <alignment horizontal="center" vertical="center"/>
    </xf>
    <xf numFmtId="0" fontId="1" fillId="0" borderId="0" xfId="0" applyFont="1" applyFill="1" applyAlignment="1">
      <alignment vertical="center"/>
    </xf>
    <xf numFmtId="0" fontId="9" fillId="2" borderId="20" xfId="0" applyFont="1" applyFill="1" applyBorder="1" applyAlignment="1">
      <alignment horizontal="center" vertical="center" wrapText="1"/>
    </xf>
    <xf numFmtId="166" fontId="8" fillId="0" borderId="0" xfId="0" applyNumberFormat="1" applyFont="1" applyAlignment="1">
      <alignment horizontal="center" vertical="center"/>
    </xf>
    <xf numFmtId="2" fontId="8" fillId="0" borderId="0" xfId="0" applyNumberFormat="1" applyFont="1" applyAlignment="1">
      <alignment horizontal="center" vertical="center"/>
    </xf>
    <xf numFmtId="4" fontId="8" fillId="0" borderId="0" xfId="0" applyNumberFormat="1" applyFont="1" applyAlignment="1">
      <alignment horizontal="center" vertical="center"/>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8" fillId="0" borderId="0" xfId="0" applyFont="1" applyFill="1" applyBorder="1" applyAlignment="1">
      <alignment horizontal="center" vertical="center"/>
    </xf>
    <xf numFmtId="165" fontId="8" fillId="0" borderId="0" xfId="0" applyNumberFormat="1" applyFont="1" applyFill="1" applyBorder="1" applyAlignment="1">
      <alignment horizontal="center" vertical="center"/>
    </xf>
    <xf numFmtId="3" fontId="8" fillId="0" borderId="0" xfId="0" applyNumberFormat="1" applyFont="1" applyFill="1" applyBorder="1" applyAlignment="1">
      <alignment horizontal="center" vertical="center"/>
    </xf>
    <xf numFmtId="0" fontId="1" fillId="0" borderId="0" xfId="0" applyFont="1"/>
    <xf numFmtId="0" fontId="5" fillId="0" borderId="0" xfId="0" applyFont="1" applyAlignment="1">
      <alignment horizontal="center" vertical="center"/>
    </xf>
    <xf numFmtId="4" fontId="1" fillId="0" borderId="0" xfId="0" applyNumberFormat="1" applyFont="1" applyAlignment="1">
      <alignment horizontal="center" vertical="center"/>
    </xf>
    <xf numFmtId="3"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0" fontId="1" fillId="0" borderId="1" xfId="0" applyFont="1" applyBorder="1" applyAlignment="1">
      <alignment horizontal="center" vertical="center"/>
    </xf>
    <xf numFmtId="1" fontId="1" fillId="0" borderId="0" xfId="0" applyNumberFormat="1" applyFont="1" applyFill="1" applyAlignment="1">
      <alignment horizontal="left" vertical="center"/>
    </xf>
    <xf numFmtId="2" fontId="1" fillId="0" borderId="0" xfId="0" applyNumberFormat="1" applyFont="1" applyFill="1" applyAlignment="1">
      <alignment horizontal="left" vertical="center"/>
    </xf>
    <xf numFmtId="0" fontId="1" fillId="5" borderId="7" xfId="0" applyFont="1" applyFill="1" applyBorder="1" applyAlignment="1">
      <alignment horizontal="center" vertical="center" wrapText="1"/>
    </xf>
    <xf numFmtId="0" fontId="5" fillId="0" borderId="7" xfId="0" applyFont="1" applyBorder="1" applyAlignment="1">
      <alignment vertical="center"/>
    </xf>
    <xf numFmtId="0" fontId="5" fillId="0" borderId="7" xfId="0" applyFont="1" applyBorder="1" applyAlignment="1">
      <alignment horizontal="center" vertical="center"/>
    </xf>
    <xf numFmtId="2" fontId="5" fillId="0" borderId="7" xfId="0" applyNumberFormat="1" applyFont="1" applyBorder="1" applyAlignment="1">
      <alignment horizontal="center" vertical="center"/>
    </xf>
    <xf numFmtId="0" fontId="5" fillId="0" borderId="0" xfId="0" applyFont="1" applyAlignment="1">
      <alignment vertical="center"/>
    </xf>
    <xf numFmtId="0" fontId="9" fillId="2" borderId="11" xfId="0" applyFont="1" applyFill="1" applyBorder="1" applyAlignment="1">
      <alignment horizontal="center" vertical="center"/>
    </xf>
    <xf numFmtId="0" fontId="1" fillId="0" borderId="0" xfId="0" applyFont="1" applyAlignment="1">
      <alignment horizontal="right" vertical="center"/>
    </xf>
    <xf numFmtId="10" fontId="1" fillId="0" borderId="0" xfId="2" applyNumberFormat="1" applyFont="1" applyAlignment="1">
      <alignment vertical="center"/>
    </xf>
    <xf numFmtId="3" fontId="8" fillId="0" borderId="0" xfId="0" applyNumberFormat="1" applyFont="1" applyFill="1" applyAlignment="1">
      <alignment horizontal="center" vertical="center"/>
    </xf>
    <xf numFmtId="0" fontId="9" fillId="2" borderId="7" xfId="0" applyFont="1" applyFill="1" applyBorder="1" applyAlignment="1">
      <alignment horizontal="center" vertical="center"/>
    </xf>
    <xf numFmtId="0" fontId="1" fillId="0" borderId="12" xfId="0" applyFont="1" applyBorder="1" applyAlignment="1">
      <alignment horizontal="left" vertical="center"/>
    </xf>
    <xf numFmtId="0" fontId="1" fillId="0" borderId="32" xfId="0" applyFont="1" applyBorder="1" applyAlignment="1">
      <alignment horizontal="left" vertical="center"/>
    </xf>
    <xf numFmtId="0" fontId="1" fillId="0" borderId="0" xfId="0" applyFont="1" applyAlignment="1">
      <alignment horizontal="center" vertical="center"/>
    </xf>
    <xf numFmtId="169" fontId="1" fillId="0" borderId="0" xfId="0" applyNumberFormat="1" applyFont="1" applyAlignment="1">
      <alignment horizontal="center" vertical="center"/>
    </xf>
    <xf numFmtId="0" fontId="1" fillId="3" borderId="0" xfId="0" applyFont="1" applyFill="1" applyAlignment="1">
      <alignment vertical="center"/>
    </xf>
    <xf numFmtId="0" fontId="0" fillId="3" borderId="0" xfId="0" applyFill="1"/>
    <xf numFmtId="0" fontId="1" fillId="0" borderId="7" xfId="0" applyFont="1" applyBorder="1" applyAlignment="1">
      <alignment vertical="center"/>
    </xf>
    <xf numFmtId="0" fontId="1" fillId="0" borderId="7" xfId="0" applyFont="1" applyBorder="1" applyAlignment="1">
      <alignment horizontal="center" vertical="center"/>
    </xf>
    <xf numFmtId="168" fontId="1" fillId="0" borderId="7" xfId="0" applyNumberFormat="1" applyFont="1" applyBorder="1" applyAlignment="1">
      <alignment horizontal="center" vertical="center"/>
    </xf>
    <xf numFmtId="2" fontId="1" fillId="0" borderId="7" xfId="0" applyNumberFormat="1" applyFont="1" applyBorder="1" applyAlignment="1">
      <alignment horizontal="center" vertical="center"/>
    </xf>
    <xf numFmtId="3" fontId="1" fillId="0" borderId="7" xfId="0" applyNumberFormat="1" applyFont="1" applyBorder="1" applyAlignment="1">
      <alignment horizontal="center" vertical="center"/>
    </xf>
    <xf numFmtId="4" fontId="1" fillId="0" borderId="7" xfId="0" applyNumberFormat="1" applyFont="1" applyBorder="1" applyAlignment="1">
      <alignment horizontal="center" vertical="center"/>
    </xf>
    <xf numFmtId="0" fontId="1" fillId="0" borderId="7" xfId="0" applyFont="1" applyFill="1" applyBorder="1" applyAlignment="1">
      <alignment vertical="center"/>
    </xf>
    <xf numFmtId="0" fontId="1" fillId="0" borderId="7" xfId="0" applyFont="1" applyFill="1" applyBorder="1" applyAlignment="1">
      <alignment horizontal="center" vertical="center"/>
    </xf>
    <xf numFmtId="2" fontId="1" fillId="0" borderId="7" xfId="0" applyNumberFormat="1" applyFont="1" applyFill="1" applyBorder="1" applyAlignment="1">
      <alignment horizontal="center" vertical="center"/>
    </xf>
    <xf numFmtId="169" fontId="1" fillId="0" borderId="7" xfId="0" applyNumberFormat="1" applyFont="1" applyBorder="1" applyAlignment="1">
      <alignment horizontal="center" vertical="center"/>
    </xf>
    <xf numFmtId="1" fontId="1" fillId="0" borderId="7" xfId="0" applyNumberFormat="1" applyFont="1" applyBorder="1" applyAlignment="1">
      <alignment horizontal="center" vertical="center"/>
    </xf>
    <xf numFmtId="0" fontId="1" fillId="0" borderId="16" xfId="0" applyFont="1" applyFill="1" applyBorder="1" applyAlignment="1">
      <alignment vertical="center"/>
    </xf>
    <xf numFmtId="167" fontId="1" fillId="0" borderId="7" xfId="0" applyNumberFormat="1" applyFont="1" applyBorder="1" applyAlignment="1">
      <alignment horizontal="center" vertical="center"/>
    </xf>
    <xf numFmtId="166" fontId="1" fillId="0" borderId="7" xfId="0" applyNumberFormat="1" applyFont="1" applyBorder="1" applyAlignment="1">
      <alignment horizontal="center" vertical="center"/>
    </xf>
    <xf numFmtId="0" fontId="1" fillId="0" borderId="16" xfId="0" applyFont="1" applyFill="1" applyBorder="1" applyAlignment="1">
      <alignment horizontal="center" vertical="center"/>
    </xf>
    <xf numFmtId="0" fontId="1" fillId="0" borderId="0" xfId="0" applyFont="1" applyFill="1" applyBorder="1" applyAlignment="1">
      <alignment horizontal="left"/>
    </xf>
    <xf numFmtId="0" fontId="1" fillId="0" borderId="0" xfId="0"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alignment horizontal="center" vertical="center"/>
    </xf>
    <xf numFmtId="3" fontId="1" fillId="0" borderId="0" xfId="0" applyNumberFormat="1" applyFont="1" applyFill="1" applyBorder="1" applyAlignment="1">
      <alignment horizontal="center" vertical="center"/>
    </xf>
    <xf numFmtId="4" fontId="1"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vertical="center"/>
    </xf>
    <xf numFmtId="1" fontId="0" fillId="0" borderId="0" xfId="0" applyNumberFormat="1" applyAlignment="1">
      <alignment vertical="center"/>
    </xf>
    <xf numFmtId="164" fontId="1" fillId="0" borderId="0" xfId="1" applyNumberFormat="1" applyFont="1" applyFill="1" applyBorder="1" applyAlignment="1">
      <alignment horizontal="center" vertical="center"/>
    </xf>
    <xf numFmtId="4" fontId="1" fillId="0" borderId="0" xfId="1" applyNumberFormat="1" applyFont="1" applyFill="1" applyBorder="1" applyAlignment="1">
      <alignment horizontal="center" vertical="center"/>
    </xf>
    <xf numFmtId="0" fontId="1" fillId="8" borderId="1" xfId="0" applyFont="1" applyFill="1" applyBorder="1" applyAlignment="1">
      <alignment horizontal="center" vertical="center"/>
    </xf>
    <xf numFmtId="168" fontId="1" fillId="0" borderId="1" xfId="0" applyNumberFormat="1" applyFont="1" applyBorder="1" applyAlignment="1">
      <alignment horizontal="center" vertical="center"/>
    </xf>
    <xf numFmtId="0" fontId="1" fillId="0" borderId="0" xfId="0" applyFont="1" applyFill="1" applyBorder="1" applyAlignment="1">
      <alignment vertical="center"/>
    </xf>
    <xf numFmtId="0" fontId="8" fillId="0" borderId="0" xfId="0" applyFont="1" applyFill="1" applyAlignment="1">
      <alignment vertical="center"/>
    </xf>
    <xf numFmtId="168" fontId="5" fillId="0" borderId="7" xfId="0" applyNumberFormat="1" applyFont="1" applyBorder="1" applyAlignment="1">
      <alignment horizontal="center" vertical="center"/>
    </xf>
    <xf numFmtId="3" fontId="5" fillId="0" borderId="7" xfId="0" applyNumberFormat="1" applyFont="1" applyBorder="1" applyAlignment="1">
      <alignment horizontal="center" vertical="center"/>
    </xf>
    <xf numFmtId="4" fontId="5" fillId="0" borderId="7" xfId="0" applyNumberFormat="1" applyFont="1" applyBorder="1" applyAlignment="1">
      <alignment horizontal="center" vertical="center"/>
    </xf>
    <xf numFmtId="0" fontId="5" fillId="0" borderId="16" xfId="0" applyFont="1" applyFill="1" applyBorder="1" applyAlignment="1">
      <alignment vertical="center"/>
    </xf>
    <xf numFmtId="167" fontId="5" fillId="0" borderId="7" xfId="0" applyNumberFormat="1" applyFont="1" applyBorder="1" applyAlignment="1">
      <alignment horizontal="center" vertical="center"/>
    </xf>
    <xf numFmtId="0" fontId="5" fillId="0" borderId="16" xfId="0" applyFont="1" applyFill="1" applyBorder="1" applyAlignment="1">
      <alignment horizontal="center" vertical="center"/>
    </xf>
    <xf numFmtId="0" fontId="1" fillId="0" borderId="0" xfId="0" applyFont="1" applyBorder="1" applyAlignment="1">
      <alignment vertical="center"/>
    </xf>
    <xf numFmtId="0" fontId="9" fillId="2" borderId="11" xfId="0" applyFont="1" applyFill="1" applyBorder="1" applyAlignment="1">
      <alignment horizontal="center" vertical="center"/>
    </xf>
    <xf numFmtId="167" fontId="1" fillId="0" borderId="0" xfId="0" applyNumberFormat="1" applyFont="1" applyBorder="1" applyAlignment="1">
      <alignment horizontal="center" vertical="center"/>
    </xf>
    <xf numFmtId="167" fontId="8" fillId="0" borderId="0" xfId="0" applyNumberFormat="1" applyFont="1" applyFill="1" applyBorder="1" applyAlignment="1">
      <alignment horizontal="center" vertical="center"/>
    </xf>
    <xf numFmtId="0" fontId="0" fillId="0" borderId="0" xfId="0" applyBorder="1"/>
    <xf numFmtId="0" fontId="1" fillId="7" borderId="0" xfId="0" applyFont="1" applyFill="1" applyBorder="1" applyAlignment="1">
      <alignment horizontal="center" vertical="center"/>
    </xf>
    <xf numFmtId="0" fontId="1" fillId="7" borderId="0" xfId="0" applyFont="1" applyFill="1" applyBorder="1" applyAlignment="1">
      <alignment horizontal="center" vertical="center" wrapText="1"/>
    </xf>
    <xf numFmtId="4" fontId="1" fillId="0" borderId="0" xfId="0" applyNumberFormat="1" applyFont="1" applyBorder="1" applyAlignment="1">
      <alignment horizontal="center" vertical="center"/>
    </xf>
    <xf numFmtId="165" fontId="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170" fontId="1" fillId="0" borderId="0" xfId="0" applyNumberFormat="1" applyFont="1" applyFill="1" applyBorder="1" applyAlignment="1">
      <alignment horizontal="center" vertical="center"/>
    </xf>
    <xf numFmtId="0" fontId="1" fillId="0" borderId="0" xfId="0" applyFont="1" applyBorder="1" applyAlignment="1">
      <alignment horizontal="center" vertical="center"/>
    </xf>
    <xf numFmtId="168" fontId="1" fillId="0" borderId="0" xfId="0" applyNumberFormat="1" applyFont="1" applyBorder="1" applyAlignment="1">
      <alignment horizontal="center" vertical="center"/>
    </xf>
    <xf numFmtId="166" fontId="1" fillId="0" borderId="0" xfId="0" applyNumberFormat="1" applyFont="1" applyBorder="1" applyAlignment="1">
      <alignment horizontal="center" vertical="center"/>
    </xf>
    <xf numFmtId="164" fontId="8" fillId="0" borderId="0" xfId="0" applyNumberFormat="1" applyFont="1" applyFill="1" applyBorder="1" applyAlignment="1">
      <alignment horizontal="center" vertical="center"/>
    </xf>
    <xf numFmtId="170" fontId="8" fillId="0" borderId="0" xfId="0" applyNumberFormat="1" applyFont="1" applyFill="1" applyBorder="1" applyAlignment="1">
      <alignment horizontal="center" vertical="center"/>
    </xf>
    <xf numFmtId="4" fontId="8" fillId="0" borderId="0" xfId="0" applyNumberFormat="1" applyFont="1" applyFill="1" applyBorder="1" applyAlignment="1">
      <alignment horizontal="center" vertical="center"/>
    </xf>
    <xf numFmtId="167" fontId="8" fillId="0" borderId="0" xfId="0" applyNumberFormat="1" applyFont="1" applyBorder="1" applyAlignment="1">
      <alignment horizontal="center" vertical="center"/>
    </xf>
    <xf numFmtId="2" fontId="8" fillId="0" borderId="0" xfId="0" applyNumberFormat="1" applyFont="1" applyBorder="1" applyAlignment="1">
      <alignment horizontal="center" vertical="center"/>
    </xf>
    <xf numFmtId="168" fontId="8" fillId="0" borderId="0" xfId="0" applyNumberFormat="1" applyFont="1" applyBorder="1" applyAlignment="1">
      <alignment horizontal="center" vertical="center"/>
    </xf>
    <xf numFmtId="166" fontId="8" fillId="0" borderId="0" xfId="0" applyNumberFormat="1" applyFont="1" applyBorder="1" applyAlignment="1">
      <alignment horizontal="center" vertical="center"/>
    </xf>
    <xf numFmtId="165" fontId="8" fillId="0" borderId="0" xfId="0" applyNumberFormat="1" applyFont="1" applyBorder="1" applyAlignment="1">
      <alignment horizontal="center" vertical="center"/>
    </xf>
    <xf numFmtId="3" fontId="8" fillId="0" borderId="0" xfId="0" applyNumberFormat="1" applyFont="1" applyBorder="1" applyAlignment="1">
      <alignment horizontal="center" vertical="center"/>
    </xf>
    <xf numFmtId="170" fontId="8" fillId="0" borderId="0" xfId="0" applyNumberFormat="1" applyFont="1" applyBorder="1" applyAlignment="1">
      <alignment horizontal="center" vertical="center"/>
    </xf>
    <xf numFmtId="0" fontId="8" fillId="0" borderId="0" xfId="0" applyFont="1" applyBorder="1" applyAlignment="1">
      <alignment horizontal="center" vertical="center"/>
    </xf>
    <xf numFmtId="0" fontId="8" fillId="0" borderId="0" xfId="0" applyFont="1" applyBorder="1" applyAlignment="1">
      <alignment vertical="center"/>
    </xf>
    <xf numFmtId="4" fontId="1" fillId="0" borderId="0" xfId="0" applyNumberFormat="1" applyFont="1" applyBorder="1" applyAlignment="1">
      <alignment vertical="center"/>
    </xf>
    <xf numFmtId="0" fontId="1" fillId="6" borderId="0" xfId="0" applyFont="1" applyFill="1" applyBorder="1" applyAlignment="1">
      <alignment horizontal="center" vertical="center"/>
    </xf>
    <xf numFmtId="4" fontId="1" fillId="0" borderId="0" xfId="0" applyNumberFormat="1" applyFont="1" applyBorder="1" applyAlignment="1">
      <alignment horizontal="center" vertical="center" wrapText="1"/>
    </xf>
    <xf numFmtId="0" fontId="9" fillId="2" borderId="11" xfId="0" applyNumberFormat="1" applyFont="1" applyFill="1" applyBorder="1" applyAlignment="1" applyProtection="1">
      <alignment horizontal="center" vertical="center" wrapText="1"/>
    </xf>
    <xf numFmtId="0" fontId="9" fillId="2" borderId="20" xfId="0" applyFont="1" applyFill="1" applyBorder="1" applyAlignment="1">
      <alignment horizontal="center" vertical="center"/>
    </xf>
    <xf numFmtId="164" fontId="1" fillId="5" borderId="0" xfId="0" applyNumberFormat="1" applyFont="1" applyFill="1" applyBorder="1" applyAlignment="1">
      <alignment horizontal="center" vertical="center"/>
    </xf>
    <xf numFmtId="3" fontId="1" fillId="4" borderId="12" xfId="0" applyNumberFormat="1" applyFont="1" applyFill="1" applyBorder="1" applyAlignment="1">
      <alignment horizontal="center" vertical="center"/>
    </xf>
    <xf numFmtId="3" fontId="1" fillId="4" borderId="14" xfId="0" applyNumberFormat="1" applyFont="1" applyFill="1" applyBorder="1" applyAlignment="1">
      <alignment horizontal="center" vertical="center"/>
    </xf>
    <xf numFmtId="168" fontId="1" fillId="5" borderId="18" xfId="0" applyNumberFormat="1" applyFont="1" applyFill="1" applyBorder="1" applyAlignment="1">
      <alignment horizontal="center" vertical="center"/>
    </xf>
    <xf numFmtId="0" fontId="1" fillId="0" borderId="0" xfId="0" applyFont="1" applyFill="1" applyAlignment="1">
      <alignment vertical="center" wrapText="1"/>
    </xf>
    <xf numFmtId="4" fontId="1" fillId="5" borderId="7"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3" fontId="1" fillId="0" borderId="0" xfId="0" applyNumberFormat="1" applyFont="1" applyBorder="1" applyAlignment="1">
      <alignment horizontal="left" vertical="center"/>
    </xf>
    <xf numFmtId="3" fontId="8" fillId="0" borderId="0" xfId="0" applyNumberFormat="1" applyFont="1" applyFill="1" applyBorder="1" applyAlignment="1">
      <alignment horizontal="left" vertical="center"/>
    </xf>
    <xf numFmtId="3" fontId="8" fillId="0" borderId="0" xfId="0" applyNumberFormat="1" applyFont="1" applyBorder="1" applyAlignment="1">
      <alignment horizontal="left" vertical="center"/>
    </xf>
    <xf numFmtId="2" fontId="1" fillId="5" borderId="18" xfId="0" applyNumberFormat="1" applyFont="1" applyFill="1" applyBorder="1" applyAlignment="1">
      <alignment horizontal="center" vertical="center"/>
    </xf>
    <xf numFmtId="171" fontId="1" fillId="5" borderId="33" xfId="0" applyNumberFormat="1" applyFont="1" applyFill="1" applyBorder="1" applyAlignment="1">
      <alignment horizontal="center" vertical="center"/>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6" fillId="2" borderId="7" xfId="0" applyFont="1" applyFill="1" applyBorder="1" applyAlignment="1">
      <alignment horizontal="center" vertical="center"/>
    </xf>
    <xf numFmtId="0" fontId="1" fillId="0" borderId="0" xfId="0" applyFont="1" applyAlignment="1">
      <alignment horizontal="center" vertical="center"/>
    </xf>
    <xf numFmtId="0" fontId="1" fillId="3" borderId="9"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2" xfId="0" applyFont="1" applyFill="1" applyBorder="1" applyAlignment="1">
      <alignment horizontal="center" vertical="center"/>
    </xf>
    <xf numFmtId="0" fontId="11" fillId="3" borderId="24"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8"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0" borderId="0" xfId="0" applyFont="1" applyAlignment="1">
      <alignment horizontal="center" vertical="center" wrapText="1"/>
    </xf>
    <xf numFmtId="0" fontId="1" fillId="5" borderId="7" xfId="0" applyFont="1" applyFill="1" applyBorder="1" applyAlignment="1">
      <alignment horizontal="center" vertical="center" wrapText="1"/>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0" borderId="9" xfId="0" applyFont="1" applyBorder="1" applyAlignment="1">
      <alignment horizontal="left" vertical="center"/>
    </xf>
    <xf numFmtId="0" fontId="1" fillId="0" borderId="15"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9" fillId="2" borderId="2" xfId="0" applyNumberFormat="1" applyFont="1" applyFill="1" applyBorder="1" applyAlignment="1" applyProtection="1">
      <alignment horizontal="center" vertical="center" wrapText="1"/>
    </xf>
    <xf numFmtId="0" fontId="9" fillId="2" borderId="3" xfId="0" applyNumberFormat="1" applyFont="1" applyFill="1" applyBorder="1" applyAlignment="1" applyProtection="1">
      <alignment horizontal="center" vertical="center" wrapText="1"/>
    </xf>
    <xf numFmtId="0" fontId="9" fillId="2" borderId="4" xfId="0" applyNumberFormat="1" applyFont="1" applyFill="1" applyBorder="1" applyAlignment="1" applyProtection="1">
      <alignment horizontal="center" vertical="center" wrapText="1"/>
    </xf>
    <xf numFmtId="0" fontId="9" fillId="2" borderId="28" xfId="0" applyNumberFormat="1" applyFont="1" applyFill="1" applyBorder="1" applyAlignment="1" applyProtection="1">
      <alignment horizontal="center" vertical="center" wrapText="1"/>
    </xf>
    <xf numFmtId="0" fontId="9" fillId="2" borderId="29" xfId="0" applyNumberFormat="1" applyFont="1" applyFill="1" applyBorder="1" applyAlignment="1" applyProtection="1">
      <alignment horizontal="center" vertical="center" wrapText="1"/>
    </xf>
    <xf numFmtId="0" fontId="9" fillId="2" borderId="30" xfId="0" applyNumberFormat="1" applyFont="1" applyFill="1" applyBorder="1" applyAlignment="1" applyProtection="1">
      <alignment horizontal="center" vertical="center" wrapText="1"/>
    </xf>
    <xf numFmtId="0" fontId="1" fillId="0" borderId="0" xfId="0" applyFont="1" applyFill="1" applyAlignment="1">
      <alignment horizontal="left" vertical="center"/>
    </xf>
    <xf numFmtId="0" fontId="1" fillId="0" borderId="0" xfId="0" applyFont="1" applyAlignment="1">
      <alignment horizontal="left" vertical="center"/>
    </xf>
    <xf numFmtId="0" fontId="9" fillId="2" borderId="8"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5" xfId="0" applyFont="1" applyFill="1" applyBorder="1" applyAlignment="1">
      <alignment horizontal="center" vertical="center"/>
    </xf>
    <xf numFmtId="0" fontId="9" fillId="2" borderId="26"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19" xfId="0" applyFont="1" applyFill="1" applyBorder="1" applyAlignment="1">
      <alignment horizontal="center" vertical="center"/>
    </xf>
    <xf numFmtId="0" fontId="1" fillId="7" borderId="0" xfId="0" applyFont="1" applyFill="1" applyBorder="1" applyAlignment="1">
      <alignment horizontal="center" vertical="center"/>
    </xf>
    <xf numFmtId="0" fontId="1" fillId="7" borderId="0" xfId="0" applyFont="1" applyFill="1" applyBorder="1" applyAlignment="1">
      <alignment horizontal="center" vertical="center" wrapText="1"/>
    </xf>
    <xf numFmtId="2" fontId="1" fillId="0" borderId="0" xfId="0" applyNumberFormat="1" applyFont="1" applyBorder="1" applyAlignment="1">
      <alignment horizontal="center" vertical="center"/>
    </xf>
    <xf numFmtId="0" fontId="9" fillId="2" borderId="11"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1" fillId="0" borderId="0" xfId="0" applyFont="1" applyBorder="1" applyAlignment="1">
      <alignment horizontal="center" vertical="center"/>
    </xf>
    <xf numFmtId="0" fontId="1" fillId="6" borderId="0" xfId="0" applyFont="1" applyFill="1" applyBorder="1" applyAlignment="1">
      <alignment horizontal="center" vertical="center"/>
    </xf>
    <xf numFmtId="0" fontId="1" fillId="6" borderId="0" xfId="0" applyFont="1" applyFill="1" applyBorder="1" applyAlignment="1">
      <alignment horizontal="center" vertical="center" wrapText="1"/>
    </xf>
    <xf numFmtId="0" fontId="1" fillId="5" borderId="0" xfId="0" applyFont="1" applyFill="1" applyBorder="1" applyAlignment="1">
      <alignment horizontal="center" vertical="center"/>
    </xf>
    <xf numFmtId="0" fontId="9" fillId="2" borderId="22" xfId="0" applyNumberFormat="1" applyFont="1" applyFill="1" applyBorder="1" applyAlignment="1" applyProtection="1">
      <alignment horizontal="center" vertical="center" wrapText="1"/>
    </xf>
    <xf numFmtId="0" fontId="9" fillId="2" borderId="0" xfId="0" applyNumberFormat="1" applyFont="1" applyFill="1" applyBorder="1" applyAlignment="1" applyProtection="1">
      <alignment horizontal="center" vertical="center" wrapText="1"/>
    </xf>
    <xf numFmtId="0" fontId="9" fillId="2" borderId="23" xfId="0" applyNumberFormat="1" applyFont="1" applyFill="1" applyBorder="1" applyAlignment="1" applyProtection="1">
      <alignment horizontal="center" vertical="center" wrapText="1"/>
    </xf>
    <xf numFmtId="0" fontId="1" fillId="5" borderId="17" xfId="0" applyFont="1" applyFill="1" applyBorder="1" applyAlignment="1">
      <alignment horizontal="center" vertical="center"/>
    </xf>
    <xf numFmtId="0" fontId="1" fillId="5" borderId="18" xfId="0" applyFont="1" applyFill="1" applyBorder="1" applyAlignment="1">
      <alignment horizontal="center" vertical="center"/>
    </xf>
    <xf numFmtId="0" fontId="8" fillId="0" borderId="0" xfId="0" applyFont="1" applyAlignment="1">
      <alignment horizontal="left" vertical="center" wrapText="1"/>
    </xf>
    <xf numFmtId="0" fontId="1" fillId="0" borderId="0" xfId="0" applyFont="1" applyFill="1" applyAlignment="1">
      <alignment horizontal="left" vertical="center" wrapText="1"/>
    </xf>
    <xf numFmtId="0" fontId="9" fillId="2" borderId="19" xfId="0" applyNumberFormat="1" applyFont="1" applyFill="1" applyBorder="1" applyAlignment="1" applyProtection="1">
      <alignment horizontal="center" vertical="center" wrapText="1"/>
    </xf>
    <xf numFmtId="0" fontId="9" fillId="2" borderId="31" xfId="0" applyNumberFormat="1" applyFont="1" applyFill="1" applyBorder="1" applyAlignment="1" applyProtection="1">
      <alignment horizontal="center" vertical="center" wrapText="1"/>
    </xf>
    <xf numFmtId="0" fontId="9" fillId="2" borderId="7" xfId="0" applyFont="1" applyFill="1" applyBorder="1" applyAlignment="1">
      <alignment horizontal="center" vertical="center"/>
    </xf>
  </cellXfs>
  <cellStyles count="3">
    <cellStyle name="Normal" xfId="0" builtinId="0"/>
    <cellStyle name="Porcentagem" xfId="2" builtinId="5"/>
    <cellStyle name="Vírgula" xfId="1" builtinId="3"/>
  </cellStyles>
  <dxfs count="0"/>
  <tableStyles count="0" defaultTableStyle="TableStyleMedium2" defaultPivotStyle="PivotStyleLight16"/>
  <colors>
    <mruColors>
      <color rgb="FFDCE6F1"/>
      <color rgb="FFD9D9D9"/>
      <color rgb="FFA6A6A6"/>
      <color rgb="FF000000"/>
      <color rgb="FFFFFFCC"/>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47625</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26682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26682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Cambria Math" panose="02040503050406030204" pitchFamily="18" charset="0"/>
                  <a:ea typeface="+mn-ea"/>
                  <a:cs typeface="+mn-cs"/>
                </a:rPr>
                <a:t>(𝑇_0/𝑇)]</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I57"/>
  <sheetViews>
    <sheetView workbookViewId="0">
      <pane xSplit="1" ySplit="2" topLeftCell="B3" activePane="bottomRight" state="frozen"/>
      <selection pane="topRight" activeCell="B1" sqref="B1"/>
      <selection pane="bottomLeft" activeCell="A3" sqref="A3"/>
      <selection pane="bottomRight" activeCell="AG19" sqref="AG19:AG20"/>
    </sheetView>
  </sheetViews>
  <sheetFormatPr defaultRowHeight="15" customHeight="1" x14ac:dyDescent="0.25"/>
  <cols>
    <col min="1" max="1" width="11.7109375" style="1" customWidth="1"/>
    <col min="2" max="2" width="16" style="1" customWidth="1"/>
    <col min="3" max="3" width="11.85546875" style="1" customWidth="1"/>
    <col min="4" max="4" width="15.5703125" style="1" customWidth="1"/>
    <col min="5" max="5" width="13.140625" style="1" customWidth="1"/>
    <col min="6" max="6" width="14.42578125" style="1" customWidth="1"/>
    <col min="7" max="7" width="11" style="1" customWidth="1"/>
    <col min="8" max="8" width="13.5703125" style="1" customWidth="1"/>
    <col min="9" max="9" width="9.28515625" style="1" bestFit="1" customWidth="1"/>
    <col min="10" max="10" width="14.42578125" style="1" customWidth="1"/>
    <col min="11" max="11" width="9.28515625" style="1" bestFit="1" customWidth="1"/>
    <col min="12" max="12" width="14.28515625" style="1" customWidth="1"/>
    <col min="13" max="13" width="10.42578125" style="1" customWidth="1"/>
    <col min="14" max="14" width="14" style="1" customWidth="1"/>
    <col min="15" max="15" width="10.42578125" style="1" customWidth="1"/>
    <col min="16" max="16" width="14.140625" style="1" customWidth="1"/>
    <col min="17" max="17" width="11.85546875" style="1" customWidth="1"/>
    <col min="18" max="18" width="14.5703125" style="1" customWidth="1"/>
    <col min="19" max="19" width="11.42578125" style="1" customWidth="1"/>
    <col min="20" max="20" width="15.140625" style="1" customWidth="1"/>
    <col min="21" max="21" width="10.5703125" style="1" customWidth="1"/>
    <col min="22" max="22" width="16.28515625" style="1" customWidth="1"/>
    <col min="23" max="23" width="11.42578125" style="1" customWidth="1"/>
    <col min="24" max="24" width="15.140625" style="1" customWidth="1"/>
    <col min="25" max="25" width="11.140625" style="1" customWidth="1"/>
    <col min="26" max="26" width="14" style="1" customWidth="1"/>
    <col min="27" max="27" width="11" style="1" customWidth="1"/>
    <col min="28" max="28" width="14.42578125" style="1" customWidth="1"/>
    <col min="29" max="29" width="11.7109375" style="1" customWidth="1"/>
    <col min="30" max="30" width="16.140625" style="1" customWidth="1"/>
    <col min="31" max="31" width="12.42578125" style="1" customWidth="1"/>
    <col min="32" max="32" width="14.28515625" style="1" customWidth="1"/>
    <col min="33" max="33" width="11.5703125" style="1" customWidth="1"/>
    <col min="34" max="34" width="16.140625" style="1" customWidth="1"/>
    <col min="35" max="35" width="12.140625" style="1" customWidth="1"/>
    <col min="36" max="36" width="14.42578125" style="1" customWidth="1"/>
    <col min="37" max="37" width="9.85546875" style="1" customWidth="1"/>
    <col min="38" max="38" width="13.7109375" style="1" customWidth="1"/>
    <col min="39" max="39" width="9.28515625" style="1" bestFit="1" customWidth="1"/>
    <col min="40" max="40" width="14.28515625" style="1" customWidth="1"/>
    <col min="41" max="41" width="9.28515625" style="1" bestFit="1" customWidth="1"/>
    <col min="42" max="42" width="13.5703125" style="1" customWidth="1"/>
    <col min="43" max="43" width="10.42578125" style="1" customWidth="1"/>
    <col min="44" max="69" width="9.140625" style="16"/>
    <col min="70" max="16384" width="9.140625" style="1"/>
  </cols>
  <sheetData>
    <row r="1" spans="1:243" s="4" customFormat="1" ht="15" customHeight="1" x14ac:dyDescent="0.25">
      <c r="A1" s="152" t="s">
        <v>57</v>
      </c>
      <c r="B1" s="150" t="s">
        <v>58</v>
      </c>
      <c r="C1" s="151"/>
      <c r="D1" s="150" t="s">
        <v>59</v>
      </c>
      <c r="E1" s="151"/>
      <c r="F1" s="150" t="s">
        <v>60</v>
      </c>
      <c r="G1" s="151"/>
      <c r="H1" s="150" t="s">
        <v>61</v>
      </c>
      <c r="I1" s="151"/>
      <c r="J1" s="150" t="s">
        <v>62</v>
      </c>
      <c r="K1" s="151"/>
      <c r="L1" s="150" t="s">
        <v>63</v>
      </c>
      <c r="M1" s="151"/>
      <c r="N1" s="150" t="s">
        <v>64</v>
      </c>
      <c r="O1" s="151"/>
      <c r="P1" s="150" t="s">
        <v>65</v>
      </c>
      <c r="Q1" s="151"/>
      <c r="R1" s="150" t="s">
        <v>66</v>
      </c>
      <c r="S1" s="151"/>
      <c r="T1" s="150" t="s">
        <v>67</v>
      </c>
      <c r="U1" s="151"/>
      <c r="V1" s="150" t="s">
        <v>68</v>
      </c>
      <c r="W1" s="151"/>
      <c r="X1" s="150" t="s">
        <v>69</v>
      </c>
      <c r="Y1" s="151"/>
      <c r="Z1" s="150" t="s">
        <v>70</v>
      </c>
      <c r="AA1" s="151"/>
      <c r="AB1" s="150" t="s">
        <v>71</v>
      </c>
      <c r="AC1" s="151"/>
      <c r="AD1" s="150" t="s">
        <v>72</v>
      </c>
      <c r="AE1" s="151"/>
      <c r="AF1" s="150" t="s">
        <v>73</v>
      </c>
      <c r="AG1" s="151"/>
      <c r="AH1" s="150" t="s">
        <v>74</v>
      </c>
      <c r="AI1" s="151"/>
      <c r="AJ1" s="150" t="s">
        <v>75</v>
      </c>
      <c r="AK1" s="151"/>
      <c r="AL1" s="150" t="s">
        <v>76</v>
      </c>
      <c r="AM1" s="151"/>
      <c r="AN1" s="150" t="s">
        <v>77</v>
      </c>
      <c r="AO1" s="151"/>
      <c r="AP1" s="150" t="s">
        <v>78</v>
      </c>
      <c r="AQ1" s="151"/>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5"/>
      <c r="BS1" s="15"/>
      <c r="BT1" s="15"/>
      <c r="BU1" s="13"/>
      <c r="BV1" s="13"/>
      <c r="BW1" s="13"/>
      <c r="BX1" s="13"/>
      <c r="BY1" s="13"/>
      <c r="BZ1" s="13"/>
      <c r="CA1" s="13"/>
      <c r="CB1" s="13"/>
      <c r="CC1" s="13"/>
      <c r="CD1" s="13"/>
      <c r="CE1" s="13"/>
      <c r="CF1" s="13"/>
      <c r="CG1" s="13"/>
      <c r="CH1" s="15"/>
      <c r="CI1" s="15"/>
      <c r="CJ1" s="15"/>
      <c r="CK1" s="13"/>
      <c r="CL1" s="13"/>
      <c r="CM1" s="13"/>
      <c r="CN1" s="13"/>
      <c r="CO1" s="13"/>
      <c r="CP1" s="13"/>
      <c r="CQ1" s="13"/>
      <c r="CR1" s="13"/>
      <c r="CS1" s="13"/>
      <c r="CT1" s="13"/>
      <c r="CU1" s="13"/>
      <c r="CV1" s="13"/>
      <c r="CW1" s="13"/>
      <c r="CX1" s="15"/>
      <c r="CY1" s="15"/>
      <c r="CZ1" s="15"/>
      <c r="DA1" s="13"/>
      <c r="DB1" s="13"/>
      <c r="DC1" s="13"/>
      <c r="DD1" s="13"/>
      <c r="DE1" s="13"/>
      <c r="DF1" s="13"/>
      <c r="DG1" s="13"/>
      <c r="DH1" s="13"/>
      <c r="DI1" s="13"/>
      <c r="DJ1" s="13"/>
      <c r="DK1" s="13"/>
      <c r="DL1" s="13"/>
      <c r="DM1" s="13"/>
      <c r="DN1" s="15"/>
      <c r="DO1" s="15"/>
      <c r="DP1" s="15"/>
      <c r="DQ1" s="13"/>
      <c r="DR1" s="13"/>
      <c r="DS1" s="13"/>
      <c r="DT1" s="13"/>
      <c r="DU1" s="13"/>
      <c r="DV1" s="13"/>
      <c r="DW1" s="13"/>
      <c r="DX1" s="13"/>
      <c r="DY1" s="13"/>
      <c r="DZ1" s="13"/>
      <c r="EA1" s="13"/>
      <c r="EB1" s="13"/>
      <c r="EC1" s="13"/>
      <c r="ED1" s="13"/>
      <c r="EE1" s="13"/>
      <c r="EF1" s="13"/>
      <c r="EG1" s="13"/>
      <c r="EH1" s="13"/>
      <c r="EI1" s="13"/>
      <c r="EJ1" s="13"/>
      <c r="EK1" s="13"/>
      <c r="EL1" s="15"/>
      <c r="EM1" s="15"/>
      <c r="EN1" s="15"/>
      <c r="EO1" s="13"/>
      <c r="EP1" s="13"/>
      <c r="EQ1" s="13"/>
      <c r="ER1" s="13"/>
      <c r="ES1" s="13"/>
      <c r="ET1" s="13"/>
      <c r="EU1" s="13"/>
      <c r="EV1" s="13"/>
      <c r="EW1" s="13"/>
      <c r="EX1" s="13"/>
      <c r="EY1" s="13"/>
      <c r="EZ1" s="13"/>
      <c r="FA1" s="13"/>
      <c r="FB1" s="15"/>
      <c r="FC1" s="15"/>
      <c r="FD1" s="15"/>
      <c r="FE1" s="13"/>
      <c r="FF1" s="13"/>
      <c r="FG1" s="13"/>
      <c r="FH1" s="13"/>
      <c r="FI1" s="13"/>
      <c r="FJ1" s="13"/>
      <c r="FK1" s="13"/>
      <c r="FL1" s="13"/>
      <c r="FM1" s="13"/>
      <c r="FN1" s="13"/>
      <c r="FO1" s="13"/>
      <c r="FP1" s="13"/>
      <c r="FQ1" s="13"/>
      <c r="FR1" s="15"/>
      <c r="FS1" s="15"/>
      <c r="FT1" s="15"/>
      <c r="FU1" s="13"/>
      <c r="FV1" s="13"/>
      <c r="FW1" s="13"/>
      <c r="FX1" s="13"/>
      <c r="FY1" s="13"/>
      <c r="FZ1" s="13"/>
      <c r="GA1" s="13"/>
      <c r="GB1" s="13"/>
      <c r="GC1" s="13"/>
      <c r="GD1" s="13"/>
      <c r="GE1" s="13"/>
      <c r="GF1" s="13"/>
      <c r="GG1" s="13"/>
      <c r="GH1" s="15"/>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row>
    <row r="2" spans="1:243" s="5" customFormat="1" ht="22.5" x14ac:dyDescent="0.25">
      <c r="A2" s="152"/>
      <c r="B2" s="6" t="s">
        <v>79</v>
      </c>
      <c r="C2" s="6" t="s">
        <v>80</v>
      </c>
      <c r="D2" s="6" t="s">
        <v>79</v>
      </c>
      <c r="E2" s="6" t="s">
        <v>80</v>
      </c>
      <c r="F2" s="6" t="s">
        <v>79</v>
      </c>
      <c r="G2" s="6" t="s">
        <v>80</v>
      </c>
      <c r="H2" s="6" t="s">
        <v>79</v>
      </c>
      <c r="I2" s="6" t="s">
        <v>80</v>
      </c>
      <c r="J2" s="6" t="s">
        <v>79</v>
      </c>
      <c r="K2" s="6" t="s">
        <v>80</v>
      </c>
      <c r="L2" s="6" t="s">
        <v>79</v>
      </c>
      <c r="M2" s="6" t="s">
        <v>80</v>
      </c>
      <c r="N2" s="6" t="s">
        <v>79</v>
      </c>
      <c r="O2" s="6" t="s">
        <v>80</v>
      </c>
      <c r="P2" s="6" t="s">
        <v>79</v>
      </c>
      <c r="Q2" s="6" t="s">
        <v>80</v>
      </c>
      <c r="R2" s="6" t="s">
        <v>79</v>
      </c>
      <c r="S2" s="6" t="s">
        <v>80</v>
      </c>
      <c r="T2" s="6" t="s">
        <v>79</v>
      </c>
      <c r="U2" s="6" t="s">
        <v>80</v>
      </c>
      <c r="V2" s="6" t="s">
        <v>79</v>
      </c>
      <c r="W2" s="6" t="s">
        <v>80</v>
      </c>
      <c r="X2" s="6" t="s">
        <v>79</v>
      </c>
      <c r="Y2" s="6" t="s">
        <v>80</v>
      </c>
      <c r="Z2" s="6" t="s">
        <v>79</v>
      </c>
      <c r="AA2" s="6" t="s">
        <v>80</v>
      </c>
      <c r="AB2" s="6" t="s">
        <v>79</v>
      </c>
      <c r="AC2" s="6" t="s">
        <v>80</v>
      </c>
      <c r="AD2" s="6" t="s">
        <v>79</v>
      </c>
      <c r="AE2" s="6" t="s">
        <v>80</v>
      </c>
      <c r="AF2" s="6" t="s">
        <v>79</v>
      </c>
      <c r="AG2" s="6" t="s">
        <v>80</v>
      </c>
      <c r="AH2" s="6" t="s">
        <v>79</v>
      </c>
      <c r="AI2" s="6" t="s">
        <v>80</v>
      </c>
      <c r="AJ2" s="6" t="s">
        <v>79</v>
      </c>
      <c r="AK2" s="6" t="s">
        <v>80</v>
      </c>
      <c r="AL2" s="6" t="s">
        <v>79</v>
      </c>
      <c r="AM2" s="6" t="s">
        <v>80</v>
      </c>
      <c r="AN2" s="6" t="s">
        <v>79</v>
      </c>
      <c r="AO2" s="6" t="s">
        <v>80</v>
      </c>
      <c r="AP2" s="6" t="s">
        <v>79</v>
      </c>
      <c r="AQ2" s="11" t="s">
        <v>80</v>
      </c>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5"/>
      <c r="BS2" s="15"/>
      <c r="BT2" s="15"/>
      <c r="BU2" s="14"/>
      <c r="BV2" s="14"/>
      <c r="BW2" s="14"/>
      <c r="BX2" s="14"/>
      <c r="BY2" s="14"/>
      <c r="BZ2" s="14"/>
      <c r="CA2" s="14"/>
      <c r="CB2" s="14"/>
      <c r="CC2" s="14"/>
      <c r="CD2" s="14"/>
      <c r="CE2" s="14"/>
      <c r="CF2" s="14"/>
      <c r="CG2" s="14"/>
      <c r="CH2" s="15"/>
      <c r="CI2" s="15"/>
      <c r="CJ2" s="15"/>
      <c r="CK2" s="14"/>
      <c r="CL2" s="14"/>
      <c r="CM2" s="14"/>
      <c r="CN2" s="14"/>
      <c r="CO2" s="14"/>
      <c r="CP2" s="14"/>
      <c r="CQ2" s="14"/>
      <c r="CR2" s="14"/>
      <c r="CS2" s="14"/>
      <c r="CT2" s="14"/>
      <c r="CU2" s="14"/>
      <c r="CV2" s="14"/>
      <c r="CW2" s="14"/>
      <c r="CX2" s="15"/>
      <c r="CY2" s="15"/>
      <c r="CZ2" s="15"/>
      <c r="DA2" s="14"/>
      <c r="DB2" s="14"/>
      <c r="DC2" s="14"/>
      <c r="DD2" s="14"/>
      <c r="DE2" s="14"/>
      <c r="DF2" s="14"/>
      <c r="DG2" s="14"/>
      <c r="DH2" s="14"/>
      <c r="DI2" s="14"/>
      <c r="DJ2" s="14"/>
      <c r="DK2" s="14"/>
      <c r="DL2" s="14"/>
      <c r="DM2" s="14"/>
      <c r="DN2" s="15"/>
      <c r="DO2" s="15"/>
      <c r="DP2" s="15"/>
      <c r="DQ2" s="14"/>
      <c r="DR2" s="14"/>
      <c r="DS2" s="14"/>
      <c r="DT2" s="14"/>
      <c r="DU2" s="14"/>
      <c r="DV2" s="14"/>
      <c r="DW2" s="14"/>
      <c r="DX2" s="14"/>
      <c r="DY2" s="14"/>
      <c r="DZ2" s="14"/>
      <c r="EA2" s="14"/>
      <c r="EB2" s="14"/>
      <c r="EC2" s="14"/>
      <c r="ED2" s="14"/>
      <c r="EE2" s="14"/>
      <c r="EF2" s="14"/>
      <c r="EG2" s="14"/>
      <c r="EH2" s="14"/>
      <c r="EI2" s="14"/>
      <c r="EJ2" s="14"/>
      <c r="EK2" s="14"/>
      <c r="EL2" s="15"/>
      <c r="EM2" s="15"/>
      <c r="EN2" s="15"/>
      <c r="EO2" s="14"/>
      <c r="EP2" s="14"/>
      <c r="EQ2" s="14"/>
      <c r="ER2" s="14"/>
      <c r="ES2" s="14"/>
      <c r="ET2" s="14"/>
      <c r="EU2" s="14"/>
      <c r="EV2" s="14"/>
      <c r="EW2" s="14"/>
      <c r="EX2" s="14"/>
      <c r="EY2" s="14"/>
      <c r="EZ2" s="14"/>
      <c r="FA2" s="14"/>
      <c r="FB2" s="15"/>
      <c r="FC2" s="15"/>
      <c r="FD2" s="15"/>
      <c r="FE2" s="14"/>
      <c r="FF2" s="14"/>
      <c r="FG2" s="14"/>
      <c r="FH2" s="14"/>
      <c r="FI2" s="14"/>
      <c r="FJ2" s="14"/>
      <c r="FK2" s="14"/>
      <c r="FL2" s="14"/>
      <c r="FM2" s="14"/>
      <c r="FN2" s="14"/>
      <c r="FO2" s="14"/>
      <c r="FP2" s="14"/>
      <c r="FQ2" s="14"/>
      <c r="FR2" s="15"/>
      <c r="FS2" s="15"/>
      <c r="FT2" s="15"/>
      <c r="FU2" s="14"/>
      <c r="FV2" s="14"/>
      <c r="FW2" s="14"/>
      <c r="FX2" s="14"/>
      <c r="FY2" s="14"/>
      <c r="FZ2" s="14"/>
      <c r="GA2" s="14"/>
      <c r="GB2" s="14"/>
      <c r="GC2" s="14"/>
      <c r="GD2" s="14"/>
      <c r="GE2" s="14"/>
      <c r="GF2" s="14"/>
      <c r="GG2" s="14"/>
      <c r="GH2" s="15"/>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row>
    <row r="3" spans="1:243" s="9" customFormat="1" ht="15" customHeight="1" x14ac:dyDescent="0.25">
      <c r="A3" s="7">
        <v>42005</v>
      </c>
      <c r="B3" s="8">
        <v>1315402</v>
      </c>
      <c r="C3" s="8">
        <v>730</v>
      </c>
      <c r="D3" s="8">
        <v>1299858</v>
      </c>
      <c r="E3" s="8">
        <v>727</v>
      </c>
      <c r="F3" s="8">
        <v>1318964</v>
      </c>
      <c r="G3" s="8">
        <v>731</v>
      </c>
      <c r="H3" s="8">
        <v>0</v>
      </c>
      <c r="I3" s="8">
        <v>0</v>
      </c>
      <c r="J3" s="8">
        <v>1325749</v>
      </c>
      <c r="K3" s="8">
        <v>731</v>
      </c>
      <c r="L3" s="8">
        <v>1288196</v>
      </c>
      <c r="M3" s="8">
        <v>706</v>
      </c>
      <c r="N3" s="8">
        <v>1308873</v>
      </c>
      <c r="O3" s="8">
        <v>720</v>
      </c>
      <c r="P3" s="8">
        <v>1307884</v>
      </c>
      <c r="Q3" s="8">
        <v>727</v>
      </c>
      <c r="R3" s="8">
        <v>1313192</v>
      </c>
      <c r="S3" s="8">
        <v>728</v>
      </c>
      <c r="T3" s="8">
        <v>1300717</v>
      </c>
      <c r="U3" s="8">
        <v>724</v>
      </c>
      <c r="V3" s="8">
        <v>1319174</v>
      </c>
      <c r="W3" s="8">
        <v>726</v>
      </c>
      <c r="X3" s="8">
        <v>1315654</v>
      </c>
      <c r="Y3" s="8">
        <v>730</v>
      </c>
      <c r="Z3" s="8">
        <v>1303039</v>
      </c>
      <c r="AA3" s="8">
        <v>719</v>
      </c>
      <c r="AB3" s="8">
        <v>1324212</v>
      </c>
      <c r="AC3" s="8">
        <v>724</v>
      </c>
      <c r="AD3" s="8">
        <v>1328620</v>
      </c>
      <c r="AE3" s="8">
        <v>728</v>
      </c>
      <c r="AF3" s="8">
        <v>1280291</v>
      </c>
      <c r="AG3" s="8">
        <v>706</v>
      </c>
      <c r="AH3" s="8">
        <v>1319826</v>
      </c>
      <c r="AI3" s="8">
        <v>732</v>
      </c>
      <c r="AJ3" s="8">
        <v>1295558</v>
      </c>
      <c r="AK3" s="8">
        <v>715</v>
      </c>
      <c r="AL3" s="8">
        <v>1280256</v>
      </c>
      <c r="AM3" s="8">
        <v>700</v>
      </c>
      <c r="AN3" s="8">
        <v>1299542</v>
      </c>
      <c r="AO3" s="8">
        <v>711</v>
      </c>
      <c r="AP3" s="8">
        <f>SUM(B3,D3,F3,H3,J3,L3,N3,P3,R3,T3,V3,X3,Z3,AB3,AD3,AF3,AH3,AJ3,AL3,AN3)</f>
        <v>24845007</v>
      </c>
      <c r="AQ3" s="12">
        <f>SUM(C3,E3,G3,I3,K3,M3,O3,Q3,S3,U3,W3,Y3,AA3,AC3,AE3,AG3,AI3,AK3,AM3,AO3)</f>
        <v>13715</v>
      </c>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row>
    <row r="4" spans="1:243" s="9" customFormat="1" ht="15" customHeight="1" x14ac:dyDescent="0.25">
      <c r="A4" s="7">
        <v>42036</v>
      </c>
      <c r="B4" s="8">
        <v>1054842</v>
      </c>
      <c r="C4" s="8">
        <v>584</v>
      </c>
      <c r="D4" s="8">
        <v>1149504</v>
      </c>
      <c r="E4" s="8">
        <v>646</v>
      </c>
      <c r="F4" s="8">
        <v>1202887</v>
      </c>
      <c r="G4" s="8">
        <v>664</v>
      </c>
      <c r="H4" s="8">
        <v>0</v>
      </c>
      <c r="I4" s="8">
        <v>0</v>
      </c>
      <c r="J4" s="8">
        <v>1105267</v>
      </c>
      <c r="K4" s="8">
        <v>629</v>
      </c>
      <c r="L4" s="8">
        <v>1223812</v>
      </c>
      <c r="M4" s="8">
        <v>669</v>
      </c>
      <c r="N4" s="8">
        <v>1195540</v>
      </c>
      <c r="O4" s="8">
        <v>661</v>
      </c>
      <c r="P4" s="8">
        <v>1183886</v>
      </c>
      <c r="Q4" s="8">
        <v>658</v>
      </c>
      <c r="R4" s="8">
        <v>1194377</v>
      </c>
      <c r="S4" s="8">
        <v>661</v>
      </c>
      <c r="T4" s="8">
        <v>1183681</v>
      </c>
      <c r="U4" s="8">
        <v>659</v>
      </c>
      <c r="V4" s="8">
        <v>1190895</v>
      </c>
      <c r="W4" s="8">
        <v>658</v>
      </c>
      <c r="X4" s="8">
        <v>1198342</v>
      </c>
      <c r="Y4" s="8">
        <v>664</v>
      </c>
      <c r="Z4" s="8">
        <v>1193137</v>
      </c>
      <c r="AA4" s="8">
        <v>661</v>
      </c>
      <c r="AB4" s="8">
        <v>1179358</v>
      </c>
      <c r="AC4" s="8">
        <v>647</v>
      </c>
      <c r="AD4" s="8">
        <v>1096072</v>
      </c>
      <c r="AE4" s="8">
        <v>599</v>
      </c>
      <c r="AF4" s="8">
        <v>1202650</v>
      </c>
      <c r="AG4" s="8">
        <v>662</v>
      </c>
      <c r="AH4" s="8">
        <v>1165327</v>
      </c>
      <c r="AI4" s="8">
        <v>654</v>
      </c>
      <c r="AJ4" s="8">
        <v>1215418</v>
      </c>
      <c r="AK4" s="8">
        <v>666</v>
      </c>
      <c r="AL4" s="8">
        <v>1209220</v>
      </c>
      <c r="AM4" s="8">
        <v>661</v>
      </c>
      <c r="AN4" s="8">
        <v>1212984</v>
      </c>
      <c r="AO4" s="8">
        <v>661</v>
      </c>
      <c r="AP4" s="8">
        <f t="shared" ref="AP4:AQ14" si="0">SUM(B4,D4,F4,H4,J4,L4,N4,P4,R4,T4,V4,X4,Z4,AB4,AD4,AF4,AH4,AJ4,AL4,AN4)</f>
        <v>22357199</v>
      </c>
      <c r="AQ4" s="12">
        <f t="shared" si="0"/>
        <v>12364</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GI4" s="1"/>
      <c r="GJ4" s="107"/>
      <c r="GK4" s="1"/>
      <c r="GL4" s="1"/>
      <c r="GM4" s="1"/>
      <c r="GN4" s="1"/>
      <c r="GO4" s="1"/>
      <c r="GP4" s="1"/>
      <c r="GQ4" s="1"/>
      <c r="GR4" s="1"/>
      <c r="GS4" s="1"/>
      <c r="GT4" s="1"/>
      <c r="GU4" s="1"/>
      <c r="GV4" s="1"/>
      <c r="GW4" s="1"/>
      <c r="GX4" s="1"/>
      <c r="GY4" s="1"/>
      <c r="GZ4" s="1"/>
      <c r="HA4" s="1"/>
      <c r="HB4" s="1"/>
      <c r="HC4" s="107"/>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row>
    <row r="5" spans="1:243" s="9" customFormat="1" ht="15" customHeight="1" x14ac:dyDescent="0.25">
      <c r="A5" s="7">
        <v>42064</v>
      </c>
      <c r="B5" s="8">
        <v>1253334</v>
      </c>
      <c r="C5" s="8">
        <v>694</v>
      </c>
      <c r="D5" s="8">
        <v>1303972</v>
      </c>
      <c r="E5" s="8">
        <v>728</v>
      </c>
      <c r="F5" s="8">
        <v>1304562</v>
      </c>
      <c r="G5" s="8">
        <v>725</v>
      </c>
      <c r="H5" s="8">
        <v>486925</v>
      </c>
      <c r="I5" s="8">
        <v>293</v>
      </c>
      <c r="J5" s="8">
        <v>1226994</v>
      </c>
      <c r="K5" s="8">
        <v>732</v>
      </c>
      <c r="L5" s="8">
        <v>957669</v>
      </c>
      <c r="M5" s="8">
        <v>523</v>
      </c>
      <c r="N5" s="8">
        <v>1340723</v>
      </c>
      <c r="O5" s="8">
        <v>740</v>
      </c>
      <c r="P5" s="8">
        <v>1330318</v>
      </c>
      <c r="Q5" s="8">
        <v>735</v>
      </c>
      <c r="R5" s="8">
        <v>1343987</v>
      </c>
      <c r="S5" s="8">
        <v>743</v>
      </c>
      <c r="T5" s="8">
        <v>1337399</v>
      </c>
      <c r="U5" s="8">
        <v>739</v>
      </c>
      <c r="V5" s="8">
        <v>1320870</v>
      </c>
      <c r="W5" s="8">
        <v>722</v>
      </c>
      <c r="X5" s="8">
        <v>1333868</v>
      </c>
      <c r="Y5" s="8">
        <v>738</v>
      </c>
      <c r="Z5" s="8">
        <v>342205</v>
      </c>
      <c r="AA5" s="8">
        <v>190</v>
      </c>
      <c r="AB5" s="8">
        <v>1322825</v>
      </c>
      <c r="AC5" s="8">
        <v>724</v>
      </c>
      <c r="AD5" s="8">
        <v>1356301</v>
      </c>
      <c r="AE5" s="8">
        <v>741</v>
      </c>
      <c r="AF5" s="8">
        <v>1330103</v>
      </c>
      <c r="AG5" s="8">
        <v>729</v>
      </c>
      <c r="AH5" s="8">
        <v>1334285</v>
      </c>
      <c r="AI5" s="8">
        <v>738</v>
      </c>
      <c r="AJ5" s="8">
        <v>1346229</v>
      </c>
      <c r="AK5" s="8">
        <v>739</v>
      </c>
      <c r="AL5" s="8">
        <v>1357462</v>
      </c>
      <c r="AM5" s="8">
        <v>737</v>
      </c>
      <c r="AN5" s="8">
        <v>1355900</v>
      </c>
      <c r="AO5" s="8">
        <v>732</v>
      </c>
      <c r="AP5" s="8">
        <f t="shared" si="0"/>
        <v>24285931</v>
      </c>
      <c r="AQ5" s="12">
        <f t="shared" si="0"/>
        <v>13442</v>
      </c>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row>
    <row r="6" spans="1:243" s="9" customFormat="1" ht="15" customHeight="1" x14ac:dyDescent="0.25">
      <c r="A6" s="7">
        <v>42095</v>
      </c>
      <c r="B6" s="8">
        <v>1243831</v>
      </c>
      <c r="C6" s="8">
        <v>691</v>
      </c>
      <c r="D6" s="8">
        <v>1227890</v>
      </c>
      <c r="E6" s="8">
        <v>683</v>
      </c>
      <c r="F6" s="8">
        <v>1268442</v>
      </c>
      <c r="G6" s="8">
        <v>704</v>
      </c>
      <c r="H6" s="8">
        <v>1180039</v>
      </c>
      <c r="I6" s="8">
        <v>664</v>
      </c>
      <c r="J6" s="8">
        <v>1247361</v>
      </c>
      <c r="K6" s="8">
        <v>657</v>
      </c>
      <c r="L6" s="8">
        <v>742509.8</v>
      </c>
      <c r="M6" s="8">
        <v>425</v>
      </c>
      <c r="N6" s="8">
        <v>907014</v>
      </c>
      <c r="O6" s="8">
        <v>500</v>
      </c>
      <c r="P6" s="8">
        <v>1175598.7999999998</v>
      </c>
      <c r="Q6" s="8">
        <v>654</v>
      </c>
      <c r="R6" s="8">
        <v>1257895.7999999998</v>
      </c>
      <c r="S6" s="8">
        <v>699</v>
      </c>
      <c r="T6" s="8">
        <v>1241290.7999999998</v>
      </c>
      <c r="U6" s="8">
        <v>692</v>
      </c>
      <c r="V6" s="8">
        <v>1265252.5333333334</v>
      </c>
      <c r="W6" s="8">
        <v>697</v>
      </c>
      <c r="X6" s="8">
        <v>1214350.5333333334</v>
      </c>
      <c r="Y6" s="8">
        <v>679</v>
      </c>
      <c r="Z6" s="8">
        <v>1048228.3333333334</v>
      </c>
      <c r="AA6" s="8">
        <v>602</v>
      </c>
      <c r="AB6" s="8">
        <v>1272076.2</v>
      </c>
      <c r="AC6" s="8">
        <v>700</v>
      </c>
      <c r="AD6" s="8">
        <v>1246650.2</v>
      </c>
      <c r="AE6" s="8">
        <v>686</v>
      </c>
      <c r="AF6" s="8">
        <v>446649</v>
      </c>
      <c r="AG6" s="8">
        <v>252</v>
      </c>
      <c r="AH6" s="8">
        <v>1252936.25</v>
      </c>
      <c r="AI6" s="8">
        <v>698</v>
      </c>
      <c r="AJ6" s="8">
        <v>1271625.25</v>
      </c>
      <c r="AK6" s="8">
        <v>700</v>
      </c>
      <c r="AL6" s="8">
        <v>1282762.25</v>
      </c>
      <c r="AM6" s="8">
        <v>703</v>
      </c>
      <c r="AN6" s="8">
        <v>1290407.25</v>
      </c>
      <c r="AO6" s="8">
        <v>703</v>
      </c>
      <c r="AP6" s="8">
        <f t="shared" si="0"/>
        <v>23082810</v>
      </c>
      <c r="AQ6" s="12">
        <f t="shared" si="0"/>
        <v>12789</v>
      </c>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row>
    <row r="7" spans="1:243" s="9" customFormat="1" ht="15" customHeight="1" x14ac:dyDescent="0.25">
      <c r="A7" s="7">
        <v>42125</v>
      </c>
      <c r="B7" s="8">
        <v>593138</v>
      </c>
      <c r="C7" s="8">
        <v>332</v>
      </c>
      <c r="D7" s="8">
        <v>1148903</v>
      </c>
      <c r="E7" s="8">
        <v>645</v>
      </c>
      <c r="F7" s="8">
        <v>1229579</v>
      </c>
      <c r="G7" s="8">
        <v>688</v>
      </c>
      <c r="H7" s="8">
        <v>1200607</v>
      </c>
      <c r="I7" s="8">
        <v>690</v>
      </c>
      <c r="J7" s="8">
        <v>1255054</v>
      </c>
      <c r="K7" s="8">
        <v>698</v>
      </c>
      <c r="L7" s="8">
        <v>1235156</v>
      </c>
      <c r="M7" s="8">
        <v>699</v>
      </c>
      <c r="N7" s="8">
        <v>944815</v>
      </c>
      <c r="O7" s="8">
        <v>539</v>
      </c>
      <c r="P7" s="8">
        <v>423044.23360655736</v>
      </c>
      <c r="Q7" s="8">
        <v>242</v>
      </c>
      <c r="R7" s="8">
        <v>133155.53893442624</v>
      </c>
      <c r="S7" s="8">
        <v>76</v>
      </c>
      <c r="T7" s="8">
        <v>1231805</v>
      </c>
      <c r="U7" s="8">
        <v>688</v>
      </c>
      <c r="V7" s="8">
        <v>1255876</v>
      </c>
      <c r="W7" s="8">
        <v>691</v>
      </c>
      <c r="X7" s="8">
        <v>1174995</v>
      </c>
      <c r="Y7" s="8">
        <v>659</v>
      </c>
      <c r="Z7" s="8">
        <v>968118</v>
      </c>
      <c r="AA7" s="8">
        <v>549</v>
      </c>
      <c r="AB7" s="8">
        <v>1185904</v>
      </c>
      <c r="AC7" s="8">
        <v>656</v>
      </c>
      <c r="AD7" s="8">
        <v>1265623</v>
      </c>
      <c r="AE7" s="8">
        <v>697</v>
      </c>
      <c r="AF7" s="8">
        <v>1227723</v>
      </c>
      <c r="AG7" s="8">
        <v>700</v>
      </c>
      <c r="AH7" s="8">
        <v>1238019</v>
      </c>
      <c r="AI7" s="8">
        <v>690</v>
      </c>
      <c r="AJ7" s="8">
        <v>1209449</v>
      </c>
      <c r="AK7" s="8">
        <v>673</v>
      </c>
      <c r="AL7" s="8">
        <v>1232647</v>
      </c>
      <c r="AM7" s="8">
        <v>688</v>
      </c>
      <c r="AN7" s="8">
        <v>1243913</v>
      </c>
      <c r="AO7" s="8">
        <v>692</v>
      </c>
      <c r="AP7" s="8">
        <f t="shared" si="0"/>
        <v>21397523.772540983</v>
      </c>
      <c r="AQ7" s="12">
        <f t="shared" si="0"/>
        <v>11992</v>
      </c>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row>
    <row r="8" spans="1:243" s="9" customFormat="1" ht="15" customHeight="1" x14ac:dyDescent="0.25">
      <c r="A8" s="7">
        <v>42156</v>
      </c>
      <c r="B8" s="8">
        <v>179350.32786885247</v>
      </c>
      <c r="C8" s="8">
        <v>106</v>
      </c>
      <c r="D8" s="8">
        <v>513822.27868852456</v>
      </c>
      <c r="E8" s="8">
        <v>291</v>
      </c>
      <c r="F8" s="8">
        <v>511419.63114754099</v>
      </c>
      <c r="G8" s="8">
        <v>289</v>
      </c>
      <c r="H8" s="8">
        <v>471598.88524590165</v>
      </c>
      <c r="I8" s="8">
        <v>271</v>
      </c>
      <c r="J8" s="8">
        <v>458239.84631147538</v>
      </c>
      <c r="K8" s="8">
        <v>257</v>
      </c>
      <c r="L8" s="8">
        <v>127940</v>
      </c>
      <c r="M8" s="8">
        <v>74</v>
      </c>
      <c r="N8" s="8">
        <v>152435.58606557376</v>
      </c>
      <c r="O8" s="8">
        <v>88</v>
      </c>
      <c r="P8" s="8">
        <v>729197.49590163934</v>
      </c>
      <c r="Q8" s="8">
        <v>418</v>
      </c>
      <c r="R8" s="8">
        <v>0</v>
      </c>
      <c r="S8" s="8">
        <v>0</v>
      </c>
      <c r="T8" s="8">
        <v>158995.99180327868</v>
      </c>
      <c r="U8" s="8">
        <v>91</v>
      </c>
      <c r="V8" s="8">
        <v>861409.67827868857</v>
      </c>
      <c r="W8" s="8">
        <v>477</v>
      </c>
      <c r="X8" s="8">
        <v>846237.84836065571</v>
      </c>
      <c r="Y8" s="8">
        <v>478</v>
      </c>
      <c r="Z8" s="8">
        <v>754488.62704918033</v>
      </c>
      <c r="AA8" s="8">
        <v>433</v>
      </c>
      <c r="AB8" s="8">
        <v>599630.15983606561</v>
      </c>
      <c r="AC8" s="8">
        <v>331</v>
      </c>
      <c r="AD8" s="8">
        <v>834680</v>
      </c>
      <c r="AE8" s="8">
        <v>460</v>
      </c>
      <c r="AF8" s="8">
        <v>300334</v>
      </c>
      <c r="AG8" s="8">
        <v>173</v>
      </c>
      <c r="AH8" s="8">
        <v>237262.58811475409</v>
      </c>
      <c r="AI8" s="8">
        <v>137</v>
      </c>
      <c r="AJ8" s="8">
        <v>172243.47131147541</v>
      </c>
      <c r="AK8" s="8">
        <v>100</v>
      </c>
      <c r="AL8" s="8">
        <v>154603.62704918033</v>
      </c>
      <c r="AM8" s="8">
        <v>90</v>
      </c>
      <c r="AN8" s="8">
        <v>260686.59426229508</v>
      </c>
      <c r="AO8" s="8">
        <v>150</v>
      </c>
      <c r="AP8" s="8">
        <f t="shared" si="0"/>
        <v>8324576.6372950841</v>
      </c>
      <c r="AQ8" s="12">
        <f t="shared" si="0"/>
        <v>4714</v>
      </c>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row>
    <row r="9" spans="1:243" s="9" customFormat="1" ht="15" customHeight="1" x14ac:dyDescent="0.25">
      <c r="A9" s="7">
        <v>42186</v>
      </c>
      <c r="B9" s="8">
        <v>360931</v>
      </c>
      <c r="C9" s="8">
        <v>205</v>
      </c>
      <c r="D9" s="8">
        <v>373321</v>
      </c>
      <c r="E9" s="8">
        <v>208</v>
      </c>
      <c r="F9" s="8">
        <v>309053</v>
      </c>
      <c r="G9" s="8">
        <v>173</v>
      </c>
      <c r="H9" s="8">
        <v>275765</v>
      </c>
      <c r="I9" s="8">
        <v>157</v>
      </c>
      <c r="J9" s="8">
        <v>303293</v>
      </c>
      <c r="K9" s="8">
        <v>167</v>
      </c>
      <c r="L9" s="8">
        <v>282695.78000000003</v>
      </c>
      <c r="M9" s="8">
        <v>160</v>
      </c>
      <c r="N9" s="8">
        <v>269213.36</v>
      </c>
      <c r="O9" s="8">
        <v>153</v>
      </c>
      <c r="P9" s="8">
        <v>263916</v>
      </c>
      <c r="Q9" s="8">
        <v>151</v>
      </c>
      <c r="R9" s="8">
        <v>0</v>
      </c>
      <c r="S9" s="8">
        <v>0</v>
      </c>
      <c r="T9" s="8">
        <v>299462.26</v>
      </c>
      <c r="U9" s="8">
        <v>167</v>
      </c>
      <c r="V9" s="8">
        <v>216734</v>
      </c>
      <c r="W9" s="8">
        <v>119</v>
      </c>
      <c r="X9" s="8">
        <v>362858.92</v>
      </c>
      <c r="Y9" s="8">
        <v>204</v>
      </c>
      <c r="Z9" s="8">
        <v>387728.75</v>
      </c>
      <c r="AA9" s="8">
        <v>218</v>
      </c>
      <c r="AB9" s="8">
        <v>127873.75</v>
      </c>
      <c r="AC9" s="8">
        <v>75</v>
      </c>
      <c r="AD9" s="8">
        <v>176807.4</v>
      </c>
      <c r="AE9" s="8">
        <v>98</v>
      </c>
      <c r="AF9" s="8">
        <v>465148.11</v>
      </c>
      <c r="AG9" s="8">
        <v>264</v>
      </c>
      <c r="AH9" s="8">
        <v>466056.87</v>
      </c>
      <c r="AI9" s="8">
        <v>259</v>
      </c>
      <c r="AJ9" s="8">
        <v>456941.52</v>
      </c>
      <c r="AK9" s="8">
        <v>256</v>
      </c>
      <c r="AL9" s="8">
        <v>392524.53</v>
      </c>
      <c r="AM9" s="8">
        <v>225</v>
      </c>
      <c r="AN9" s="8">
        <v>464810.82</v>
      </c>
      <c r="AO9" s="8">
        <v>258</v>
      </c>
      <c r="AP9" s="8">
        <f t="shared" si="0"/>
        <v>6255135.0700000012</v>
      </c>
      <c r="AQ9" s="12">
        <f t="shared" si="0"/>
        <v>3517</v>
      </c>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row>
    <row r="10" spans="1:243" s="9" customFormat="1" ht="15" customHeight="1" x14ac:dyDescent="0.25">
      <c r="A10" s="7">
        <v>42217</v>
      </c>
      <c r="B10" s="8">
        <v>419399.42</v>
      </c>
      <c r="C10" s="8">
        <v>240</v>
      </c>
      <c r="D10" s="8">
        <v>308767.75</v>
      </c>
      <c r="E10" s="8">
        <v>173</v>
      </c>
      <c r="F10" s="8">
        <v>296731.84000000003</v>
      </c>
      <c r="G10" s="8">
        <v>165</v>
      </c>
      <c r="H10" s="8">
        <v>438534.65</v>
      </c>
      <c r="I10" s="8">
        <v>252</v>
      </c>
      <c r="J10" s="8">
        <v>402920.39</v>
      </c>
      <c r="K10" s="8">
        <v>225</v>
      </c>
      <c r="L10" s="8">
        <v>581924.56000000006</v>
      </c>
      <c r="M10" s="8">
        <v>347</v>
      </c>
      <c r="N10" s="8">
        <v>587272.11</v>
      </c>
      <c r="O10" s="8">
        <v>338</v>
      </c>
      <c r="P10" s="8">
        <v>563775.76</v>
      </c>
      <c r="Q10" s="8">
        <v>345</v>
      </c>
      <c r="R10" s="8">
        <v>0</v>
      </c>
      <c r="S10" s="8">
        <v>0</v>
      </c>
      <c r="T10" s="8">
        <v>174193</v>
      </c>
      <c r="U10" s="8">
        <v>123</v>
      </c>
      <c r="V10" s="8">
        <v>377259</v>
      </c>
      <c r="W10" s="8">
        <v>206</v>
      </c>
      <c r="X10" s="8">
        <v>155759</v>
      </c>
      <c r="Y10" s="8">
        <v>88</v>
      </c>
      <c r="Z10" s="8">
        <v>238218</v>
      </c>
      <c r="AA10" s="8">
        <v>134</v>
      </c>
      <c r="AB10" s="8">
        <v>267986</v>
      </c>
      <c r="AC10" s="8">
        <v>150</v>
      </c>
      <c r="AD10" s="8">
        <v>240026</v>
      </c>
      <c r="AE10" s="8">
        <v>135</v>
      </c>
      <c r="AF10" s="8">
        <v>695730</v>
      </c>
      <c r="AG10" s="8">
        <v>394</v>
      </c>
      <c r="AH10" s="8">
        <v>655004</v>
      </c>
      <c r="AI10" s="8">
        <v>367</v>
      </c>
      <c r="AJ10" s="8">
        <v>684872</v>
      </c>
      <c r="AK10" s="8">
        <v>383</v>
      </c>
      <c r="AL10" s="8">
        <v>625869</v>
      </c>
      <c r="AM10" s="8">
        <v>359</v>
      </c>
      <c r="AN10" s="8">
        <v>580138</v>
      </c>
      <c r="AO10" s="8">
        <v>321</v>
      </c>
      <c r="AP10" s="8">
        <f t="shared" si="0"/>
        <v>8294380.4800000004</v>
      </c>
      <c r="AQ10" s="12">
        <f t="shared" si="0"/>
        <v>4745</v>
      </c>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row>
    <row r="11" spans="1:243" s="9" customFormat="1" ht="15" customHeight="1" x14ac:dyDescent="0.25">
      <c r="A11" s="7">
        <v>42248</v>
      </c>
      <c r="B11" s="8">
        <v>852779</v>
      </c>
      <c r="C11" s="8">
        <v>484</v>
      </c>
      <c r="D11" s="8">
        <v>806033</v>
      </c>
      <c r="E11" s="8">
        <v>452</v>
      </c>
      <c r="F11" s="8">
        <v>762497</v>
      </c>
      <c r="G11" s="8">
        <v>426</v>
      </c>
      <c r="H11" s="8">
        <v>668033</v>
      </c>
      <c r="I11" s="8">
        <v>380</v>
      </c>
      <c r="J11" s="8">
        <v>322019</v>
      </c>
      <c r="K11" s="8">
        <v>185</v>
      </c>
      <c r="L11" s="8">
        <v>545191</v>
      </c>
      <c r="M11" s="8">
        <v>307</v>
      </c>
      <c r="N11" s="8">
        <v>597493</v>
      </c>
      <c r="O11" s="8">
        <v>340</v>
      </c>
      <c r="P11" s="8">
        <v>542365</v>
      </c>
      <c r="Q11" s="8">
        <v>309</v>
      </c>
      <c r="R11" s="8">
        <v>0</v>
      </c>
      <c r="S11" s="8">
        <v>0</v>
      </c>
      <c r="T11" s="8">
        <v>734085</v>
      </c>
      <c r="U11" s="8">
        <v>416</v>
      </c>
      <c r="V11" s="8">
        <v>573773</v>
      </c>
      <c r="W11" s="8">
        <v>317</v>
      </c>
      <c r="X11" s="8">
        <v>105619</v>
      </c>
      <c r="Y11" s="8">
        <v>63</v>
      </c>
      <c r="Z11" s="8">
        <v>517456</v>
      </c>
      <c r="AA11" s="8">
        <v>291</v>
      </c>
      <c r="AB11" s="8">
        <v>1145795</v>
      </c>
      <c r="AC11" s="8">
        <v>643</v>
      </c>
      <c r="AD11" s="8">
        <v>1089409</v>
      </c>
      <c r="AE11" s="8">
        <v>606</v>
      </c>
      <c r="AF11" s="8">
        <v>781402</v>
      </c>
      <c r="AG11" s="8">
        <v>442</v>
      </c>
      <c r="AH11" s="8">
        <v>857330</v>
      </c>
      <c r="AI11" s="8">
        <v>479</v>
      </c>
      <c r="AJ11" s="8">
        <v>942520</v>
      </c>
      <c r="AK11" s="8">
        <v>524</v>
      </c>
      <c r="AL11" s="8">
        <v>800229</v>
      </c>
      <c r="AM11" s="8">
        <v>459</v>
      </c>
      <c r="AN11" s="8">
        <v>465650.71</v>
      </c>
      <c r="AO11" s="8">
        <v>258</v>
      </c>
      <c r="AP11" s="8">
        <f t="shared" si="0"/>
        <v>13109678.710000001</v>
      </c>
      <c r="AQ11" s="12">
        <f t="shared" si="0"/>
        <v>7381</v>
      </c>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row>
    <row r="12" spans="1:243" s="9" customFormat="1" ht="15" customHeight="1" x14ac:dyDescent="0.25">
      <c r="A12" s="7">
        <v>42278</v>
      </c>
      <c r="B12" s="8">
        <v>1041922</v>
      </c>
      <c r="C12" s="8">
        <v>593</v>
      </c>
      <c r="D12" s="8">
        <v>1068943</v>
      </c>
      <c r="E12" s="8">
        <v>600</v>
      </c>
      <c r="F12" s="8">
        <v>1075295</v>
      </c>
      <c r="G12" s="8">
        <v>601</v>
      </c>
      <c r="H12" s="8">
        <v>858409</v>
      </c>
      <c r="I12" s="8">
        <v>489</v>
      </c>
      <c r="J12" s="8">
        <v>1030819</v>
      </c>
      <c r="K12" s="8">
        <v>582</v>
      </c>
      <c r="L12" s="8">
        <v>880702</v>
      </c>
      <c r="M12" s="8">
        <v>497</v>
      </c>
      <c r="N12" s="8">
        <v>856609</v>
      </c>
      <c r="O12" s="8">
        <v>486</v>
      </c>
      <c r="P12" s="8">
        <v>936891</v>
      </c>
      <c r="Q12" s="8">
        <v>530</v>
      </c>
      <c r="R12" s="8">
        <v>0</v>
      </c>
      <c r="S12" s="8">
        <v>0</v>
      </c>
      <c r="T12" s="8">
        <v>982159</v>
      </c>
      <c r="U12" s="8">
        <v>554</v>
      </c>
      <c r="V12" s="8">
        <v>1113243</v>
      </c>
      <c r="W12" s="8">
        <v>613</v>
      </c>
      <c r="X12" s="8">
        <v>1046598</v>
      </c>
      <c r="Y12" s="8">
        <v>599</v>
      </c>
      <c r="Z12" s="8">
        <v>1064398</v>
      </c>
      <c r="AA12" s="8">
        <v>600</v>
      </c>
      <c r="AB12" s="8">
        <v>1219815</v>
      </c>
      <c r="AC12" s="8">
        <v>686</v>
      </c>
      <c r="AD12" s="8">
        <v>1236052</v>
      </c>
      <c r="AE12" s="8">
        <v>688</v>
      </c>
      <c r="AF12" s="8">
        <v>546253</v>
      </c>
      <c r="AG12" s="8">
        <v>309</v>
      </c>
      <c r="AH12" s="8">
        <v>119290.25</v>
      </c>
      <c r="AI12" s="8">
        <v>66</v>
      </c>
      <c r="AJ12" s="8">
        <v>538588</v>
      </c>
      <c r="AK12" s="8">
        <v>300</v>
      </c>
      <c r="AL12" s="8">
        <v>547415</v>
      </c>
      <c r="AM12" s="8">
        <v>312</v>
      </c>
      <c r="AN12" s="8">
        <v>344416</v>
      </c>
      <c r="AO12" s="8">
        <v>198</v>
      </c>
      <c r="AP12" s="8">
        <f t="shared" si="0"/>
        <v>16507817.25</v>
      </c>
      <c r="AQ12" s="12">
        <f t="shared" si="0"/>
        <v>9303</v>
      </c>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row>
    <row r="13" spans="1:243" s="9" customFormat="1" ht="15" customHeight="1" x14ac:dyDescent="0.25">
      <c r="A13" s="7">
        <v>42309</v>
      </c>
      <c r="B13" s="8">
        <v>744631</v>
      </c>
      <c r="C13" s="8">
        <v>426</v>
      </c>
      <c r="D13" s="8">
        <v>46580.86</v>
      </c>
      <c r="E13" s="8">
        <v>26</v>
      </c>
      <c r="F13" s="8">
        <v>779001</v>
      </c>
      <c r="G13" s="8">
        <v>438</v>
      </c>
      <c r="H13" s="8">
        <v>527853</v>
      </c>
      <c r="I13" s="8">
        <v>318</v>
      </c>
      <c r="J13" s="8">
        <v>740756</v>
      </c>
      <c r="K13" s="8">
        <v>416</v>
      </c>
      <c r="L13" s="8">
        <v>709433</v>
      </c>
      <c r="M13" s="8">
        <v>406</v>
      </c>
      <c r="N13" s="8">
        <v>725916</v>
      </c>
      <c r="O13" s="8">
        <v>413</v>
      </c>
      <c r="P13" s="8">
        <v>606875</v>
      </c>
      <c r="Q13" s="8">
        <v>345</v>
      </c>
      <c r="R13" s="8">
        <v>75472</v>
      </c>
      <c r="S13" s="8">
        <v>63</v>
      </c>
      <c r="T13" s="8">
        <v>638163</v>
      </c>
      <c r="U13" s="8">
        <v>359</v>
      </c>
      <c r="V13" s="8">
        <v>1082856</v>
      </c>
      <c r="W13" s="8">
        <v>595</v>
      </c>
      <c r="X13" s="8">
        <v>743650</v>
      </c>
      <c r="Y13" s="8">
        <v>426</v>
      </c>
      <c r="Z13" s="8">
        <v>1034580</v>
      </c>
      <c r="AA13" s="8">
        <v>582</v>
      </c>
      <c r="AB13" s="8">
        <v>1045572</v>
      </c>
      <c r="AC13" s="8">
        <v>588</v>
      </c>
      <c r="AD13" s="8">
        <v>1078008</v>
      </c>
      <c r="AE13" s="8">
        <v>602</v>
      </c>
      <c r="AF13" s="8">
        <v>1039655</v>
      </c>
      <c r="AG13" s="8">
        <v>590</v>
      </c>
      <c r="AH13" s="8">
        <v>345303</v>
      </c>
      <c r="AI13" s="8">
        <v>199</v>
      </c>
      <c r="AJ13" s="8">
        <v>1043102</v>
      </c>
      <c r="AK13" s="8">
        <v>580</v>
      </c>
      <c r="AL13" s="8">
        <v>1058394</v>
      </c>
      <c r="AM13" s="8">
        <v>604</v>
      </c>
      <c r="AN13" s="8">
        <v>1099934</v>
      </c>
      <c r="AO13" s="8">
        <v>617</v>
      </c>
      <c r="AP13" s="8">
        <f t="shared" si="0"/>
        <v>15165734.859999999</v>
      </c>
      <c r="AQ13" s="12">
        <f t="shared" si="0"/>
        <v>8593</v>
      </c>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row>
    <row r="14" spans="1:243" s="9" customFormat="1" ht="15" customHeight="1" x14ac:dyDescent="0.25">
      <c r="A14" s="7">
        <v>42339</v>
      </c>
      <c r="B14" s="8">
        <v>668168</v>
      </c>
      <c r="C14" s="8">
        <v>382</v>
      </c>
      <c r="D14" s="8">
        <v>571351</v>
      </c>
      <c r="E14" s="8">
        <v>328</v>
      </c>
      <c r="F14" s="8">
        <v>353991</v>
      </c>
      <c r="G14" s="8">
        <v>208</v>
      </c>
      <c r="H14" s="8">
        <v>747138</v>
      </c>
      <c r="I14" s="8">
        <v>429</v>
      </c>
      <c r="J14" s="8">
        <v>795963</v>
      </c>
      <c r="K14" s="8">
        <v>448</v>
      </c>
      <c r="L14" s="8">
        <v>1048827</v>
      </c>
      <c r="M14" s="8">
        <v>593</v>
      </c>
      <c r="N14" s="8">
        <v>1035479</v>
      </c>
      <c r="O14" s="8">
        <v>589</v>
      </c>
      <c r="P14" s="8">
        <v>1023237</v>
      </c>
      <c r="Q14" s="8">
        <v>581</v>
      </c>
      <c r="R14" s="8">
        <v>1010051</v>
      </c>
      <c r="S14" s="8">
        <v>588</v>
      </c>
      <c r="T14" s="8">
        <v>1030881</v>
      </c>
      <c r="U14" s="8">
        <v>583</v>
      </c>
      <c r="V14" s="8">
        <v>896258</v>
      </c>
      <c r="W14" s="8">
        <v>495</v>
      </c>
      <c r="X14" s="8">
        <v>853277</v>
      </c>
      <c r="Y14" s="8">
        <v>485</v>
      </c>
      <c r="Z14" s="8">
        <v>857489</v>
      </c>
      <c r="AA14" s="8">
        <v>483</v>
      </c>
      <c r="AB14" s="8">
        <v>808156</v>
      </c>
      <c r="AC14" s="8">
        <v>457</v>
      </c>
      <c r="AD14" s="8">
        <v>837124</v>
      </c>
      <c r="AE14" s="8">
        <v>467</v>
      </c>
      <c r="AF14" s="8">
        <v>985106</v>
      </c>
      <c r="AG14" s="8">
        <v>559</v>
      </c>
      <c r="AH14" s="8">
        <v>1021107</v>
      </c>
      <c r="AI14" s="8">
        <v>580</v>
      </c>
      <c r="AJ14" s="8">
        <v>1021541</v>
      </c>
      <c r="AK14" s="8">
        <v>577</v>
      </c>
      <c r="AL14" s="8">
        <v>995291</v>
      </c>
      <c r="AM14" s="8">
        <v>568</v>
      </c>
      <c r="AN14" s="8">
        <v>1049628</v>
      </c>
      <c r="AO14" s="8">
        <v>577</v>
      </c>
      <c r="AP14" s="8">
        <f t="shared" si="0"/>
        <v>17610063</v>
      </c>
      <c r="AQ14" s="12">
        <f t="shared" si="0"/>
        <v>9977</v>
      </c>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row>
    <row r="15" spans="1:243" s="9" customFormat="1" ht="15" customHeight="1" x14ac:dyDescent="0.25">
      <c r="A15" s="10" t="s">
        <v>78</v>
      </c>
      <c r="B15" s="139">
        <f>SUM(B3:B14)</f>
        <v>9727727.7478688527</v>
      </c>
      <c r="C15" s="139">
        <f t="shared" ref="C15:AQ15" si="1">SUM(C3:C14)</f>
        <v>5467</v>
      </c>
      <c r="D15" s="139">
        <f t="shared" si="1"/>
        <v>9818945.8886885233</v>
      </c>
      <c r="E15" s="139">
        <f t="shared" si="1"/>
        <v>5507</v>
      </c>
      <c r="F15" s="139">
        <f t="shared" si="1"/>
        <v>10412422.471147541</v>
      </c>
      <c r="G15" s="139">
        <f t="shared" si="1"/>
        <v>5812</v>
      </c>
      <c r="H15" s="139">
        <f t="shared" si="1"/>
        <v>6854902.535245901</v>
      </c>
      <c r="I15" s="139">
        <f t="shared" si="1"/>
        <v>3943</v>
      </c>
      <c r="J15" s="139">
        <f t="shared" si="1"/>
        <v>10214435.236311475</v>
      </c>
      <c r="K15" s="139">
        <f t="shared" si="1"/>
        <v>5727</v>
      </c>
      <c r="L15" s="139">
        <f t="shared" si="1"/>
        <v>9624056.1400000006</v>
      </c>
      <c r="M15" s="139">
        <f t="shared" si="1"/>
        <v>5406</v>
      </c>
      <c r="N15" s="139">
        <f t="shared" si="1"/>
        <v>9921383.0560655743</v>
      </c>
      <c r="O15" s="139">
        <f>SUM(O3:O14)</f>
        <v>5567</v>
      </c>
      <c r="P15" s="139">
        <f t="shared" si="1"/>
        <v>10086988.289508197</v>
      </c>
      <c r="Q15" s="139">
        <f t="shared" si="1"/>
        <v>5695</v>
      </c>
      <c r="R15" s="139">
        <f t="shared" si="1"/>
        <v>6328130.3389344262</v>
      </c>
      <c r="S15" s="139">
        <f t="shared" si="1"/>
        <v>3558</v>
      </c>
      <c r="T15" s="139">
        <f t="shared" si="1"/>
        <v>10312832.051803278</v>
      </c>
      <c r="U15" s="139">
        <f t="shared" si="1"/>
        <v>5795</v>
      </c>
      <c r="V15" s="139">
        <f t="shared" si="1"/>
        <v>11473600.211612022</v>
      </c>
      <c r="W15" s="139">
        <f t="shared" si="1"/>
        <v>6316</v>
      </c>
      <c r="X15" s="139">
        <f t="shared" si="1"/>
        <v>10351209.301693989</v>
      </c>
      <c r="Y15" s="139">
        <f t="shared" si="1"/>
        <v>5813</v>
      </c>
      <c r="Z15" s="139">
        <f t="shared" si="1"/>
        <v>9709085.7103825137</v>
      </c>
      <c r="AA15" s="139">
        <f t="shared" si="1"/>
        <v>5462</v>
      </c>
      <c r="AB15" s="139">
        <f t="shared" si="1"/>
        <v>11499203.109836066</v>
      </c>
      <c r="AC15" s="139">
        <f t="shared" si="1"/>
        <v>6381</v>
      </c>
      <c r="AD15" s="139">
        <f t="shared" si="1"/>
        <v>11785372.600000001</v>
      </c>
      <c r="AE15" s="139">
        <f t="shared" si="1"/>
        <v>6507</v>
      </c>
      <c r="AF15" s="139">
        <f t="shared" si="1"/>
        <v>10301044.109999999</v>
      </c>
      <c r="AG15" s="139">
        <f t="shared" si="1"/>
        <v>5780</v>
      </c>
      <c r="AH15" s="139">
        <f t="shared" si="1"/>
        <v>10011746.958114754</v>
      </c>
      <c r="AI15" s="139">
        <f t="shared" si="1"/>
        <v>5599</v>
      </c>
      <c r="AJ15" s="139">
        <f t="shared" si="1"/>
        <v>11198087.241311476</v>
      </c>
      <c r="AK15" s="139">
        <f t="shared" si="1"/>
        <v>6213</v>
      </c>
      <c r="AL15" s="139">
        <f t="shared" si="1"/>
        <v>10936673.407049181</v>
      </c>
      <c r="AM15" s="139">
        <f t="shared" si="1"/>
        <v>6106</v>
      </c>
      <c r="AN15" s="139">
        <f t="shared" si="1"/>
        <v>10668010.374262296</v>
      </c>
      <c r="AO15" s="139">
        <f t="shared" si="1"/>
        <v>5878</v>
      </c>
      <c r="AP15" s="139">
        <f t="shared" si="1"/>
        <v>201235856.77983606</v>
      </c>
      <c r="AQ15" s="140">
        <f t="shared" si="1"/>
        <v>112532</v>
      </c>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row>
    <row r="16" spans="1:243" ht="15" customHeight="1" x14ac:dyDescent="0.25">
      <c r="B16" s="2"/>
      <c r="V16" s="2"/>
    </row>
    <row r="17" spans="3:213" ht="15" customHeight="1" x14ac:dyDescent="0.25">
      <c r="C17" s="63"/>
    </row>
    <row r="18" spans="3:213" ht="15" customHeight="1" x14ac:dyDescent="0.25">
      <c r="AE18" s="3"/>
    </row>
    <row r="19" spans="3:213" ht="15" customHeight="1" x14ac:dyDescent="0.25">
      <c r="AE19" s="3"/>
    </row>
    <row r="20" spans="3:213" ht="15" customHeight="1" x14ac:dyDescent="0.25">
      <c r="AE20" s="3"/>
    </row>
    <row r="21" spans="3:213" ht="15" customHeight="1" x14ac:dyDescent="0.25">
      <c r="AE21" s="3"/>
      <c r="AQ21" s="16"/>
      <c r="BQ21" s="1"/>
      <c r="GL21" s="107"/>
      <c r="HE21" s="107"/>
    </row>
    <row r="22" spans="3:213" ht="15" customHeight="1" x14ac:dyDescent="0.25">
      <c r="AE22" s="3"/>
      <c r="AQ22" s="16"/>
      <c r="BQ22" s="1"/>
    </row>
    <row r="23" spans="3:213" ht="15" customHeight="1" x14ac:dyDescent="0.25">
      <c r="AE23" s="3"/>
      <c r="AQ23" s="16"/>
      <c r="BQ23" s="1"/>
    </row>
    <row r="24" spans="3:213" ht="15" customHeight="1" x14ac:dyDescent="0.25">
      <c r="AE24" s="3"/>
      <c r="AP24" s="16"/>
      <c r="AQ24" s="16"/>
      <c r="BP24" s="1"/>
      <c r="BQ24" s="1"/>
    </row>
    <row r="25" spans="3:213" ht="15" customHeight="1" x14ac:dyDescent="0.25">
      <c r="AE25" s="3"/>
      <c r="AQ25" s="16"/>
      <c r="BQ25" s="1"/>
    </row>
    <row r="26" spans="3:213" ht="15" customHeight="1" x14ac:dyDescent="0.25">
      <c r="AE26" s="3"/>
      <c r="AQ26" s="16"/>
      <c r="BQ26" s="1"/>
    </row>
    <row r="27" spans="3:213" ht="15" customHeight="1" x14ac:dyDescent="0.25">
      <c r="AE27" s="3"/>
      <c r="AQ27" s="16"/>
      <c r="BQ27" s="1"/>
    </row>
    <row r="28" spans="3:213" ht="15" customHeight="1" x14ac:dyDescent="0.25">
      <c r="AE28" s="3"/>
      <c r="AQ28" s="16"/>
      <c r="BQ28" s="1"/>
    </row>
    <row r="29" spans="3:213" ht="15" customHeight="1" x14ac:dyDescent="0.25">
      <c r="R29" s="62"/>
      <c r="AE29" s="3"/>
      <c r="AQ29" s="16"/>
      <c r="BQ29" s="1"/>
    </row>
    <row r="30" spans="3:213" ht="15" customHeight="1" x14ac:dyDescent="0.25">
      <c r="AE30" s="18"/>
      <c r="AQ30" s="16"/>
      <c r="BQ30" s="1"/>
    </row>
    <row r="31" spans="3:213" ht="15" customHeight="1" x14ac:dyDescent="0.25">
      <c r="AE31" s="18"/>
      <c r="AQ31" s="16"/>
      <c r="BQ31" s="1"/>
    </row>
    <row r="32" spans="3:213" ht="15" customHeight="1" x14ac:dyDescent="0.25">
      <c r="AE32" s="18"/>
      <c r="AQ32" s="16"/>
      <c r="BQ32" s="1"/>
    </row>
    <row r="33" spans="31:69" ht="15" customHeight="1" x14ac:dyDescent="0.25">
      <c r="AE33" s="18"/>
      <c r="AQ33" s="16"/>
      <c r="BQ33" s="1"/>
    </row>
    <row r="34" spans="31:69" ht="15" customHeight="1" x14ac:dyDescent="0.25">
      <c r="AE34" s="18"/>
      <c r="AQ34" s="16"/>
      <c r="BQ34" s="1"/>
    </row>
    <row r="35" spans="31:69" ht="15" customHeight="1" x14ac:dyDescent="0.25">
      <c r="AE35" s="18"/>
      <c r="AQ35" s="16"/>
      <c r="BQ35" s="1"/>
    </row>
    <row r="36" spans="31:69" ht="15" customHeight="1" x14ac:dyDescent="0.25">
      <c r="AE36" s="18"/>
      <c r="AQ36" s="16"/>
      <c r="BQ36" s="1"/>
    </row>
    <row r="37" spans="31:69" ht="15" customHeight="1" x14ac:dyDescent="0.25">
      <c r="AE37" s="18"/>
      <c r="AQ37" s="16"/>
      <c r="BQ37" s="1"/>
    </row>
    <row r="38" spans="31:69" ht="15" customHeight="1" x14ac:dyDescent="0.25">
      <c r="AE38" s="18"/>
      <c r="BQ38" s="1"/>
    </row>
    <row r="39" spans="31:69" ht="15" customHeight="1" x14ac:dyDescent="0.25">
      <c r="AE39" s="18"/>
    </row>
    <row r="41" spans="31:69" ht="15" customHeight="1" x14ac:dyDescent="0.25">
      <c r="AE41" s="16"/>
    </row>
    <row r="43" spans="31:69" ht="15" customHeight="1" x14ac:dyDescent="0.25">
      <c r="AE43" s="16"/>
    </row>
    <row r="45" spans="31:69" ht="15" customHeight="1" x14ac:dyDescent="0.25">
      <c r="AE45" s="16"/>
    </row>
    <row r="47" spans="31:69" ht="15" customHeight="1" x14ac:dyDescent="0.25">
      <c r="AE47" s="16"/>
    </row>
    <row r="49" spans="31:31" ht="15" customHeight="1" x14ac:dyDescent="0.25">
      <c r="AE49" s="16"/>
    </row>
    <row r="51" spans="31:31" ht="15" customHeight="1" x14ac:dyDescent="0.25">
      <c r="AE51" s="16"/>
    </row>
    <row r="53" spans="31:31" ht="15" customHeight="1" x14ac:dyDescent="0.25">
      <c r="AE53" s="16"/>
    </row>
    <row r="55" spans="31:31" ht="15" customHeight="1" x14ac:dyDescent="0.25">
      <c r="AE55" s="16"/>
    </row>
    <row r="57" spans="31:31" ht="15" customHeight="1" x14ac:dyDescent="0.25">
      <c r="AE57" s="16"/>
    </row>
  </sheetData>
  <sheetProtection password="B056" sheet="1" objects="1" scenarios="1"/>
  <mergeCells count="22">
    <mergeCell ref="AJ1:AK1"/>
    <mergeCell ref="AL1:AM1"/>
    <mergeCell ref="AN1:AO1"/>
    <mergeCell ref="AP1:AQ1"/>
    <mergeCell ref="X1:Y1"/>
    <mergeCell ref="Z1:AA1"/>
    <mergeCell ref="AB1:AC1"/>
    <mergeCell ref="AD1:AE1"/>
    <mergeCell ref="AF1:AG1"/>
    <mergeCell ref="AH1:AI1"/>
    <mergeCell ref="V1:W1"/>
    <mergeCell ref="A1:A2"/>
    <mergeCell ref="B1:C1"/>
    <mergeCell ref="D1:E1"/>
    <mergeCell ref="F1:G1"/>
    <mergeCell ref="H1:I1"/>
    <mergeCell ref="J1:K1"/>
    <mergeCell ref="L1:M1"/>
    <mergeCell ref="N1:O1"/>
    <mergeCell ref="P1:Q1"/>
    <mergeCell ref="R1:S1"/>
    <mergeCell ref="T1:U1"/>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E22" sqref="E22"/>
    </sheetView>
  </sheetViews>
  <sheetFormatPr defaultRowHeight="15" customHeight="1" x14ac:dyDescent="0.25"/>
  <cols>
    <col min="1" max="1" width="14.85546875" style="1" customWidth="1"/>
    <col min="2" max="4" width="9.140625" style="1"/>
    <col min="5" max="5" width="15.7109375" style="1" customWidth="1"/>
    <col min="6" max="6" width="20" style="1" bestFit="1" customWidth="1"/>
    <col min="7" max="7" width="15.140625" style="1" bestFit="1" customWidth="1"/>
    <col min="8" max="8" width="14.42578125" style="1" bestFit="1" customWidth="1"/>
    <col min="9" max="9" width="12.140625" style="1" bestFit="1" customWidth="1"/>
    <col min="10" max="10" width="21.7109375" style="1" bestFit="1" customWidth="1"/>
    <col min="11" max="16384" width="9.140625" style="1"/>
  </cols>
  <sheetData>
    <row r="1" spans="1:10" ht="15" customHeight="1" x14ac:dyDescent="0.25">
      <c r="A1" s="154" t="s">
        <v>134</v>
      </c>
      <c r="B1" s="155"/>
      <c r="C1" s="155"/>
      <c r="D1" s="155"/>
      <c r="E1" s="156"/>
    </row>
    <row r="2" spans="1:10" ht="15" customHeight="1" x14ac:dyDescent="0.25">
      <c r="A2" s="157" t="s">
        <v>135</v>
      </c>
      <c r="B2" s="160"/>
      <c r="C2" s="161"/>
      <c r="D2" s="161"/>
      <c r="E2" s="162"/>
    </row>
    <row r="3" spans="1:10" ht="15" customHeight="1" x14ac:dyDescent="0.25">
      <c r="A3" s="158"/>
      <c r="B3" s="163"/>
      <c r="C3" s="164"/>
      <c r="D3" s="164"/>
      <c r="E3" s="165"/>
    </row>
    <row r="4" spans="1:10" ht="15" customHeight="1" x14ac:dyDescent="0.25">
      <c r="A4" s="158"/>
      <c r="B4" s="166"/>
      <c r="C4" s="167"/>
      <c r="D4" s="167"/>
      <c r="E4" s="168"/>
    </row>
    <row r="5" spans="1:10" ht="15" customHeight="1" x14ac:dyDescent="0.25">
      <c r="A5" s="158"/>
      <c r="B5" s="169" t="s">
        <v>136</v>
      </c>
      <c r="C5" s="170"/>
      <c r="D5" s="170"/>
      <c r="E5" s="171"/>
    </row>
    <row r="6" spans="1:10" ht="15" customHeight="1" x14ac:dyDescent="0.25">
      <c r="A6" s="158"/>
      <c r="B6" s="172"/>
      <c r="C6" s="173"/>
      <c r="D6" s="173"/>
      <c r="E6" s="174"/>
    </row>
    <row r="7" spans="1:10" ht="15" customHeight="1" x14ac:dyDescent="0.25">
      <c r="A7" s="158"/>
      <c r="B7" s="172"/>
      <c r="C7" s="173"/>
      <c r="D7" s="173"/>
      <c r="E7" s="174"/>
    </row>
    <row r="8" spans="1:10" ht="15" customHeight="1" x14ac:dyDescent="0.25">
      <c r="A8" s="158"/>
      <c r="B8" s="172"/>
      <c r="C8" s="173"/>
      <c r="D8" s="173"/>
      <c r="E8" s="174"/>
    </row>
    <row r="9" spans="1:10" ht="15" customHeight="1" x14ac:dyDescent="0.25">
      <c r="A9" s="159"/>
      <c r="B9" s="175"/>
      <c r="C9" s="176"/>
      <c r="D9" s="176"/>
      <c r="E9" s="177"/>
    </row>
    <row r="12" spans="1:10" ht="15" customHeight="1" x14ac:dyDescent="0.25">
      <c r="A12" s="178" t="s">
        <v>137</v>
      </c>
      <c r="B12" s="178"/>
      <c r="E12" s="48" t="s">
        <v>138</v>
      </c>
      <c r="F12" s="48" t="s">
        <v>162</v>
      </c>
      <c r="G12" s="48" t="s">
        <v>139</v>
      </c>
      <c r="H12" s="48" t="s">
        <v>140</v>
      </c>
      <c r="I12" s="48" t="s">
        <v>141</v>
      </c>
      <c r="J12" s="48" t="s">
        <v>161</v>
      </c>
    </row>
    <row r="13" spans="1:10" ht="15" customHeight="1" x14ac:dyDescent="0.25">
      <c r="A13" s="1" t="s">
        <v>142</v>
      </c>
      <c r="B13" s="34">
        <v>46.005499999999998</v>
      </c>
      <c r="E13" s="51" t="s">
        <v>35</v>
      </c>
      <c r="F13" s="49">
        <f>AVERAGE('Monitoramento_Cham. Geradores '!F13,'Monitoramento_Cham. Geradores '!N13,'Monitoramento_Cham. Geradores '!V13)</f>
        <v>1035.8888888888889</v>
      </c>
      <c r="G13" s="52">
        <f>AVERAGE('Monitoramento_Cham. Geradores '!F18,'Monitoramento_Cham. Geradores '!N18,'Monitoramento_Cham. Geradores '!V18)</f>
        <v>342.5555555555556</v>
      </c>
      <c r="H13" s="50">
        <f>G13+273.15</f>
        <v>615.70555555555552</v>
      </c>
      <c r="I13" s="153">
        <v>1</v>
      </c>
      <c r="J13" s="34">
        <f>F13*0.04087*$A$26*(($I$13/1)*(298.15/H13))</f>
        <v>631.63775405226113</v>
      </c>
    </row>
    <row r="14" spans="1:10" ht="15" customHeight="1" x14ac:dyDescent="0.25">
      <c r="A14" s="1" t="s">
        <v>143</v>
      </c>
      <c r="B14" s="34">
        <v>30.01</v>
      </c>
      <c r="E14" s="51" t="s">
        <v>36</v>
      </c>
      <c r="F14" s="49">
        <f>AVERAGE('Monitoramento_Cham. Geradores '!F40,'Monitoramento_Cham. Geradores '!N40,'Monitoramento_Cham. Geradores '!V40)</f>
        <v>999.11111111111097</v>
      </c>
      <c r="G14" s="52">
        <f>AVERAGE('Monitoramento_Cham. Geradores '!F45,'Monitoramento_Cham. Geradores '!N45,'Monitoramento_Cham. Geradores '!V45)</f>
        <v>358.88888888888891</v>
      </c>
      <c r="H14" s="50">
        <f t="shared" ref="H14:H16" si="0">G14+273.15</f>
        <v>632.03888888888889</v>
      </c>
      <c r="I14" s="153"/>
      <c r="J14" s="34">
        <f>F14*0.04087*$A$26*(($I$13/1)*(298.15/H14))</f>
        <v>593.46890103676799</v>
      </c>
    </row>
    <row r="15" spans="1:10" ht="15" customHeight="1" x14ac:dyDescent="0.25">
      <c r="A15" s="1" t="s">
        <v>144</v>
      </c>
      <c r="B15" s="34">
        <v>28.01</v>
      </c>
      <c r="E15" s="51" t="s">
        <v>38</v>
      </c>
      <c r="F15" s="49">
        <f>AVERAGE('Monitoramento_Cham. Geradores '!F67,'Monitoramento_Cham. Geradores '!N67,'Monitoramento_Cham. Geradores '!V67)</f>
        <v>1084.3333333333333</v>
      </c>
      <c r="G15" s="52">
        <f>AVERAGE('Monitoramento_Cham. Geradores '!F72,'Monitoramento_Cham. Geradores '!N72,'Monitoramento_Cham. Geradores '!V72)</f>
        <v>352.88888888888891</v>
      </c>
      <c r="H15" s="50">
        <f t="shared" si="0"/>
        <v>626.03888888888889</v>
      </c>
      <c r="I15" s="153"/>
      <c r="J15" s="34">
        <f>F15*0.04087*$A$26*(($I$13/1)*(298.15/H15))</f>
        <v>650.26364590053322</v>
      </c>
    </row>
    <row r="16" spans="1:10" ht="15" customHeight="1" x14ac:dyDescent="0.25">
      <c r="A16" s="1" t="s">
        <v>145</v>
      </c>
      <c r="B16" s="34">
        <v>48</v>
      </c>
      <c r="E16" s="51" t="s">
        <v>37</v>
      </c>
      <c r="F16" s="49">
        <f>AVERAGE('Monitoramento_Cham. Geradores '!F94,'Monitoramento_Cham. Geradores '!N94,'Monitoramento_Cham. Geradores '!V94)</f>
        <v>1029</v>
      </c>
      <c r="G16" s="52">
        <f>AVERAGE('Monitoramento_Cham. Geradores '!F99,'Monitoramento_Cham. Geradores '!N99,'Monitoramento_Cham. Geradores '!V99)</f>
        <v>363.22222222222223</v>
      </c>
      <c r="H16" s="50">
        <f t="shared" si="0"/>
        <v>636.37222222222226</v>
      </c>
      <c r="I16" s="153"/>
      <c r="J16" s="34">
        <f>F16*0.04087*$A$26*(($I$13/1)*(298.15/H16))</f>
        <v>607.06072821859755</v>
      </c>
    </row>
    <row r="17" spans="1:10" ht="15" customHeight="1" x14ac:dyDescent="0.25">
      <c r="A17" s="1" t="s">
        <v>146</v>
      </c>
      <c r="B17" s="34">
        <v>34.1</v>
      </c>
      <c r="F17" s="49"/>
      <c r="G17" s="50"/>
      <c r="H17" s="50"/>
      <c r="J17" s="34"/>
    </row>
    <row r="18" spans="1:10" ht="15" customHeight="1" x14ac:dyDescent="0.25">
      <c r="A18" s="1" t="s">
        <v>147</v>
      </c>
      <c r="B18" s="34">
        <v>64.066000000000003</v>
      </c>
      <c r="F18" s="49"/>
      <c r="G18" s="50"/>
      <c r="H18" s="50"/>
      <c r="J18" s="34"/>
    </row>
    <row r="19" spans="1:10" ht="15" customHeight="1" x14ac:dyDescent="0.25">
      <c r="A19" s="1" t="s">
        <v>148</v>
      </c>
      <c r="B19" s="34">
        <v>36.46</v>
      </c>
      <c r="E19" s="37"/>
      <c r="F19" s="49"/>
      <c r="G19" s="50"/>
      <c r="H19" s="50"/>
      <c r="J19" s="34"/>
    </row>
    <row r="20" spans="1:10" ht="15" customHeight="1" x14ac:dyDescent="0.25">
      <c r="A20" s="1" t="s">
        <v>149</v>
      </c>
      <c r="B20" s="34">
        <v>20.0063</v>
      </c>
      <c r="F20" s="49"/>
      <c r="G20" s="50"/>
      <c r="H20" s="50"/>
      <c r="J20" s="34"/>
    </row>
    <row r="21" spans="1:10" ht="15" customHeight="1" x14ac:dyDescent="0.25">
      <c r="A21" s="1" t="s">
        <v>150</v>
      </c>
      <c r="B21" s="34">
        <v>44.1</v>
      </c>
      <c r="F21" s="49"/>
      <c r="G21" s="50"/>
      <c r="H21" s="50"/>
      <c r="J21" s="34"/>
    </row>
    <row r="22" spans="1:10" ht="15" customHeight="1" x14ac:dyDescent="0.25">
      <c r="A22" s="1" t="s">
        <v>151</v>
      </c>
      <c r="B22" s="34">
        <v>78.11</v>
      </c>
    </row>
    <row r="23" spans="1:10" ht="15" customHeight="1" x14ac:dyDescent="0.25">
      <c r="A23" s="1" t="s">
        <v>152</v>
      </c>
      <c r="B23" s="34">
        <v>44.01</v>
      </c>
    </row>
    <row r="25" spans="1:10" ht="15" customHeight="1" x14ac:dyDescent="0.25">
      <c r="A25" s="97" t="s">
        <v>215</v>
      </c>
    </row>
    <row r="26" spans="1:10" ht="15" customHeight="1" x14ac:dyDescent="0.25">
      <c r="A26" s="98">
        <f>0.95*B14+0.05*B13</f>
        <v>30.809774999999998</v>
      </c>
      <c r="B26" s="99" t="s">
        <v>216</v>
      </c>
    </row>
  </sheetData>
  <mergeCells count="6">
    <mergeCell ref="I13:I16"/>
    <mergeCell ref="A1:E1"/>
    <mergeCell ref="A2:A9"/>
    <mergeCell ref="B2:E4"/>
    <mergeCell ref="B5:E9"/>
    <mergeCell ref="A12:B12"/>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
  <sheetViews>
    <sheetView workbookViewId="0">
      <selection activeCell="E30" sqref="E30"/>
    </sheetView>
  </sheetViews>
  <sheetFormatPr defaultColWidth="8.7109375" defaultRowHeight="15" customHeight="1" x14ac:dyDescent="0.2"/>
  <cols>
    <col min="1" max="1" width="16.7109375" style="47" customWidth="1"/>
    <col min="2" max="7" width="14.7109375" style="47" customWidth="1"/>
    <col min="8" max="8" width="8.7109375" style="47"/>
    <col min="9" max="9" width="15.28515625" style="47" bestFit="1" customWidth="1"/>
    <col min="10" max="16384" width="8.7109375" style="47"/>
  </cols>
  <sheetData>
    <row r="1" spans="1:7" ht="15" customHeight="1" x14ac:dyDescent="0.25">
      <c r="A1" s="70" t="s">
        <v>168</v>
      </c>
      <c r="B1" s="71"/>
      <c r="C1" s="71"/>
      <c r="D1" s="71"/>
      <c r="E1" s="71"/>
      <c r="F1" s="71"/>
      <c r="G1" s="71"/>
    </row>
    <row r="2" spans="1:7" ht="15" customHeight="1" x14ac:dyDescent="0.2">
      <c r="A2" s="179" t="s">
        <v>169</v>
      </c>
      <c r="B2" s="179"/>
      <c r="C2" s="179"/>
      <c r="D2" s="179"/>
      <c r="E2" s="179"/>
      <c r="F2" s="179"/>
      <c r="G2" s="179"/>
    </row>
    <row r="3" spans="1:7" ht="15" customHeight="1" x14ac:dyDescent="0.2">
      <c r="A3" s="180" t="s">
        <v>170</v>
      </c>
      <c r="B3" s="181" t="s">
        <v>171</v>
      </c>
      <c r="C3" s="182"/>
      <c r="D3" s="182"/>
      <c r="E3" s="182"/>
      <c r="F3" s="182"/>
      <c r="G3" s="183"/>
    </row>
    <row r="4" spans="1:7" ht="21.75" customHeight="1" x14ac:dyDescent="0.2">
      <c r="A4" s="180"/>
      <c r="B4" s="56" t="s">
        <v>172</v>
      </c>
      <c r="C4" s="56" t="s">
        <v>173</v>
      </c>
      <c r="D4" s="56" t="s">
        <v>174</v>
      </c>
      <c r="E4" s="56" t="s">
        <v>175</v>
      </c>
      <c r="F4" s="56" t="s">
        <v>176</v>
      </c>
      <c r="G4" s="56" t="s">
        <v>177</v>
      </c>
    </row>
    <row r="5" spans="1:7" ht="15" customHeight="1" x14ac:dyDescent="0.2">
      <c r="A5" s="184" t="s">
        <v>155</v>
      </c>
      <c r="B5" s="185"/>
      <c r="C5" s="185"/>
      <c r="D5" s="185"/>
      <c r="E5" s="185"/>
      <c r="F5" s="185"/>
      <c r="G5" s="186"/>
    </row>
    <row r="6" spans="1:7" ht="15" customHeight="1" x14ac:dyDescent="0.2">
      <c r="A6" s="72" t="s">
        <v>178</v>
      </c>
      <c r="B6" s="73">
        <v>2.4E-2</v>
      </c>
      <c r="C6" s="74">
        <f>B6*0.608</f>
        <v>1.4592000000000001E-2</v>
      </c>
      <c r="D6" s="75">
        <v>3.2</v>
      </c>
      <c r="E6" s="76">
        <f>D6*430</f>
        <v>1376</v>
      </c>
      <c r="F6" s="77">
        <f>E6*0.0036</f>
        <v>4.9535999999999998</v>
      </c>
      <c r="G6" s="73" t="s">
        <v>179</v>
      </c>
    </row>
    <row r="7" spans="1:7" ht="15" customHeight="1" x14ac:dyDescent="0.2">
      <c r="A7" s="78" t="s">
        <v>180</v>
      </c>
      <c r="B7" s="79">
        <v>1.2999999999999999E-2</v>
      </c>
      <c r="C7" s="74">
        <f>B7*0.608</f>
        <v>7.9039999999999996E-3</v>
      </c>
      <c r="D7" s="80">
        <v>1.9</v>
      </c>
      <c r="E7" s="76">
        <f t="shared" ref="E7:E14" si="0">D7*430</f>
        <v>817</v>
      </c>
      <c r="F7" s="77">
        <f t="shared" ref="F7:F14" si="1">E7*0.0036</f>
        <v>2.9411999999999998</v>
      </c>
      <c r="G7" s="73" t="s">
        <v>179</v>
      </c>
    </row>
    <row r="8" spans="1:7" ht="15" customHeight="1" x14ac:dyDescent="0.2">
      <c r="A8" s="57" t="s">
        <v>144</v>
      </c>
      <c r="B8" s="58">
        <f>5.5*10^-3</f>
        <v>5.4999999999999997E-3</v>
      </c>
      <c r="C8" s="101">
        <f>B8*0.608</f>
        <v>3.3439999999999998E-3</v>
      </c>
      <c r="D8" s="59">
        <v>0.85</v>
      </c>
      <c r="E8" s="102">
        <f t="shared" si="0"/>
        <v>365.5</v>
      </c>
      <c r="F8" s="103">
        <f t="shared" si="1"/>
        <v>1.3157999999999999</v>
      </c>
      <c r="G8" s="58" t="s">
        <v>181</v>
      </c>
    </row>
    <row r="9" spans="1:7" ht="15" customHeight="1" x14ac:dyDescent="0.2">
      <c r="A9" s="72" t="s">
        <v>182</v>
      </c>
      <c r="B9" s="73" t="s">
        <v>183</v>
      </c>
      <c r="C9" s="74">
        <f>(8.09*10^-3*B16)*0.608</f>
        <v>5.2138432000000002E-3</v>
      </c>
      <c r="D9" s="73" t="s">
        <v>184</v>
      </c>
      <c r="E9" s="76">
        <f>1.01*B16</f>
        <v>1.0706</v>
      </c>
      <c r="F9" s="81">
        <f t="shared" si="1"/>
        <v>3.8541599999999997E-3</v>
      </c>
      <c r="G9" s="73" t="s">
        <v>179</v>
      </c>
    </row>
    <row r="10" spans="1:7" ht="15" customHeight="1" x14ac:dyDescent="0.2">
      <c r="A10" s="72" t="s">
        <v>185</v>
      </c>
      <c r="B10" s="73">
        <v>1.1599999999999999</v>
      </c>
      <c r="C10" s="75">
        <f>B10*0.608</f>
        <v>0.70527999999999991</v>
      </c>
      <c r="D10" s="82">
        <v>165</v>
      </c>
      <c r="E10" s="76">
        <f>D10*430</f>
        <v>70950</v>
      </c>
      <c r="F10" s="76">
        <f t="shared" si="1"/>
        <v>255.42</v>
      </c>
      <c r="G10" s="73" t="s">
        <v>179</v>
      </c>
    </row>
    <row r="11" spans="1:7" ht="15" customHeight="1" x14ac:dyDescent="0.2">
      <c r="A11" s="83" t="s">
        <v>156</v>
      </c>
      <c r="B11" s="73">
        <v>6.9999999999999999E-4</v>
      </c>
      <c r="C11" s="84">
        <f>B11*0.608</f>
        <v>4.2559999999999999E-4</v>
      </c>
      <c r="D11" s="75">
        <v>0.1</v>
      </c>
      <c r="E11" s="76">
        <f t="shared" si="0"/>
        <v>43</v>
      </c>
      <c r="F11" s="77">
        <f t="shared" si="1"/>
        <v>0.15479999999999999</v>
      </c>
      <c r="G11" s="73" t="s">
        <v>179</v>
      </c>
    </row>
    <row r="12" spans="1:7" ht="15" customHeight="1" x14ac:dyDescent="0.2">
      <c r="A12" s="72" t="s">
        <v>186</v>
      </c>
      <c r="B12" s="84">
        <f>7.05*10^-4</f>
        <v>7.0500000000000001E-4</v>
      </c>
      <c r="C12" s="84">
        <f>B12*0.608</f>
        <v>4.2863999999999999E-4</v>
      </c>
      <c r="D12" s="75">
        <v>0.09</v>
      </c>
      <c r="E12" s="76">
        <f t="shared" si="0"/>
        <v>38.699999999999996</v>
      </c>
      <c r="F12" s="77">
        <f t="shared" si="1"/>
        <v>0.13931999999999997</v>
      </c>
      <c r="G12" s="73" t="s">
        <v>181</v>
      </c>
    </row>
    <row r="13" spans="1:7" ht="15" customHeight="1" x14ac:dyDescent="0.2">
      <c r="A13" s="83" t="s">
        <v>187</v>
      </c>
      <c r="B13" s="85">
        <f>B12*0.09</f>
        <v>6.3449999999999997E-5</v>
      </c>
      <c r="C13" s="85">
        <f>B13*0.608</f>
        <v>3.8577599999999995E-5</v>
      </c>
      <c r="D13" s="74">
        <f>D12*0.09</f>
        <v>8.0999999999999996E-3</v>
      </c>
      <c r="E13" s="76">
        <f t="shared" si="0"/>
        <v>3.4829999999999997</v>
      </c>
      <c r="F13" s="77">
        <f t="shared" si="1"/>
        <v>1.2538799999999999E-2</v>
      </c>
      <c r="G13" s="86" t="s">
        <v>188</v>
      </c>
    </row>
    <row r="14" spans="1:7" ht="15" customHeight="1" x14ac:dyDescent="0.2">
      <c r="A14" s="104" t="s">
        <v>189</v>
      </c>
      <c r="B14" s="105">
        <f>B12*0.91</f>
        <v>6.4155000000000006E-4</v>
      </c>
      <c r="C14" s="105">
        <f>B14*0.608</f>
        <v>3.9006240000000002E-4</v>
      </c>
      <c r="D14" s="101">
        <f>D12*0.91</f>
        <v>8.1900000000000001E-2</v>
      </c>
      <c r="E14" s="102">
        <f t="shared" si="0"/>
        <v>35.216999999999999</v>
      </c>
      <c r="F14" s="103">
        <f t="shared" si="1"/>
        <v>0.12678119999999998</v>
      </c>
      <c r="G14" s="106" t="s">
        <v>188</v>
      </c>
    </row>
    <row r="16" spans="1:7" ht="15" customHeight="1" x14ac:dyDescent="0.2">
      <c r="A16" s="1" t="s">
        <v>217</v>
      </c>
      <c r="B16" s="68">
        <v>1.06</v>
      </c>
    </row>
  </sheetData>
  <sheetProtection password="B056" sheet="1" objects="1" scenarios="1"/>
  <mergeCells count="4">
    <mergeCell ref="A2:G2"/>
    <mergeCell ref="A3:A4"/>
    <mergeCell ref="B3:G3"/>
    <mergeCell ref="A5:G5"/>
  </mergeCells>
  <pageMargins left="0.511811024" right="0.511811024" top="0.78740157499999996" bottom="0.78740157499999996" header="0.31496062000000002" footer="0.3149606200000000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4"/>
  <sheetViews>
    <sheetView workbookViewId="0">
      <selection activeCell="A30" sqref="A30:G30"/>
    </sheetView>
  </sheetViews>
  <sheetFormatPr defaultRowHeight="15" x14ac:dyDescent="0.25"/>
  <cols>
    <col min="1" max="1" width="38.5703125" style="20" customWidth="1"/>
    <col min="2" max="2" width="9.5703125" style="20" customWidth="1"/>
    <col min="3" max="7" width="11.7109375" style="20" customWidth="1"/>
    <col min="8" max="8" width="9.140625" style="20"/>
    <col min="9" max="9" width="38.7109375" style="20" customWidth="1"/>
    <col min="10" max="10" width="9.140625" style="20" customWidth="1"/>
    <col min="11" max="15" width="11.42578125" style="20" customWidth="1"/>
    <col min="16" max="16" width="9.140625" style="20"/>
    <col min="17" max="17" width="39" style="20" customWidth="1"/>
    <col min="18" max="18" width="9.7109375" style="20" customWidth="1"/>
    <col min="19" max="23" width="11.85546875" style="20" customWidth="1"/>
    <col min="24" max="16384" width="9.140625" style="20"/>
  </cols>
  <sheetData>
    <row r="1" spans="1:23" x14ac:dyDescent="0.25">
      <c r="A1" s="196" t="s">
        <v>34</v>
      </c>
      <c r="B1" s="197"/>
      <c r="C1" s="197"/>
      <c r="D1" s="197"/>
      <c r="E1" s="197"/>
      <c r="F1" s="197"/>
      <c r="G1" s="198"/>
      <c r="I1" s="196" t="s">
        <v>34</v>
      </c>
      <c r="J1" s="197"/>
      <c r="K1" s="197"/>
      <c r="L1" s="197"/>
      <c r="M1" s="197"/>
      <c r="N1" s="197"/>
      <c r="O1" s="198"/>
      <c r="Q1" s="199" t="s">
        <v>34</v>
      </c>
      <c r="R1" s="200"/>
      <c r="S1" s="200"/>
      <c r="T1" s="200"/>
      <c r="U1" s="200"/>
      <c r="V1" s="200"/>
      <c r="W1" s="201"/>
    </row>
    <row r="2" spans="1:23" x14ac:dyDescent="0.25">
      <c r="A2" s="187" t="s">
        <v>12</v>
      </c>
      <c r="B2" s="188"/>
      <c r="C2" s="188"/>
      <c r="D2" s="188"/>
      <c r="E2" s="188"/>
      <c r="F2" s="188"/>
      <c r="G2" s="189"/>
      <c r="I2" s="187" t="s">
        <v>28</v>
      </c>
      <c r="J2" s="188"/>
      <c r="K2" s="188"/>
      <c r="L2" s="188"/>
      <c r="M2" s="188"/>
      <c r="N2" s="188"/>
      <c r="O2" s="189"/>
      <c r="Q2" s="190" t="s">
        <v>29</v>
      </c>
      <c r="R2" s="190"/>
      <c r="S2" s="190"/>
      <c r="T2" s="190"/>
      <c r="U2" s="190"/>
      <c r="V2" s="190"/>
      <c r="W2" s="190"/>
    </row>
    <row r="3" spans="1:23" x14ac:dyDescent="0.25">
      <c r="A3" s="187" t="s">
        <v>34</v>
      </c>
      <c r="B3" s="188"/>
      <c r="C3" s="188"/>
      <c r="D3" s="188"/>
      <c r="E3" s="188"/>
      <c r="F3" s="188"/>
      <c r="G3" s="189"/>
      <c r="I3" s="187" t="s">
        <v>34</v>
      </c>
      <c r="J3" s="188"/>
      <c r="K3" s="188"/>
      <c r="L3" s="188"/>
      <c r="M3" s="188"/>
      <c r="N3" s="188"/>
      <c r="O3" s="189"/>
      <c r="Q3" s="190" t="s">
        <v>34</v>
      </c>
      <c r="R3" s="190"/>
      <c r="S3" s="190"/>
      <c r="T3" s="190"/>
      <c r="U3" s="190"/>
      <c r="V3" s="190"/>
      <c r="W3" s="190"/>
    </row>
    <row r="4" spans="1:23" ht="15" customHeight="1" x14ac:dyDescent="0.25">
      <c r="A4" s="191" t="s">
        <v>13</v>
      </c>
      <c r="B4" s="191" t="s">
        <v>0</v>
      </c>
      <c r="C4" s="187" t="s">
        <v>8</v>
      </c>
      <c r="D4" s="188"/>
      <c r="E4" s="189"/>
      <c r="F4" s="194" t="s">
        <v>23</v>
      </c>
      <c r="G4" s="194" t="s">
        <v>25</v>
      </c>
      <c r="I4" s="191" t="s">
        <v>13</v>
      </c>
      <c r="J4" s="191" t="s">
        <v>0</v>
      </c>
      <c r="K4" s="187" t="s">
        <v>8</v>
      </c>
      <c r="L4" s="188"/>
      <c r="M4" s="189"/>
      <c r="N4" s="194" t="s">
        <v>23</v>
      </c>
      <c r="O4" s="194" t="s">
        <v>25</v>
      </c>
      <c r="Q4" s="191" t="s">
        <v>13</v>
      </c>
      <c r="R4" s="190" t="s">
        <v>0</v>
      </c>
      <c r="S4" s="187" t="s">
        <v>8</v>
      </c>
      <c r="T4" s="188"/>
      <c r="U4" s="189"/>
      <c r="V4" s="193" t="s">
        <v>23</v>
      </c>
      <c r="W4" s="193" t="s">
        <v>25</v>
      </c>
    </row>
    <row r="5" spans="1:23" x14ac:dyDescent="0.25">
      <c r="A5" s="192"/>
      <c r="B5" s="192"/>
      <c r="C5" s="19">
        <v>1</v>
      </c>
      <c r="D5" s="19">
        <v>2</v>
      </c>
      <c r="E5" s="19">
        <v>3</v>
      </c>
      <c r="F5" s="195"/>
      <c r="G5" s="195"/>
      <c r="I5" s="192"/>
      <c r="J5" s="192"/>
      <c r="K5" s="19">
        <v>1</v>
      </c>
      <c r="L5" s="19">
        <v>2</v>
      </c>
      <c r="M5" s="19">
        <v>3</v>
      </c>
      <c r="N5" s="195"/>
      <c r="O5" s="195"/>
      <c r="Q5" s="192"/>
      <c r="R5" s="190"/>
      <c r="S5" s="19">
        <v>1</v>
      </c>
      <c r="T5" s="19">
        <v>2</v>
      </c>
      <c r="U5" s="19">
        <v>3</v>
      </c>
      <c r="V5" s="193"/>
      <c r="W5" s="193"/>
    </row>
    <row r="6" spans="1:23" x14ac:dyDescent="0.25">
      <c r="A6" s="187" t="s">
        <v>14</v>
      </c>
      <c r="B6" s="188"/>
      <c r="C6" s="188"/>
      <c r="D6" s="188"/>
      <c r="E6" s="188"/>
      <c r="F6" s="188"/>
      <c r="G6" s="189"/>
      <c r="I6" s="187" t="s">
        <v>14</v>
      </c>
      <c r="J6" s="188"/>
      <c r="K6" s="188"/>
      <c r="L6" s="188"/>
      <c r="M6" s="188"/>
      <c r="N6" s="188"/>
      <c r="O6" s="189"/>
      <c r="Q6" s="190" t="s">
        <v>14</v>
      </c>
      <c r="R6" s="190"/>
      <c r="S6" s="190"/>
      <c r="T6" s="190"/>
      <c r="U6" s="190"/>
      <c r="V6" s="190"/>
      <c r="W6" s="190"/>
    </row>
    <row r="7" spans="1:23" x14ac:dyDescent="0.25">
      <c r="A7" s="21" t="s">
        <v>9</v>
      </c>
      <c r="B7" s="19" t="s">
        <v>7</v>
      </c>
      <c r="C7" s="22">
        <v>63</v>
      </c>
      <c r="D7" s="22">
        <v>65.599999999999994</v>
      </c>
      <c r="E7" s="22">
        <v>71.599999999999994</v>
      </c>
      <c r="F7" s="22">
        <f>AVERAGE(C7:E7)</f>
        <v>66.733333333333334</v>
      </c>
      <c r="G7" s="22" t="s">
        <v>6</v>
      </c>
      <c r="I7" s="21" t="s">
        <v>9</v>
      </c>
      <c r="J7" s="19" t="s">
        <v>7</v>
      </c>
      <c r="K7" s="22">
        <v>69.900000000000006</v>
      </c>
      <c r="L7" s="22">
        <v>66</v>
      </c>
      <c r="M7" s="22">
        <v>63.3</v>
      </c>
      <c r="N7" s="22">
        <f>AVERAGE(K7:M7)</f>
        <v>66.399999999999991</v>
      </c>
      <c r="O7" s="22" t="s">
        <v>6</v>
      </c>
      <c r="Q7" s="21" t="s">
        <v>9</v>
      </c>
      <c r="R7" s="19" t="s">
        <v>7</v>
      </c>
      <c r="S7" s="22">
        <v>82</v>
      </c>
      <c r="T7" s="22">
        <v>80.8</v>
      </c>
      <c r="U7" s="22">
        <v>71.900000000000006</v>
      </c>
      <c r="V7" s="22">
        <f>AVERAGE(S7:U7)</f>
        <v>78.233333333333334</v>
      </c>
      <c r="W7" s="22" t="s">
        <v>6</v>
      </c>
    </row>
    <row r="8" spans="1:23" x14ac:dyDescent="0.25">
      <c r="A8" s="21" t="s">
        <v>1</v>
      </c>
      <c r="B8" s="19" t="s">
        <v>10</v>
      </c>
      <c r="C8" s="23">
        <v>3.07</v>
      </c>
      <c r="D8" s="23">
        <v>3.19</v>
      </c>
      <c r="E8" s="23">
        <v>3.45</v>
      </c>
      <c r="F8" s="23">
        <f>AVERAGE(C8:E8)</f>
        <v>3.2366666666666668</v>
      </c>
      <c r="G8" s="23" t="s">
        <v>6</v>
      </c>
      <c r="I8" s="21" t="s">
        <v>1</v>
      </c>
      <c r="J8" s="19" t="s">
        <v>10</v>
      </c>
      <c r="K8" s="23">
        <v>3.2</v>
      </c>
      <c r="L8" s="23">
        <v>2.96</v>
      </c>
      <c r="M8" s="23">
        <v>2.89</v>
      </c>
      <c r="N8" s="23">
        <f>AVERAGE(K8:M8)</f>
        <v>3.0166666666666671</v>
      </c>
      <c r="O8" s="23" t="s">
        <v>6</v>
      </c>
      <c r="Q8" s="21" t="s">
        <v>1</v>
      </c>
      <c r="R8" s="19" t="s">
        <v>10</v>
      </c>
      <c r="S8" s="23">
        <v>3.85</v>
      </c>
      <c r="T8" s="23">
        <v>3.78</v>
      </c>
      <c r="U8" s="23">
        <v>3.37</v>
      </c>
      <c r="V8" s="23">
        <f>AVERAGE(S8:U8)</f>
        <v>3.6666666666666665</v>
      </c>
      <c r="W8" s="23" t="s">
        <v>6</v>
      </c>
    </row>
    <row r="9" spans="1:23" x14ac:dyDescent="0.25">
      <c r="A9" s="187" t="s">
        <v>15</v>
      </c>
      <c r="B9" s="188"/>
      <c r="C9" s="188"/>
      <c r="D9" s="188"/>
      <c r="E9" s="188"/>
      <c r="F9" s="188"/>
      <c r="G9" s="189"/>
      <c r="I9" s="187" t="s">
        <v>15</v>
      </c>
      <c r="J9" s="188"/>
      <c r="K9" s="188"/>
      <c r="L9" s="188"/>
      <c r="M9" s="188"/>
      <c r="N9" s="188"/>
      <c r="O9" s="189"/>
      <c r="Q9" s="190" t="s">
        <v>15</v>
      </c>
      <c r="R9" s="190"/>
      <c r="S9" s="190"/>
      <c r="T9" s="190"/>
      <c r="U9" s="190"/>
      <c r="V9" s="190"/>
      <c r="W9" s="190"/>
    </row>
    <row r="10" spans="1:23" x14ac:dyDescent="0.25">
      <c r="A10" s="21" t="s">
        <v>9</v>
      </c>
      <c r="B10" s="19" t="s">
        <v>7</v>
      </c>
      <c r="C10" s="22">
        <v>513.70000000000005</v>
      </c>
      <c r="D10" s="22">
        <v>497.1</v>
      </c>
      <c r="E10" s="22">
        <v>475.1</v>
      </c>
      <c r="F10" s="23">
        <f>AVERAGE(C10:E10)</f>
        <v>495.3</v>
      </c>
      <c r="G10" s="23" t="s">
        <v>6</v>
      </c>
      <c r="I10" s="21" t="s">
        <v>9</v>
      </c>
      <c r="J10" s="19" t="s">
        <v>7</v>
      </c>
      <c r="K10" s="22">
        <v>489.5</v>
      </c>
      <c r="L10" s="22">
        <v>473.7</v>
      </c>
      <c r="M10" s="22">
        <v>511.8</v>
      </c>
      <c r="N10" s="22">
        <f>AVERAGE(K10:M10)</f>
        <v>491.66666666666669</v>
      </c>
      <c r="O10" s="23" t="s">
        <v>6</v>
      </c>
      <c r="Q10" s="21" t="s">
        <v>9</v>
      </c>
      <c r="R10" s="19" t="s">
        <v>7</v>
      </c>
      <c r="S10" s="22">
        <v>463.5</v>
      </c>
      <c r="T10" s="22">
        <v>475.2</v>
      </c>
      <c r="U10" s="22">
        <v>500.2</v>
      </c>
      <c r="V10" s="22">
        <f>AVERAGE(S10:U10)</f>
        <v>479.63333333333338</v>
      </c>
      <c r="W10" s="22">
        <v>479.6</v>
      </c>
    </row>
    <row r="11" spans="1:23" x14ac:dyDescent="0.25">
      <c r="A11" s="21" t="s">
        <v>1</v>
      </c>
      <c r="B11" s="19" t="s">
        <v>10</v>
      </c>
      <c r="C11" s="23">
        <v>25.02</v>
      </c>
      <c r="D11" s="23">
        <v>24.14</v>
      </c>
      <c r="E11" s="23">
        <v>22.89</v>
      </c>
      <c r="F11" s="23">
        <f>AVERAGE(C11:E11)</f>
        <v>24.016666666666666</v>
      </c>
      <c r="G11" s="23" t="s">
        <v>6</v>
      </c>
      <c r="I11" s="21" t="s">
        <v>1</v>
      </c>
      <c r="J11" s="19" t="s">
        <v>10</v>
      </c>
      <c r="K11" s="23">
        <v>22.4</v>
      </c>
      <c r="L11" s="23">
        <v>21.23</v>
      </c>
      <c r="M11" s="23">
        <v>23.38</v>
      </c>
      <c r="N11" s="23">
        <f>AVERAGE(K11:M11)</f>
        <v>22.336666666666662</v>
      </c>
      <c r="O11" s="23" t="s">
        <v>6</v>
      </c>
      <c r="Q11" s="21" t="s">
        <v>1</v>
      </c>
      <c r="R11" s="19" t="s">
        <v>10</v>
      </c>
      <c r="S11" s="23">
        <v>21.76</v>
      </c>
      <c r="T11" s="23">
        <v>22.2</v>
      </c>
      <c r="U11" s="23">
        <v>23.48</v>
      </c>
      <c r="V11" s="23">
        <f>AVERAGE(S11:U11)</f>
        <v>22.48</v>
      </c>
      <c r="W11" s="23" t="s">
        <v>6</v>
      </c>
    </row>
    <row r="12" spans="1:23" x14ac:dyDescent="0.25">
      <c r="A12" s="187" t="s">
        <v>31</v>
      </c>
      <c r="B12" s="188"/>
      <c r="C12" s="188"/>
      <c r="D12" s="188"/>
      <c r="E12" s="188"/>
      <c r="F12" s="188"/>
      <c r="G12" s="189"/>
      <c r="I12" s="187" t="s">
        <v>31</v>
      </c>
      <c r="J12" s="188"/>
      <c r="K12" s="188"/>
      <c r="L12" s="188"/>
      <c r="M12" s="188"/>
      <c r="N12" s="188"/>
      <c r="O12" s="189"/>
      <c r="Q12" s="190" t="s">
        <v>31</v>
      </c>
      <c r="R12" s="190"/>
      <c r="S12" s="190"/>
      <c r="T12" s="190"/>
      <c r="U12" s="190"/>
      <c r="V12" s="190"/>
      <c r="W12" s="190"/>
    </row>
    <row r="13" spans="1:23" x14ac:dyDescent="0.25">
      <c r="A13" s="21" t="s">
        <v>32</v>
      </c>
      <c r="B13" s="19" t="s">
        <v>30</v>
      </c>
      <c r="C13" s="24">
        <v>997</v>
      </c>
      <c r="D13" s="24">
        <v>1015</v>
      </c>
      <c r="E13" s="24">
        <v>1023</v>
      </c>
      <c r="F13" s="23">
        <f>AVERAGE(C13:E13)</f>
        <v>1011.6666666666666</v>
      </c>
      <c r="G13" s="23" t="s">
        <v>6</v>
      </c>
      <c r="I13" s="21" t="s">
        <v>32</v>
      </c>
      <c r="J13" s="19" t="s">
        <v>30</v>
      </c>
      <c r="K13" s="24">
        <v>1047</v>
      </c>
      <c r="L13" s="24">
        <v>1067</v>
      </c>
      <c r="M13" s="24">
        <v>1039</v>
      </c>
      <c r="N13" s="24">
        <f>AVERAGE(K13:M13)</f>
        <v>1051</v>
      </c>
      <c r="O13" s="24" t="s">
        <v>6</v>
      </c>
      <c r="Q13" s="21" t="s">
        <v>32</v>
      </c>
      <c r="R13" s="19" t="s">
        <v>30</v>
      </c>
      <c r="S13" s="24">
        <v>1056</v>
      </c>
      <c r="T13" s="24">
        <v>1021</v>
      </c>
      <c r="U13" s="24">
        <v>1058</v>
      </c>
      <c r="V13" s="24">
        <f>AVERAGE(S13:U13)</f>
        <v>1045</v>
      </c>
      <c r="W13" s="24" t="s">
        <v>6</v>
      </c>
    </row>
    <row r="14" spans="1:23" x14ac:dyDescent="0.25">
      <c r="A14" s="21" t="s">
        <v>33</v>
      </c>
      <c r="B14" s="19" t="s">
        <v>30</v>
      </c>
      <c r="C14" s="24">
        <v>666</v>
      </c>
      <c r="D14" s="24">
        <v>688</v>
      </c>
      <c r="E14" s="24">
        <v>706</v>
      </c>
      <c r="F14" s="23">
        <f>AVERAGE(C14:E14)</f>
        <v>686.66666666666663</v>
      </c>
      <c r="G14" s="23" t="s">
        <v>6</v>
      </c>
      <c r="I14" s="21" t="s">
        <v>33</v>
      </c>
      <c r="J14" s="19" t="s">
        <v>30</v>
      </c>
      <c r="K14" s="24">
        <v>692</v>
      </c>
      <c r="L14" s="24">
        <v>687</v>
      </c>
      <c r="M14" s="24">
        <v>677</v>
      </c>
      <c r="N14" s="24">
        <f>AVERAGE(K14:M14)</f>
        <v>685.33333333333337</v>
      </c>
      <c r="O14" s="24" t="s">
        <v>6</v>
      </c>
      <c r="Q14" s="21" t="s">
        <v>33</v>
      </c>
      <c r="R14" s="19" t="s">
        <v>30</v>
      </c>
      <c r="S14" s="24">
        <v>726</v>
      </c>
      <c r="T14" s="24">
        <v>708</v>
      </c>
      <c r="U14" s="24">
        <v>722</v>
      </c>
      <c r="V14" s="24">
        <f>AVERAGE(S14:U14)</f>
        <v>718.66666666666663</v>
      </c>
      <c r="W14" s="24" t="s">
        <v>6</v>
      </c>
    </row>
    <row r="15" spans="1:23" x14ac:dyDescent="0.25">
      <c r="A15" s="187" t="s">
        <v>11</v>
      </c>
      <c r="B15" s="188"/>
      <c r="C15" s="188"/>
      <c r="D15" s="188"/>
      <c r="E15" s="188"/>
      <c r="F15" s="188"/>
      <c r="G15" s="189"/>
      <c r="I15" s="187" t="s">
        <v>11</v>
      </c>
      <c r="J15" s="188"/>
      <c r="K15" s="188"/>
      <c r="L15" s="188"/>
      <c r="M15" s="188"/>
      <c r="N15" s="188"/>
      <c r="O15" s="189"/>
      <c r="Q15" s="190" t="s">
        <v>11</v>
      </c>
      <c r="R15" s="190"/>
      <c r="S15" s="190"/>
      <c r="T15" s="190"/>
      <c r="U15" s="190"/>
      <c r="V15" s="190"/>
      <c r="W15" s="190"/>
    </row>
    <row r="16" spans="1:23" x14ac:dyDescent="0.25">
      <c r="A16" s="21" t="s">
        <v>16</v>
      </c>
      <c r="B16" s="19" t="s">
        <v>5</v>
      </c>
      <c r="C16" s="25">
        <v>48698</v>
      </c>
      <c r="D16" s="25">
        <v>48567</v>
      </c>
      <c r="E16" s="25">
        <v>48480</v>
      </c>
      <c r="F16" s="23">
        <f t="shared" ref="F16:F21" si="0">AVERAGE(C16:E16)</f>
        <v>48581.666666666664</v>
      </c>
      <c r="G16" s="23" t="s">
        <v>6</v>
      </c>
      <c r="I16" s="21" t="s">
        <v>16</v>
      </c>
      <c r="J16" s="19" t="s">
        <v>5</v>
      </c>
      <c r="K16" s="25">
        <v>45756</v>
      </c>
      <c r="L16" s="25">
        <v>44823</v>
      </c>
      <c r="M16" s="25">
        <v>45680</v>
      </c>
      <c r="N16" s="25">
        <f t="shared" ref="N16:N21" si="1">AVERAGE(K16:M16)</f>
        <v>45419.666666666664</v>
      </c>
      <c r="O16" s="25" t="s">
        <v>6</v>
      </c>
      <c r="Q16" s="21" t="s">
        <v>16</v>
      </c>
      <c r="R16" s="19" t="s">
        <v>5</v>
      </c>
      <c r="S16" s="25">
        <v>46939</v>
      </c>
      <c r="T16" s="25">
        <v>46718</v>
      </c>
      <c r="U16" s="25">
        <v>46935</v>
      </c>
      <c r="V16" s="25">
        <f t="shared" ref="V16:V21" si="2">AVERAGE(S16:U16)</f>
        <v>46864</v>
      </c>
      <c r="W16" s="25" t="s">
        <v>6</v>
      </c>
    </row>
    <row r="17" spans="1:23" x14ac:dyDescent="0.25">
      <c r="A17" s="21" t="s">
        <v>17</v>
      </c>
      <c r="B17" s="19" t="s">
        <v>4</v>
      </c>
      <c r="C17" s="25">
        <v>114846</v>
      </c>
      <c r="D17" s="25">
        <v>114631</v>
      </c>
      <c r="E17" s="25">
        <v>114487</v>
      </c>
      <c r="F17" s="23">
        <f t="shared" si="0"/>
        <v>114654.66666666667</v>
      </c>
      <c r="G17" s="23" t="s">
        <v>6</v>
      </c>
      <c r="I17" s="21" t="s">
        <v>17</v>
      </c>
      <c r="J17" s="19" t="s">
        <v>4</v>
      </c>
      <c r="K17" s="25">
        <v>113044</v>
      </c>
      <c r="L17" s="25">
        <v>113104</v>
      </c>
      <c r="M17" s="25">
        <v>113685</v>
      </c>
      <c r="N17" s="25">
        <f t="shared" si="1"/>
        <v>113277.66666666667</v>
      </c>
      <c r="O17" s="25" t="s">
        <v>6</v>
      </c>
      <c r="Q17" s="21" t="s">
        <v>17</v>
      </c>
      <c r="R17" s="19" t="s">
        <v>4</v>
      </c>
      <c r="S17" s="25">
        <v>113585</v>
      </c>
      <c r="T17" s="25">
        <v>113378</v>
      </c>
      <c r="U17" s="25">
        <v>113167</v>
      </c>
      <c r="V17" s="25">
        <f t="shared" si="2"/>
        <v>113376.66666666667</v>
      </c>
      <c r="W17" s="25" t="s">
        <v>6</v>
      </c>
    </row>
    <row r="18" spans="1:23" x14ac:dyDescent="0.25">
      <c r="A18" s="21" t="s">
        <v>18</v>
      </c>
      <c r="B18" s="19" t="s">
        <v>2</v>
      </c>
      <c r="C18" s="25">
        <v>326</v>
      </c>
      <c r="D18" s="25">
        <v>326</v>
      </c>
      <c r="E18" s="25">
        <v>328</v>
      </c>
      <c r="F18" s="23">
        <f t="shared" si="0"/>
        <v>326.66666666666669</v>
      </c>
      <c r="G18" s="23" t="s">
        <v>6</v>
      </c>
      <c r="I18" s="21" t="s">
        <v>18</v>
      </c>
      <c r="J18" s="19" t="s">
        <v>2</v>
      </c>
      <c r="K18" s="25">
        <v>357</v>
      </c>
      <c r="L18" s="25">
        <v>363</v>
      </c>
      <c r="M18" s="25">
        <v>363</v>
      </c>
      <c r="N18" s="25">
        <f t="shared" si="1"/>
        <v>361</v>
      </c>
      <c r="O18" s="25" t="s">
        <v>6</v>
      </c>
      <c r="Q18" s="21" t="s">
        <v>18</v>
      </c>
      <c r="R18" s="19" t="s">
        <v>2</v>
      </c>
      <c r="S18" s="25">
        <v>345</v>
      </c>
      <c r="T18" s="25">
        <v>338</v>
      </c>
      <c r="U18" s="25">
        <v>337</v>
      </c>
      <c r="V18" s="25">
        <f t="shared" si="2"/>
        <v>340</v>
      </c>
      <c r="W18" s="25" t="s">
        <v>6</v>
      </c>
    </row>
    <row r="19" spans="1:23" x14ac:dyDescent="0.25">
      <c r="A19" s="21" t="s">
        <v>19</v>
      </c>
      <c r="B19" s="19" t="s">
        <v>3</v>
      </c>
      <c r="C19" s="26">
        <v>33.6</v>
      </c>
      <c r="D19" s="26">
        <v>33.5</v>
      </c>
      <c r="E19" s="26">
        <v>33.5</v>
      </c>
      <c r="F19" s="23">
        <f t="shared" si="0"/>
        <v>33.533333333333331</v>
      </c>
      <c r="G19" s="23" t="s">
        <v>6</v>
      </c>
      <c r="I19" s="21" t="s">
        <v>19</v>
      </c>
      <c r="J19" s="19" t="s">
        <v>3</v>
      </c>
      <c r="K19" s="26">
        <v>33</v>
      </c>
      <c r="L19" s="26">
        <v>33.1</v>
      </c>
      <c r="M19" s="26">
        <v>33.200000000000003</v>
      </c>
      <c r="N19" s="27">
        <f t="shared" si="1"/>
        <v>33.1</v>
      </c>
      <c r="O19" s="27" t="s">
        <v>6</v>
      </c>
      <c r="Q19" s="21" t="s">
        <v>19</v>
      </c>
      <c r="R19" s="19" t="s">
        <v>3</v>
      </c>
      <c r="S19" s="26">
        <v>33.200000000000003</v>
      </c>
      <c r="T19" s="26">
        <v>33.1</v>
      </c>
      <c r="U19" s="26">
        <v>33.1</v>
      </c>
      <c r="V19" s="27">
        <f t="shared" si="2"/>
        <v>33.133333333333333</v>
      </c>
      <c r="W19" s="27" t="s">
        <v>6</v>
      </c>
    </row>
    <row r="20" spans="1:23" x14ac:dyDescent="0.25">
      <c r="A20" s="21" t="s">
        <v>20</v>
      </c>
      <c r="B20" s="19" t="s">
        <v>21</v>
      </c>
      <c r="C20" s="27">
        <v>4.3</v>
      </c>
      <c r="D20" s="27">
        <v>4.5999999999999996</v>
      </c>
      <c r="E20" s="27">
        <v>4.9000000000000004</v>
      </c>
      <c r="F20" s="23">
        <f t="shared" si="0"/>
        <v>4.5999999999999996</v>
      </c>
      <c r="G20" s="23" t="s">
        <v>6</v>
      </c>
      <c r="I20" s="21" t="s">
        <v>20</v>
      </c>
      <c r="J20" s="19" t="s">
        <v>21</v>
      </c>
      <c r="K20" s="27">
        <v>4.4000000000000004</v>
      </c>
      <c r="L20" s="27">
        <v>4.4000000000000004</v>
      </c>
      <c r="M20" s="27">
        <v>4.4000000000000004</v>
      </c>
      <c r="N20" s="27">
        <f t="shared" si="1"/>
        <v>4.4000000000000004</v>
      </c>
      <c r="O20" s="26" t="s">
        <v>6</v>
      </c>
      <c r="Q20" s="21" t="s">
        <v>20</v>
      </c>
      <c r="R20" s="19" t="s">
        <v>21</v>
      </c>
      <c r="S20" s="27">
        <v>4.2</v>
      </c>
      <c r="T20" s="27">
        <v>4.0999999999999996</v>
      </c>
      <c r="U20" s="27">
        <v>4.2</v>
      </c>
      <c r="V20" s="27">
        <f t="shared" si="2"/>
        <v>4.166666666666667</v>
      </c>
      <c r="W20" s="26" t="s">
        <v>6</v>
      </c>
    </row>
    <row r="21" spans="1:23" x14ac:dyDescent="0.25">
      <c r="A21" s="21" t="s">
        <v>22</v>
      </c>
      <c r="B21" s="19" t="s">
        <v>21</v>
      </c>
      <c r="C21" s="27">
        <v>12</v>
      </c>
      <c r="D21" s="27">
        <v>12.2</v>
      </c>
      <c r="E21" s="27">
        <v>12.3</v>
      </c>
      <c r="F21" s="23">
        <f t="shared" si="0"/>
        <v>12.166666666666666</v>
      </c>
      <c r="G21" s="23" t="s">
        <v>6</v>
      </c>
      <c r="I21" s="21" t="s">
        <v>22</v>
      </c>
      <c r="J21" s="19" t="s">
        <v>21</v>
      </c>
      <c r="K21" s="27">
        <v>11.9</v>
      </c>
      <c r="L21" s="27">
        <v>11.7</v>
      </c>
      <c r="M21" s="27">
        <v>11.8</v>
      </c>
      <c r="N21" s="27">
        <f t="shared" si="1"/>
        <v>11.800000000000002</v>
      </c>
      <c r="O21" s="27" t="s">
        <v>6</v>
      </c>
      <c r="Q21" s="21" t="s">
        <v>22</v>
      </c>
      <c r="R21" s="19" t="s">
        <v>21</v>
      </c>
      <c r="S21" s="27">
        <v>12.3</v>
      </c>
      <c r="T21" s="27">
        <v>12.4</v>
      </c>
      <c r="U21" s="27">
        <v>12.1</v>
      </c>
      <c r="V21" s="27">
        <f t="shared" si="2"/>
        <v>12.266666666666667</v>
      </c>
      <c r="W21" s="27" t="s">
        <v>6</v>
      </c>
    </row>
    <row r="22" spans="1:23" x14ac:dyDescent="0.2">
      <c r="A22" s="33" t="s">
        <v>190</v>
      </c>
      <c r="B22" s="90" t="s">
        <v>191</v>
      </c>
      <c r="I22" s="33" t="s">
        <v>190</v>
      </c>
      <c r="J22" s="90" t="s">
        <v>191</v>
      </c>
      <c r="Q22" s="87" t="s">
        <v>190</v>
      </c>
      <c r="R22" s="88" t="s">
        <v>191</v>
      </c>
    </row>
    <row r="23" spans="1:23" x14ac:dyDescent="0.2">
      <c r="A23" s="33" t="s">
        <v>192</v>
      </c>
      <c r="B23" s="91">
        <v>9532</v>
      </c>
      <c r="I23" s="33" t="s">
        <v>192</v>
      </c>
      <c r="J23" s="91">
        <v>9532</v>
      </c>
      <c r="Q23" s="87" t="s">
        <v>192</v>
      </c>
      <c r="R23" s="89">
        <v>9532</v>
      </c>
    </row>
    <row r="24" spans="1:23" x14ac:dyDescent="0.2">
      <c r="A24" s="33" t="s">
        <v>193</v>
      </c>
      <c r="B24" s="92">
        <v>1.06</v>
      </c>
      <c r="I24" s="33" t="s">
        <v>193</v>
      </c>
      <c r="J24" s="92">
        <v>1.06</v>
      </c>
      <c r="Q24" s="87" t="s">
        <v>194</v>
      </c>
      <c r="R24" s="89">
        <v>1733.5</v>
      </c>
    </row>
    <row r="25" spans="1:23" x14ac:dyDescent="0.25">
      <c r="A25" s="33" t="s">
        <v>194</v>
      </c>
      <c r="B25" s="91">
        <v>1790</v>
      </c>
      <c r="I25" s="33" t="s">
        <v>194</v>
      </c>
      <c r="J25" s="91">
        <v>1790</v>
      </c>
    </row>
    <row r="26" spans="1:23" x14ac:dyDescent="0.25">
      <c r="A26" s="33" t="s">
        <v>195</v>
      </c>
      <c r="B26" s="93">
        <v>981.8</v>
      </c>
      <c r="I26" s="33" t="s">
        <v>195</v>
      </c>
      <c r="J26" s="93">
        <v>981.8</v>
      </c>
    </row>
    <row r="28" spans="1:23" x14ac:dyDescent="0.25">
      <c r="A28" s="196" t="s">
        <v>24</v>
      </c>
      <c r="B28" s="197"/>
      <c r="C28" s="197"/>
      <c r="D28" s="197"/>
      <c r="E28" s="197"/>
      <c r="F28" s="197"/>
      <c r="G28" s="198"/>
      <c r="I28" s="196" t="s">
        <v>24</v>
      </c>
      <c r="J28" s="197"/>
      <c r="K28" s="197"/>
      <c r="L28" s="197"/>
      <c r="M28" s="197"/>
      <c r="N28" s="197"/>
      <c r="O28" s="198"/>
      <c r="Q28" s="199" t="s">
        <v>24</v>
      </c>
      <c r="R28" s="200"/>
      <c r="S28" s="200"/>
      <c r="T28" s="200"/>
      <c r="U28" s="200"/>
      <c r="V28" s="200"/>
      <c r="W28" s="201"/>
    </row>
    <row r="29" spans="1:23" x14ac:dyDescent="0.25">
      <c r="A29" s="190" t="s">
        <v>12</v>
      </c>
      <c r="B29" s="190"/>
      <c r="C29" s="190"/>
      <c r="D29" s="190"/>
      <c r="E29" s="190"/>
      <c r="F29" s="190"/>
      <c r="G29" s="190"/>
      <c r="I29" s="190" t="s">
        <v>28</v>
      </c>
      <c r="J29" s="190"/>
      <c r="K29" s="190"/>
      <c r="L29" s="190"/>
      <c r="M29" s="190"/>
      <c r="N29" s="190"/>
      <c r="O29" s="190"/>
      <c r="Q29" s="190" t="s">
        <v>29</v>
      </c>
      <c r="R29" s="190"/>
      <c r="S29" s="190"/>
      <c r="T29" s="190"/>
      <c r="U29" s="190"/>
      <c r="V29" s="190"/>
      <c r="W29" s="190"/>
    </row>
    <row r="30" spans="1:23" x14ac:dyDescent="0.25">
      <c r="A30" s="190" t="s">
        <v>24</v>
      </c>
      <c r="B30" s="190"/>
      <c r="C30" s="190"/>
      <c r="D30" s="190"/>
      <c r="E30" s="190"/>
      <c r="F30" s="190"/>
      <c r="G30" s="190"/>
      <c r="I30" s="190" t="s">
        <v>24</v>
      </c>
      <c r="J30" s="190"/>
      <c r="K30" s="190"/>
      <c r="L30" s="190"/>
      <c r="M30" s="190"/>
      <c r="N30" s="190"/>
      <c r="O30" s="190"/>
      <c r="Q30" s="190" t="s">
        <v>24</v>
      </c>
      <c r="R30" s="190"/>
      <c r="S30" s="190"/>
      <c r="T30" s="190"/>
      <c r="U30" s="190"/>
      <c r="V30" s="190"/>
      <c r="W30" s="190"/>
    </row>
    <row r="31" spans="1:23" ht="15" customHeight="1" x14ac:dyDescent="0.25">
      <c r="A31" s="191" t="s">
        <v>13</v>
      </c>
      <c r="B31" s="190" t="s">
        <v>0</v>
      </c>
      <c r="C31" s="187" t="s">
        <v>8</v>
      </c>
      <c r="D31" s="188"/>
      <c r="E31" s="189"/>
      <c r="F31" s="193" t="s">
        <v>23</v>
      </c>
      <c r="G31" s="193" t="s">
        <v>25</v>
      </c>
      <c r="I31" s="191" t="s">
        <v>13</v>
      </c>
      <c r="J31" s="190" t="s">
        <v>0</v>
      </c>
      <c r="K31" s="187" t="s">
        <v>8</v>
      </c>
      <c r="L31" s="188"/>
      <c r="M31" s="189"/>
      <c r="N31" s="193" t="s">
        <v>23</v>
      </c>
      <c r="O31" s="193" t="s">
        <v>25</v>
      </c>
      <c r="Q31" s="191" t="s">
        <v>13</v>
      </c>
      <c r="R31" s="190" t="s">
        <v>0</v>
      </c>
      <c r="S31" s="187" t="s">
        <v>8</v>
      </c>
      <c r="T31" s="188"/>
      <c r="U31" s="189"/>
      <c r="V31" s="193" t="s">
        <v>23</v>
      </c>
      <c r="W31" s="193" t="s">
        <v>25</v>
      </c>
    </row>
    <row r="32" spans="1:23" x14ac:dyDescent="0.25">
      <c r="A32" s="192"/>
      <c r="B32" s="190"/>
      <c r="C32" s="53">
        <v>1</v>
      </c>
      <c r="D32" s="53">
        <v>2</v>
      </c>
      <c r="E32" s="53">
        <v>3</v>
      </c>
      <c r="F32" s="193"/>
      <c r="G32" s="193"/>
      <c r="I32" s="192"/>
      <c r="J32" s="190"/>
      <c r="K32" s="53">
        <v>1</v>
      </c>
      <c r="L32" s="53">
        <v>2</v>
      </c>
      <c r="M32" s="53">
        <v>3</v>
      </c>
      <c r="N32" s="193"/>
      <c r="O32" s="193"/>
      <c r="Q32" s="192"/>
      <c r="R32" s="190"/>
      <c r="S32" s="53">
        <v>1</v>
      </c>
      <c r="T32" s="53">
        <v>2</v>
      </c>
      <c r="U32" s="53">
        <v>3</v>
      </c>
      <c r="V32" s="193"/>
      <c r="W32" s="193"/>
    </row>
    <row r="33" spans="1:23" x14ac:dyDescent="0.25">
      <c r="A33" s="190" t="s">
        <v>14</v>
      </c>
      <c r="B33" s="190"/>
      <c r="C33" s="190"/>
      <c r="D33" s="190"/>
      <c r="E33" s="190"/>
      <c r="F33" s="190"/>
      <c r="G33" s="190"/>
      <c r="I33" s="190" t="s">
        <v>14</v>
      </c>
      <c r="J33" s="190"/>
      <c r="K33" s="190"/>
      <c r="L33" s="190"/>
      <c r="M33" s="190"/>
      <c r="N33" s="190"/>
      <c r="O33" s="190"/>
      <c r="Q33" s="190" t="s">
        <v>14</v>
      </c>
      <c r="R33" s="190"/>
      <c r="S33" s="190"/>
      <c r="T33" s="190"/>
      <c r="U33" s="190"/>
      <c r="V33" s="190"/>
      <c r="W33" s="190"/>
    </row>
    <row r="34" spans="1:23" x14ac:dyDescent="0.25">
      <c r="A34" s="21" t="s">
        <v>9</v>
      </c>
      <c r="B34" s="53" t="s">
        <v>7</v>
      </c>
      <c r="C34" s="22">
        <v>71</v>
      </c>
      <c r="D34" s="22">
        <v>66.2</v>
      </c>
      <c r="E34" s="22">
        <v>62.5</v>
      </c>
      <c r="F34" s="22">
        <f>AVERAGE(C34:E34)</f>
        <v>66.566666666666663</v>
      </c>
      <c r="G34" s="22" t="s">
        <v>6</v>
      </c>
      <c r="I34" s="21" t="s">
        <v>9</v>
      </c>
      <c r="J34" s="53" t="s">
        <v>7</v>
      </c>
      <c r="K34" s="22">
        <v>64</v>
      </c>
      <c r="L34" s="22">
        <v>64.400000000000006</v>
      </c>
      <c r="M34" s="22">
        <v>63.5</v>
      </c>
      <c r="N34" s="22">
        <f>AVERAGE(K34:M34)</f>
        <v>63.966666666666669</v>
      </c>
      <c r="O34" s="22" t="s">
        <v>6</v>
      </c>
      <c r="Q34" s="21" t="s">
        <v>9</v>
      </c>
      <c r="R34" s="53" t="s">
        <v>7</v>
      </c>
      <c r="S34" s="22">
        <v>79.900000000000006</v>
      </c>
      <c r="T34" s="22">
        <v>78.900000000000006</v>
      </c>
      <c r="U34" s="22">
        <v>76.8</v>
      </c>
      <c r="V34" s="22">
        <f>AVERAGE(S34:U34)</f>
        <v>78.533333333333346</v>
      </c>
      <c r="W34" s="22" t="s">
        <v>6</v>
      </c>
    </row>
    <row r="35" spans="1:23" x14ac:dyDescent="0.25">
      <c r="A35" s="21" t="s">
        <v>1</v>
      </c>
      <c r="B35" s="53" t="s">
        <v>10</v>
      </c>
      <c r="C35" s="23">
        <v>3.24</v>
      </c>
      <c r="D35" s="23">
        <v>3.03</v>
      </c>
      <c r="E35" s="23">
        <v>2.88</v>
      </c>
      <c r="F35" s="23">
        <f>AVERAGE(C35:E35)</f>
        <v>3.0499999999999994</v>
      </c>
      <c r="G35" s="23" t="s">
        <v>6</v>
      </c>
      <c r="I35" s="21" t="s">
        <v>1</v>
      </c>
      <c r="J35" s="53" t="s">
        <v>10</v>
      </c>
      <c r="K35" s="23">
        <v>2.96</v>
      </c>
      <c r="L35" s="23">
        <v>2.97</v>
      </c>
      <c r="M35" s="23">
        <v>2.92</v>
      </c>
      <c r="N35" s="23">
        <f>AVERAGE(K35:M35)</f>
        <v>2.9499999999999997</v>
      </c>
      <c r="O35" s="23" t="s">
        <v>6</v>
      </c>
      <c r="Q35" s="21" t="s">
        <v>1</v>
      </c>
      <c r="R35" s="53" t="s">
        <v>10</v>
      </c>
      <c r="S35" s="23">
        <v>3.61</v>
      </c>
      <c r="T35" s="23">
        <v>3.54</v>
      </c>
      <c r="U35" s="23">
        <v>3.45</v>
      </c>
      <c r="V35" s="23">
        <f>AVERAGE(S35:U35)</f>
        <v>3.5333333333333337</v>
      </c>
      <c r="W35" s="23" t="s">
        <v>6</v>
      </c>
    </row>
    <row r="36" spans="1:23" x14ac:dyDescent="0.25">
      <c r="A36" s="190" t="s">
        <v>15</v>
      </c>
      <c r="B36" s="190"/>
      <c r="C36" s="190"/>
      <c r="D36" s="190"/>
      <c r="E36" s="190"/>
      <c r="F36" s="190"/>
      <c r="G36" s="190"/>
      <c r="I36" s="190" t="s">
        <v>15</v>
      </c>
      <c r="J36" s="190"/>
      <c r="K36" s="190"/>
      <c r="L36" s="190"/>
      <c r="M36" s="190"/>
      <c r="N36" s="190"/>
      <c r="O36" s="190"/>
      <c r="Q36" s="190" t="s">
        <v>15</v>
      </c>
      <c r="R36" s="190"/>
      <c r="S36" s="190"/>
      <c r="T36" s="190"/>
      <c r="U36" s="190"/>
      <c r="V36" s="190"/>
      <c r="W36" s="190"/>
    </row>
    <row r="37" spans="1:23" x14ac:dyDescent="0.25">
      <c r="A37" s="21" t="s">
        <v>9</v>
      </c>
      <c r="B37" s="53" t="s">
        <v>7</v>
      </c>
      <c r="C37" s="22">
        <v>504.6</v>
      </c>
      <c r="D37" s="22">
        <v>516.1</v>
      </c>
      <c r="E37" s="22">
        <v>524.29999999999995</v>
      </c>
      <c r="F37" s="22">
        <f>AVERAGE(C37:E37)</f>
        <v>515</v>
      </c>
      <c r="G37" s="22" t="s">
        <v>6</v>
      </c>
      <c r="I37" s="21" t="s">
        <v>9</v>
      </c>
      <c r="J37" s="53" t="s">
        <v>7</v>
      </c>
      <c r="K37" s="22">
        <v>492.8</v>
      </c>
      <c r="L37" s="22">
        <v>505.4</v>
      </c>
      <c r="M37" s="22">
        <v>451.5</v>
      </c>
      <c r="N37" s="22">
        <f>AVERAGE(K37:M37)</f>
        <v>483.23333333333335</v>
      </c>
      <c r="O37" s="22">
        <v>483.3</v>
      </c>
      <c r="Q37" s="21" t="s">
        <v>9</v>
      </c>
      <c r="R37" s="53" t="s">
        <v>7</v>
      </c>
      <c r="S37" s="22">
        <v>446.1</v>
      </c>
      <c r="T37" s="22">
        <v>474.3</v>
      </c>
      <c r="U37" s="22">
        <v>490.1</v>
      </c>
      <c r="V37" s="22">
        <f>AVERAGE(S37:U37)</f>
        <v>470.16666666666669</v>
      </c>
      <c r="W37" s="22" t="s">
        <v>6</v>
      </c>
    </row>
    <row r="38" spans="1:23" x14ac:dyDescent="0.25">
      <c r="A38" s="21" t="s">
        <v>1</v>
      </c>
      <c r="B38" s="53" t="s">
        <v>10</v>
      </c>
      <c r="C38" s="23">
        <v>23.05</v>
      </c>
      <c r="D38" s="23">
        <v>23.64</v>
      </c>
      <c r="E38" s="23">
        <v>24.18</v>
      </c>
      <c r="F38" s="23">
        <f>AVERAGE(C38:E38)</f>
        <v>23.623333333333335</v>
      </c>
      <c r="G38" s="23" t="s">
        <v>6</v>
      </c>
      <c r="I38" s="21" t="s">
        <v>1</v>
      </c>
      <c r="J38" s="53" t="s">
        <v>10</v>
      </c>
      <c r="K38" s="23">
        <v>22.79</v>
      </c>
      <c r="L38" s="23">
        <v>23.32</v>
      </c>
      <c r="M38" s="23">
        <v>20.73</v>
      </c>
      <c r="N38" s="23">
        <f>AVERAGE(K38:M38)</f>
        <v>22.28</v>
      </c>
      <c r="O38" s="23" t="s">
        <v>6</v>
      </c>
      <c r="Q38" s="21" t="s">
        <v>1</v>
      </c>
      <c r="R38" s="53" t="s">
        <v>10</v>
      </c>
      <c r="S38" s="23">
        <v>20.18</v>
      </c>
      <c r="T38" s="23">
        <v>21.27</v>
      </c>
      <c r="U38" s="23">
        <v>22.01</v>
      </c>
      <c r="V38" s="23">
        <f>AVERAGE(S38:U38)</f>
        <v>21.153333333333336</v>
      </c>
      <c r="W38" s="23" t="s">
        <v>6</v>
      </c>
    </row>
    <row r="39" spans="1:23" x14ac:dyDescent="0.25">
      <c r="A39" s="190" t="s">
        <v>31</v>
      </c>
      <c r="B39" s="190"/>
      <c r="C39" s="190"/>
      <c r="D39" s="190"/>
      <c r="E39" s="190"/>
      <c r="F39" s="190"/>
      <c r="G39" s="190"/>
      <c r="I39" s="190" t="s">
        <v>31</v>
      </c>
      <c r="J39" s="190"/>
      <c r="K39" s="190"/>
      <c r="L39" s="190"/>
      <c r="M39" s="190"/>
      <c r="N39" s="190"/>
      <c r="O39" s="190"/>
      <c r="Q39" s="190" t="s">
        <v>31</v>
      </c>
      <c r="R39" s="190"/>
      <c r="S39" s="190"/>
      <c r="T39" s="190"/>
      <c r="U39" s="190"/>
      <c r="V39" s="190"/>
      <c r="W39" s="190"/>
    </row>
    <row r="40" spans="1:23" x14ac:dyDescent="0.25">
      <c r="A40" s="21" t="s">
        <v>32</v>
      </c>
      <c r="B40" s="53" t="s">
        <v>30</v>
      </c>
      <c r="C40" s="24">
        <v>939</v>
      </c>
      <c r="D40" s="24">
        <v>949</v>
      </c>
      <c r="E40" s="24">
        <v>952</v>
      </c>
      <c r="F40" s="24">
        <f>AVERAGE(C40:E40)</f>
        <v>946.66666666666663</v>
      </c>
      <c r="G40" s="24" t="s">
        <v>6</v>
      </c>
      <c r="I40" s="21" t="s">
        <v>32</v>
      </c>
      <c r="J40" s="53" t="s">
        <v>30</v>
      </c>
      <c r="K40" s="24">
        <v>1033</v>
      </c>
      <c r="L40" s="24">
        <v>1016</v>
      </c>
      <c r="M40" s="24">
        <v>1014</v>
      </c>
      <c r="N40" s="24">
        <f>AVERAGE(K40:M40)</f>
        <v>1021</v>
      </c>
      <c r="O40" s="24" t="s">
        <v>6</v>
      </c>
      <c r="Q40" s="21" t="s">
        <v>32</v>
      </c>
      <c r="R40" s="53" t="s">
        <v>30</v>
      </c>
      <c r="S40" s="24">
        <v>1073</v>
      </c>
      <c r="T40" s="24">
        <v>1012</v>
      </c>
      <c r="U40" s="24">
        <v>1004</v>
      </c>
      <c r="V40" s="24">
        <f>AVERAGE(S40:U40)</f>
        <v>1029.6666666666667</v>
      </c>
      <c r="W40" s="24" t="s">
        <v>6</v>
      </c>
    </row>
    <row r="41" spans="1:23" x14ac:dyDescent="0.25">
      <c r="A41" s="21" t="s">
        <v>33</v>
      </c>
      <c r="B41" s="53" t="s">
        <v>30</v>
      </c>
      <c r="C41" s="24">
        <v>615</v>
      </c>
      <c r="D41" s="24">
        <v>613</v>
      </c>
      <c r="E41" s="24">
        <v>615</v>
      </c>
      <c r="F41" s="24">
        <f>AVERAGE(C41:E41)</f>
        <v>614.33333333333337</v>
      </c>
      <c r="G41" s="24" t="s">
        <v>6</v>
      </c>
      <c r="I41" s="21" t="s">
        <v>33</v>
      </c>
      <c r="J41" s="53" t="s">
        <v>30</v>
      </c>
      <c r="K41" s="24">
        <v>684</v>
      </c>
      <c r="L41" s="24">
        <v>668</v>
      </c>
      <c r="M41" s="24">
        <v>671</v>
      </c>
      <c r="N41" s="24">
        <f>AVERAGE(K41:M41)</f>
        <v>674.33333333333337</v>
      </c>
      <c r="O41" s="24" t="s">
        <v>6</v>
      </c>
      <c r="Q41" s="21" t="s">
        <v>33</v>
      </c>
      <c r="R41" s="53" t="s">
        <v>30</v>
      </c>
      <c r="S41" s="24">
        <v>734</v>
      </c>
      <c r="T41" s="24">
        <v>709</v>
      </c>
      <c r="U41" s="24">
        <v>696</v>
      </c>
      <c r="V41" s="24">
        <f>AVERAGE(S41:U41)</f>
        <v>713</v>
      </c>
      <c r="W41" s="24" t="s">
        <v>6</v>
      </c>
    </row>
    <row r="42" spans="1:23" x14ac:dyDescent="0.25">
      <c r="A42" s="190" t="s">
        <v>11</v>
      </c>
      <c r="B42" s="190"/>
      <c r="C42" s="190"/>
      <c r="D42" s="190"/>
      <c r="E42" s="190"/>
      <c r="F42" s="190"/>
      <c r="G42" s="190"/>
      <c r="I42" s="190" t="s">
        <v>11</v>
      </c>
      <c r="J42" s="190"/>
      <c r="K42" s="190"/>
      <c r="L42" s="190"/>
      <c r="M42" s="190"/>
      <c r="N42" s="190"/>
      <c r="O42" s="190"/>
      <c r="Q42" s="190" t="s">
        <v>11</v>
      </c>
      <c r="R42" s="190"/>
      <c r="S42" s="190"/>
      <c r="T42" s="190"/>
      <c r="U42" s="190"/>
      <c r="V42" s="190"/>
      <c r="W42" s="190"/>
    </row>
    <row r="43" spans="1:23" x14ac:dyDescent="0.25">
      <c r="A43" s="21" t="s">
        <v>16</v>
      </c>
      <c r="B43" s="53" t="s">
        <v>5</v>
      </c>
      <c r="C43" s="25">
        <v>45670</v>
      </c>
      <c r="D43" s="25">
        <v>45811</v>
      </c>
      <c r="E43" s="25">
        <v>46112</v>
      </c>
      <c r="F43" s="25">
        <f t="shared" ref="F43:F48" si="3">AVERAGE(C43:E43)</f>
        <v>45864.333333333336</v>
      </c>
      <c r="G43" s="25">
        <v>45865</v>
      </c>
      <c r="I43" s="21" t="s">
        <v>16</v>
      </c>
      <c r="J43" s="53" t="s">
        <v>5</v>
      </c>
      <c r="K43" s="25">
        <v>46248</v>
      </c>
      <c r="L43" s="25">
        <v>46134</v>
      </c>
      <c r="M43" s="25">
        <v>45907</v>
      </c>
      <c r="N43" s="25">
        <f t="shared" ref="N43:N48" si="4">AVERAGE(K43:M43)</f>
        <v>46096.333333333336</v>
      </c>
      <c r="O43" s="25" t="s">
        <v>6</v>
      </c>
      <c r="Q43" s="21" t="s">
        <v>16</v>
      </c>
      <c r="R43" s="53" t="s">
        <v>5</v>
      </c>
      <c r="S43" s="25">
        <v>45237</v>
      </c>
      <c r="T43" s="25">
        <v>44855</v>
      </c>
      <c r="U43" s="25">
        <v>44904</v>
      </c>
      <c r="V43" s="25">
        <f t="shared" ref="V43:V48" si="5">AVERAGE(S43:U43)</f>
        <v>44998.666666666664</v>
      </c>
      <c r="W43" s="25" t="s">
        <v>6</v>
      </c>
    </row>
    <row r="44" spans="1:23" x14ac:dyDescent="0.25">
      <c r="A44" s="21" t="s">
        <v>17</v>
      </c>
      <c r="B44" s="53" t="s">
        <v>4</v>
      </c>
      <c r="C44" s="25">
        <v>114007</v>
      </c>
      <c r="D44" s="25">
        <v>113796</v>
      </c>
      <c r="E44" s="25">
        <v>113460</v>
      </c>
      <c r="F44" s="25">
        <f t="shared" si="3"/>
        <v>113754.33333333333</v>
      </c>
      <c r="G44" s="25" t="s">
        <v>6</v>
      </c>
      <c r="I44" s="21" t="s">
        <v>17</v>
      </c>
      <c r="J44" s="53" t="s">
        <v>4</v>
      </c>
      <c r="K44" s="25">
        <v>116641</v>
      </c>
      <c r="L44" s="25">
        <v>115161</v>
      </c>
      <c r="M44" s="25">
        <v>113862</v>
      </c>
      <c r="N44" s="25">
        <f t="shared" si="4"/>
        <v>115221.33333333333</v>
      </c>
      <c r="O44" s="25" t="s">
        <v>6</v>
      </c>
      <c r="Q44" s="21" t="s">
        <v>17</v>
      </c>
      <c r="R44" s="53" t="s">
        <v>4</v>
      </c>
      <c r="S44" s="25">
        <v>110702</v>
      </c>
      <c r="T44" s="25">
        <v>111108</v>
      </c>
      <c r="U44" s="25">
        <v>111692</v>
      </c>
      <c r="V44" s="25">
        <f t="shared" si="5"/>
        <v>111167.33333333333</v>
      </c>
      <c r="W44" s="25" t="s">
        <v>6</v>
      </c>
    </row>
    <row r="45" spans="1:23" x14ac:dyDescent="0.25">
      <c r="A45" s="21" t="s">
        <v>18</v>
      </c>
      <c r="B45" s="53" t="s">
        <v>2</v>
      </c>
      <c r="C45" s="25">
        <v>364</v>
      </c>
      <c r="D45" s="25">
        <v>361</v>
      </c>
      <c r="E45" s="25">
        <v>361</v>
      </c>
      <c r="F45" s="25">
        <f t="shared" si="3"/>
        <v>362</v>
      </c>
      <c r="G45" s="25" t="s">
        <v>6</v>
      </c>
      <c r="I45" s="21" t="s">
        <v>18</v>
      </c>
      <c r="J45" s="53" t="s">
        <v>2</v>
      </c>
      <c r="K45" s="25">
        <v>366</v>
      </c>
      <c r="L45" s="25">
        <v>363</v>
      </c>
      <c r="M45" s="25">
        <v>359</v>
      </c>
      <c r="N45" s="25">
        <f t="shared" si="4"/>
        <v>362.66666666666669</v>
      </c>
      <c r="O45" s="25" t="s">
        <v>6</v>
      </c>
      <c r="Q45" s="21" t="s">
        <v>18</v>
      </c>
      <c r="R45" s="53" t="s">
        <v>2</v>
      </c>
      <c r="S45" s="25">
        <v>350</v>
      </c>
      <c r="T45" s="25">
        <v>353</v>
      </c>
      <c r="U45" s="25">
        <v>353</v>
      </c>
      <c r="V45" s="25">
        <f t="shared" si="5"/>
        <v>352</v>
      </c>
      <c r="W45" s="25" t="s">
        <v>6</v>
      </c>
    </row>
    <row r="46" spans="1:23" x14ac:dyDescent="0.25">
      <c r="A46" s="21" t="s">
        <v>19</v>
      </c>
      <c r="B46" s="53" t="s">
        <v>3</v>
      </c>
      <c r="C46" s="26">
        <v>33.299999999999997</v>
      </c>
      <c r="D46" s="26">
        <v>33.299999999999997</v>
      </c>
      <c r="E46" s="26">
        <v>33.200000000000003</v>
      </c>
      <c r="F46" s="27">
        <f t="shared" si="3"/>
        <v>33.266666666666666</v>
      </c>
      <c r="G46" s="27">
        <v>33.200000000000003</v>
      </c>
      <c r="I46" s="21" t="s">
        <v>19</v>
      </c>
      <c r="J46" s="53" t="s">
        <v>3</v>
      </c>
      <c r="K46" s="26">
        <v>34.1</v>
      </c>
      <c r="L46" s="26">
        <v>33.700000000000003</v>
      </c>
      <c r="M46" s="26">
        <v>33.299999999999997</v>
      </c>
      <c r="N46" s="27">
        <f t="shared" si="4"/>
        <v>33.700000000000003</v>
      </c>
      <c r="O46" s="25" t="s">
        <v>6</v>
      </c>
      <c r="Q46" s="21" t="s">
        <v>19</v>
      </c>
      <c r="R46" s="53" t="s">
        <v>3</v>
      </c>
      <c r="S46" s="26">
        <v>32.4</v>
      </c>
      <c r="T46" s="26">
        <v>32.5</v>
      </c>
      <c r="U46" s="26">
        <v>32.6</v>
      </c>
      <c r="V46" s="27">
        <f t="shared" si="5"/>
        <v>32.5</v>
      </c>
      <c r="W46" s="27" t="s">
        <v>6</v>
      </c>
    </row>
    <row r="47" spans="1:23" x14ac:dyDescent="0.25">
      <c r="A47" s="21" t="s">
        <v>20</v>
      </c>
      <c r="B47" s="53" t="s">
        <v>21</v>
      </c>
      <c r="C47" s="27">
        <v>4.4000000000000004</v>
      </c>
      <c r="D47" s="27">
        <v>4.4000000000000004</v>
      </c>
      <c r="E47" s="27">
        <v>4.4000000000000004</v>
      </c>
      <c r="F47" s="27">
        <f t="shared" si="3"/>
        <v>4.4000000000000004</v>
      </c>
      <c r="G47" s="26" t="s">
        <v>6</v>
      </c>
      <c r="I47" s="21" t="s">
        <v>20</v>
      </c>
      <c r="J47" s="53" t="s">
        <v>21</v>
      </c>
      <c r="K47" s="27">
        <v>4.3</v>
      </c>
      <c r="L47" s="27">
        <v>4.3</v>
      </c>
      <c r="M47" s="27">
        <v>4.3</v>
      </c>
      <c r="N47" s="27">
        <f t="shared" si="4"/>
        <v>4.3</v>
      </c>
      <c r="O47" s="25" t="s">
        <v>6</v>
      </c>
      <c r="Q47" s="21" t="s">
        <v>20</v>
      </c>
      <c r="R47" s="53" t="s">
        <v>21</v>
      </c>
      <c r="S47" s="27">
        <v>4.2</v>
      </c>
      <c r="T47" s="27">
        <v>4.0999999999999996</v>
      </c>
      <c r="U47" s="27">
        <v>4.0999999999999996</v>
      </c>
      <c r="V47" s="27">
        <f t="shared" si="5"/>
        <v>4.1333333333333337</v>
      </c>
      <c r="W47" s="26" t="s">
        <v>6</v>
      </c>
    </row>
    <row r="48" spans="1:23" x14ac:dyDescent="0.25">
      <c r="A48" s="21" t="s">
        <v>22</v>
      </c>
      <c r="B48" s="53" t="s">
        <v>21</v>
      </c>
      <c r="C48" s="27">
        <v>11.8</v>
      </c>
      <c r="D48" s="27">
        <v>11.7</v>
      </c>
      <c r="E48" s="27">
        <v>11.7</v>
      </c>
      <c r="F48" s="27">
        <f t="shared" si="3"/>
        <v>11.733333333333334</v>
      </c>
      <c r="G48" s="27">
        <v>11.8</v>
      </c>
      <c r="I48" s="21" t="s">
        <v>22</v>
      </c>
      <c r="J48" s="53" t="s">
        <v>21</v>
      </c>
      <c r="K48" s="27">
        <v>11.9</v>
      </c>
      <c r="L48" s="27">
        <v>11.9</v>
      </c>
      <c r="M48" s="27">
        <v>11.9</v>
      </c>
      <c r="N48" s="27">
        <f t="shared" si="4"/>
        <v>11.9</v>
      </c>
      <c r="O48" s="25" t="s">
        <v>6</v>
      </c>
      <c r="Q48" s="21" t="s">
        <v>22</v>
      </c>
      <c r="R48" s="53" t="s">
        <v>21</v>
      </c>
      <c r="S48" s="27">
        <v>12.2</v>
      </c>
      <c r="T48" s="27">
        <v>12.4</v>
      </c>
      <c r="U48" s="27">
        <v>12.4</v>
      </c>
      <c r="V48" s="27">
        <f t="shared" si="5"/>
        <v>12.333333333333334</v>
      </c>
      <c r="W48" s="27" t="s">
        <v>6</v>
      </c>
    </row>
    <row r="49" spans="1:23" x14ac:dyDescent="0.25">
      <c r="A49" s="33" t="s">
        <v>190</v>
      </c>
      <c r="B49" s="90" t="s">
        <v>191</v>
      </c>
      <c r="I49" s="33" t="s">
        <v>190</v>
      </c>
      <c r="J49" s="90" t="s">
        <v>191</v>
      </c>
      <c r="Q49" s="33" t="s">
        <v>190</v>
      </c>
      <c r="R49" s="90" t="s">
        <v>191</v>
      </c>
    </row>
    <row r="50" spans="1:23" x14ac:dyDescent="0.25">
      <c r="A50" s="33" t="s">
        <v>192</v>
      </c>
      <c r="B50" s="91">
        <v>9532</v>
      </c>
      <c r="I50" s="33" t="s">
        <v>192</v>
      </c>
      <c r="J50" s="91">
        <v>9532</v>
      </c>
      <c r="Q50" s="33" t="s">
        <v>192</v>
      </c>
      <c r="R50" s="91">
        <v>9532</v>
      </c>
    </row>
    <row r="51" spans="1:23" x14ac:dyDescent="0.25">
      <c r="A51" s="33" t="s">
        <v>193</v>
      </c>
      <c r="B51" s="92">
        <v>1.06</v>
      </c>
      <c r="I51" s="33" t="s">
        <v>193</v>
      </c>
      <c r="J51" s="92">
        <v>1.06</v>
      </c>
      <c r="Q51" s="33" t="s">
        <v>194</v>
      </c>
      <c r="R51" s="91">
        <v>1798</v>
      </c>
    </row>
    <row r="52" spans="1:23" x14ac:dyDescent="0.25">
      <c r="A52" s="33" t="s">
        <v>194</v>
      </c>
      <c r="B52" s="91">
        <v>1824</v>
      </c>
      <c r="I52" s="33" t="s">
        <v>194</v>
      </c>
      <c r="J52" s="91">
        <v>1826</v>
      </c>
    </row>
    <row r="53" spans="1:23" x14ac:dyDescent="0.25">
      <c r="A53" s="33" t="s">
        <v>195</v>
      </c>
      <c r="B53" s="93">
        <v>981.8</v>
      </c>
      <c r="E53" s="94"/>
      <c r="I53" s="33" t="s">
        <v>195</v>
      </c>
      <c r="J53" s="93">
        <v>981.8</v>
      </c>
    </row>
    <row r="55" spans="1:23" x14ac:dyDescent="0.25">
      <c r="A55" s="196" t="s">
        <v>26</v>
      </c>
      <c r="B55" s="197"/>
      <c r="C55" s="197"/>
      <c r="D55" s="197"/>
      <c r="E55" s="197"/>
      <c r="F55" s="197"/>
      <c r="G55" s="198"/>
      <c r="I55" s="196" t="s">
        <v>26</v>
      </c>
      <c r="J55" s="197"/>
      <c r="K55" s="197"/>
      <c r="L55" s="197"/>
      <c r="M55" s="197"/>
      <c r="N55" s="197"/>
      <c r="O55" s="198"/>
      <c r="Q55" s="199" t="s">
        <v>26</v>
      </c>
      <c r="R55" s="200"/>
      <c r="S55" s="200"/>
      <c r="T55" s="200"/>
      <c r="U55" s="200"/>
      <c r="V55" s="200"/>
      <c r="W55" s="201"/>
    </row>
    <row r="56" spans="1:23" x14ac:dyDescent="0.25">
      <c r="A56" s="190" t="s">
        <v>12</v>
      </c>
      <c r="B56" s="190"/>
      <c r="C56" s="190"/>
      <c r="D56" s="190"/>
      <c r="E56" s="190"/>
      <c r="F56" s="190"/>
      <c r="G56" s="190"/>
      <c r="I56" s="190" t="s">
        <v>28</v>
      </c>
      <c r="J56" s="190"/>
      <c r="K56" s="190"/>
      <c r="L56" s="190"/>
      <c r="M56" s="190"/>
      <c r="N56" s="190"/>
      <c r="O56" s="190"/>
      <c r="Q56" s="190" t="s">
        <v>29</v>
      </c>
      <c r="R56" s="190"/>
      <c r="S56" s="190"/>
      <c r="T56" s="190"/>
      <c r="U56" s="190"/>
      <c r="V56" s="190"/>
      <c r="W56" s="190"/>
    </row>
    <row r="57" spans="1:23" x14ac:dyDescent="0.25">
      <c r="A57" s="190" t="s">
        <v>26</v>
      </c>
      <c r="B57" s="190"/>
      <c r="C57" s="190"/>
      <c r="D57" s="190"/>
      <c r="E57" s="190"/>
      <c r="F57" s="190"/>
      <c r="G57" s="190"/>
      <c r="I57" s="190" t="s">
        <v>26</v>
      </c>
      <c r="J57" s="190"/>
      <c r="K57" s="190"/>
      <c r="L57" s="190"/>
      <c r="M57" s="190"/>
      <c r="N57" s="190"/>
      <c r="O57" s="190"/>
      <c r="Q57" s="190" t="s">
        <v>26</v>
      </c>
      <c r="R57" s="190"/>
      <c r="S57" s="190"/>
      <c r="T57" s="190"/>
      <c r="U57" s="190"/>
      <c r="V57" s="190"/>
      <c r="W57" s="190"/>
    </row>
    <row r="58" spans="1:23" x14ac:dyDescent="0.25">
      <c r="A58" s="191" t="s">
        <v>13</v>
      </c>
      <c r="B58" s="190" t="s">
        <v>0</v>
      </c>
      <c r="C58" s="187" t="s">
        <v>8</v>
      </c>
      <c r="D58" s="188"/>
      <c r="E58" s="189"/>
      <c r="F58" s="193" t="s">
        <v>23</v>
      </c>
      <c r="G58" s="193" t="s">
        <v>25</v>
      </c>
      <c r="I58" s="191" t="s">
        <v>13</v>
      </c>
      <c r="J58" s="190" t="s">
        <v>0</v>
      </c>
      <c r="K58" s="187" t="s">
        <v>8</v>
      </c>
      <c r="L58" s="188"/>
      <c r="M58" s="189"/>
      <c r="N58" s="193" t="s">
        <v>23</v>
      </c>
      <c r="O58" s="193" t="s">
        <v>25</v>
      </c>
      <c r="Q58" s="191" t="s">
        <v>13</v>
      </c>
      <c r="R58" s="190" t="s">
        <v>0</v>
      </c>
      <c r="S58" s="187" t="s">
        <v>8</v>
      </c>
      <c r="T58" s="188"/>
      <c r="U58" s="189"/>
      <c r="V58" s="193" t="s">
        <v>23</v>
      </c>
      <c r="W58" s="193" t="s">
        <v>25</v>
      </c>
    </row>
    <row r="59" spans="1:23" x14ac:dyDescent="0.25">
      <c r="A59" s="192"/>
      <c r="B59" s="190"/>
      <c r="C59" s="53">
        <v>1</v>
      </c>
      <c r="D59" s="53">
        <v>2</v>
      </c>
      <c r="E59" s="53">
        <v>3</v>
      </c>
      <c r="F59" s="193"/>
      <c r="G59" s="193"/>
      <c r="I59" s="192"/>
      <c r="J59" s="190"/>
      <c r="K59" s="53">
        <v>1</v>
      </c>
      <c r="L59" s="53">
        <v>2</v>
      </c>
      <c r="M59" s="53">
        <v>3</v>
      </c>
      <c r="N59" s="193"/>
      <c r="O59" s="193"/>
      <c r="Q59" s="192"/>
      <c r="R59" s="190"/>
      <c r="S59" s="53">
        <v>1</v>
      </c>
      <c r="T59" s="53">
        <v>2</v>
      </c>
      <c r="U59" s="53">
        <v>3</v>
      </c>
      <c r="V59" s="193"/>
      <c r="W59" s="193"/>
    </row>
    <row r="60" spans="1:23" x14ac:dyDescent="0.25">
      <c r="A60" s="190" t="s">
        <v>14</v>
      </c>
      <c r="B60" s="190"/>
      <c r="C60" s="190"/>
      <c r="D60" s="190"/>
      <c r="E60" s="190"/>
      <c r="F60" s="190"/>
      <c r="G60" s="190"/>
      <c r="I60" s="190" t="s">
        <v>14</v>
      </c>
      <c r="J60" s="190"/>
      <c r="K60" s="190"/>
      <c r="L60" s="190"/>
      <c r="M60" s="190"/>
      <c r="N60" s="190"/>
      <c r="O60" s="190"/>
      <c r="Q60" s="190" t="s">
        <v>14</v>
      </c>
      <c r="R60" s="190"/>
      <c r="S60" s="190"/>
      <c r="T60" s="190"/>
      <c r="U60" s="190"/>
      <c r="V60" s="190"/>
      <c r="W60" s="190"/>
    </row>
    <row r="61" spans="1:23" x14ac:dyDescent="0.25">
      <c r="A61" s="21" t="s">
        <v>9</v>
      </c>
      <c r="B61" s="53" t="s">
        <v>7</v>
      </c>
      <c r="C61" s="22">
        <v>51.8</v>
      </c>
      <c r="D61" s="22">
        <v>55.8</v>
      </c>
      <c r="E61" s="22">
        <v>56.8</v>
      </c>
      <c r="F61" s="22">
        <f>AVERAGE(C61:E61)</f>
        <v>54.79999999999999</v>
      </c>
      <c r="G61" s="22" t="s">
        <v>6</v>
      </c>
      <c r="I61" s="21" t="s">
        <v>9</v>
      </c>
      <c r="J61" s="53" t="s">
        <v>7</v>
      </c>
      <c r="K61" s="22">
        <v>70.8</v>
      </c>
      <c r="L61" s="22">
        <v>69.599999999999994</v>
      </c>
      <c r="M61" s="22">
        <v>64.8</v>
      </c>
      <c r="N61" s="22">
        <f>AVERAGE(K61:M61)</f>
        <v>68.399999999999991</v>
      </c>
      <c r="O61" s="22" t="s">
        <v>6</v>
      </c>
      <c r="Q61" s="21" t="s">
        <v>9</v>
      </c>
      <c r="R61" s="53" t="s">
        <v>7</v>
      </c>
      <c r="S61" s="22">
        <v>72.400000000000006</v>
      </c>
      <c r="T61" s="22">
        <v>72</v>
      </c>
      <c r="U61" s="22">
        <v>71.400000000000006</v>
      </c>
      <c r="V61" s="22">
        <f>AVERAGE(S61:U61)</f>
        <v>71.933333333333337</v>
      </c>
      <c r="W61" s="22" t="s">
        <v>6</v>
      </c>
    </row>
    <row r="62" spans="1:23" x14ac:dyDescent="0.25">
      <c r="A62" s="21" t="s">
        <v>1</v>
      </c>
      <c r="B62" s="53" t="s">
        <v>10</v>
      </c>
      <c r="C62" s="23">
        <v>2.44</v>
      </c>
      <c r="D62" s="23">
        <v>2.62</v>
      </c>
      <c r="E62" s="23">
        <v>2.63</v>
      </c>
      <c r="F62" s="23">
        <f>AVERAGE(C62:E62)</f>
        <v>2.5633333333333335</v>
      </c>
      <c r="G62" s="23">
        <v>2.57</v>
      </c>
      <c r="I62" s="21" t="s">
        <v>1</v>
      </c>
      <c r="J62" s="53" t="s">
        <v>10</v>
      </c>
      <c r="K62" s="23">
        <v>3.22</v>
      </c>
      <c r="L62" s="23">
        <v>3.17</v>
      </c>
      <c r="M62" s="23">
        <v>2.94</v>
      </c>
      <c r="N62" s="23">
        <f>AVERAGE(K62:M62)</f>
        <v>3.11</v>
      </c>
      <c r="O62" s="23" t="s">
        <v>6</v>
      </c>
      <c r="Q62" s="21" t="s">
        <v>1</v>
      </c>
      <c r="R62" s="53" t="s">
        <v>10</v>
      </c>
      <c r="S62" s="23">
        <v>3.37</v>
      </c>
      <c r="T62" s="23">
        <v>3.35</v>
      </c>
      <c r="U62" s="23">
        <v>3.35</v>
      </c>
      <c r="V62" s="23">
        <f>AVERAGE(S62:U62)</f>
        <v>3.3566666666666669</v>
      </c>
      <c r="W62" s="23" t="s">
        <v>6</v>
      </c>
    </row>
    <row r="63" spans="1:23" x14ac:dyDescent="0.25">
      <c r="A63" s="190" t="s">
        <v>15</v>
      </c>
      <c r="B63" s="190"/>
      <c r="C63" s="190"/>
      <c r="D63" s="190"/>
      <c r="E63" s="190"/>
      <c r="F63" s="190"/>
      <c r="G63" s="190"/>
      <c r="I63" s="190" t="s">
        <v>15</v>
      </c>
      <c r="J63" s="190"/>
      <c r="K63" s="190"/>
      <c r="L63" s="190"/>
      <c r="M63" s="190"/>
      <c r="N63" s="190"/>
      <c r="O63" s="190"/>
      <c r="Q63" s="190" t="s">
        <v>15</v>
      </c>
      <c r="R63" s="190"/>
      <c r="S63" s="190"/>
      <c r="T63" s="190"/>
      <c r="U63" s="190"/>
      <c r="V63" s="190"/>
      <c r="W63" s="190"/>
    </row>
    <row r="64" spans="1:23" x14ac:dyDescent="0.25">
      <c r="A64" s="21" t="s">
        <v>9</v>
      </c>
      <c r="B64" s="53" t="s">
        <v>7</v>
      </c>
      <c r="C64" s="22">
        <v>483.2</v>
      </c>
      <c r="D64" s="22">
        <v>468.6</v>
      </c>
      <c r="E64" s="22">
        <v>488.9</v>
      </c>
      <c r="F64" s="22">
        <f>AVERAGE(C64:E64)</f>
        <v>480.23333333333329</v>
      </c>
      <c r="G64" s="22" t="s">
        <v>6</v>
      </c>
      <c r="I64" s="21" t="s">
        <v>9</v>
      </c>
      <c r="J64" s="53" t="s">
        <v>7</v>
      </c>
      <c r="K64" s="22">
        <v>504.5</v>
      </c>
      <c r="L64" s="22">
        <v>474.9</v>
      </c>
      <c r="M64" s="22">
        <v>518</v>
      </c>
      <c r="N64" s="22">
        <f>AVERAGE(K64:M64)</f>
        <v>499.13333333333338</v>
      </c>
      <c r="O64" s="22" t="s">
        <v>6</v>
      </c>
      <c r="Q64" s="21" t="s">
        <v>9</v>
      </c>
      <c r="R64" s="53" t="s">
        <v>7</v>
      </c>
      <c r="S64" s="22">
        <v>441</v>
      </c>
      <c r="T64" s="22">
        <v>451.8</v>
      </c>
      <c r="U64" s="22">
        <v>459.3</v>
      </c>
      <c r="V64" s="22">
        <f>AVERAGE(S64:U64)</f>
        <v>450.7</v>
      </c>
      <c r="W64" s="22" t="s">
        <v>6</v>
      </c>
    </row>
    <row r="65" spans="1:23" x14ac:dyDescent="0.25">
      <c r="A65" s="21" t="s">
        <v>1</v>
      </c>
      <c r="B65" s="53" t="s">
        <v>10</v>
      </c>
      <c r="C65" s="23">
        <v>22.79</v>
      </c>
      <c r="D65" s="23">
        <v>22.02</v>
      </c>
      <c r="E65" s="23">
        <v>22.69</v>
      </c>
      <c r="F65" s="23">
        <f>AVERAGE(C65:E65)</f>
        <v>22.5</v>
      </c>
      <c r="G65" s="23" t="s">
        <v>6</v>
      </c>
      <c r="I65" s="21" t="s">
        <v>1</v>
      </c>
      <c r="J65" s="53" t="s">
        <v>10</v>
      </c>
      <c r="K65" s="23">
        <v>22.97</v>
      </c>
      <c r="L65" s="23">
        <v>21.64</v>
      </c>
      <c r="M65" s="23">
        <v>23.49</v>
      </c>
      <c r="N65" s="23">
        <f>AVERAGE(K65:M65)</f>
        <v>22.7</v>
      </c>
      <c r="O65" s="23" t="s">
        <v>6</v>
      </c>
      <c r="Q65" s="21" t="s">
        <v>1</v>
      </c>
      <c r="R65" s="53" t="s">
        <v>10</v>
      </c>
      <c r="S65" s="23">
        <v>20.5</v>
      </c>
      <c r="T65" s="23">
        <v>21.03</v>
      </c>
      <c r="U65" s="23">
        <v>21.55</v>
      </c>
      <c r="V65" s="23">
        <f>AVERAGE(S65:U65)</f>
        <v>21.026666666666667</v>
      </c>
      <c r="W65" s="23" t="s">
        <v>6</v>
      </c>
    </row>
    <row r="66" spans="1:23" x14ac:dyDescent="0.25">
      <c r="A66" s="190" t="s">
        <v>31</v>
      </c>
      <c r="B66" s="190"/>
      <c r="C66" s="190"/>
      <c r="D66" s="190"/>
      <c r="E66" s="190"/>
      <c r="F66" s="190"/>
      <c r="G66" s="190"/>
      <c r="I66" s="190" t="s">
        <v>31</v>
      </c>
      <c r="J66" s="190"/>
      <c r="K66" s="190"/>
      <c r="L66" s="190"/>
      <c r="M66" s="190"/>
      <c r="N66" s="190"/>
      <c r="O66" s="190"/>
      <c r="Q66" s="190" t="s">
        <v>31</v>
      </c>
      <c r="R66" s="190"/>
      <c r="S66" s="190"/>
      <c r="T66" s="190"/>
      <c r="U66" s="190"/>
      <c r="V66" s="190"/>
      <c r="W66" s="190"/>
    </row>
    <row r="67" spans="1:23" x14ac:dyDescent="0.25">
      <c r="A67" s="21" t="s">
        <v>32</v>
      </c>
      <c r="B67" s="53" t="s">
        <v>30</v>
      </c>
      <c r="C67" s="24">
        <v>1045</v>
      </c>
      <c r="D67" s="24">
        <v>1064</v>
      </c>
      <c r="E67" s="24">
        <v>1102</v>
      </c>
      <c r="F67" s="24">
        <f>AVERAGE(C67:E67)</f>
        <v>1070.3333333333333</v>
      </c>
      <c r="G67" s="24" t="s">
        <v>6</v>
      </c>
      <c r="I67" s="21" t="s">
        <v>32</v>
      </c>
      <c r="J67" s="53" t="s">
        <v>30</v>
      </c>
      <c r="K67" s="24">
        <v>1114</v>
      </c>
      <c r="L67" s="24">
        <v>1093</v>
      </c>
      <c r="M67" s="24">
        <v>1102</v>
      </c>
      <c r="N67" s="24">
        <f>AVERAGE(K67:M67)</f>
        <v>1103</v>
      </c>
      <c r="O67" s="24" t="s">
        <v>6</v>
      </c>
      <c r="Q67" s="21" t="s">
        <v>32</v>
      </c>
      <c r="R67" s="53" t="s">
        <v>30</v>
      </c>
      <c r="S67" s="24">
        <v>1056</v>
      </c>
      <c r="T67" s="24">
        <v>1070</v>
      </c>
      <c r="U67" s="24">
        <v>1113</v>
      </c>
      <c r="V67" s="24">
        <f>AVERAGE(S67:U67)</f>
        <v>1079.6666666666667</v>
      </c>
      <c r="W67" s="24" t="s">
        <v>6</v>
      </c>
    </row>
    <row r="68" spans="1:23" x14ac:dyDescent="0.25">
      <c r="A68" s="21" t="s">
        <v>33</v>
      </c>
      <c r="B68" s="53" t="s">
        <v>30</v>
      </c>
      <c r="C68" s="24">
        <v>698</v>
      </c>
      <c r="D68" s="24">
        <v>707</v>
      </c>
      <c r="E68" s="24">
        <v>710</v>
      </c>
      <c r="F68" s="24">
        <f>AVERAGE(C68:E68)</f>
        <v>705</v>
      </c>
      <c r="G68" s="24" t="s">
        <v>6</v>
      </c>
      <c r="I68" s="21" t="s">
        <v>33</v>
      </c>
      <c r="J68" s="53" t="s">
        <v>30</v>
      </c>
      <c r="K68" s="24">
        <v>744</v>
      </c>
      <c r="L68" s="24">
        <v>719</v>
      </c>
      <c r="M68" s="24">
        <v>729</v>
      </c>
      <c r="N68" s="24">
        <f>AVERAGE(K68:M68)</f>
        <v>730.66666666666663</v>
      </c>
      <c r="O68" s="24" t="s">
        <v>6</v>
      </c>
      <c r="Q68" s="21" t="s">
        <v>33</v>
      </c>
      <c r="R68" s="53" t="s">
        <v>30</v>
      </c>
      <c r="S68" s="24">
        <v>720</v>
      </c>
      <c r="T68" s="24">
        <v>733</v>
      </c>
      <c r="U68" s="24">
        <v>759</v>
      </c>
      <c r="V68" s="24">
        <f>AVERAGE(S68:U68)</f>
        <v>737.33333333333337</v>
      </c>
      <c r="W68" s="24" t="s">
        <v>6</v>
      </c>
    </row>
    <row r="69" spans="1:23" x14ac:dyDescent="0.25">
      <c r="A69" s="190" t="s">
        <v>11</v>
      </c>
      <c r="B69" s="190"/>
      <c r="C69" s="190"/>
      <c r="D69" s="190"/>
      <c r="E69" s="190"/>
      <c r="F69" s="190"/>
      <c r="G69" s="190"/>
      <c r="I69" s="190" t="s">
        <v>11</v>
      </c>
      <c r="J69" s="190"/>
      <c r="K69" s="190"/>
      <c r="L69" s="190"/>
      <c r="M69" s="190"/>
      <c r="N69" s="190"/>
      <c r="O69" s="190"/>
      <c r="Q69" s="190" t="s">
        <v>11</v>
      </c>
      <c r="R69" s="190"/>
      <c r="S69" s="190"/>
      <c r="T69" s="190"/>
      <c r="U69" s="190"/>
      <c r="V69" s="190"/>
      <c r="W69" s="190"/>
    </row>
    <row r="70" spans="1:23" x14ac:dyDescent="0.25">
      <c r="A70" s="21" t="s">
        <v>16</v>
      </c>
      <c r="B70" s="53" t="s">
        <v>5</v>
      </c>
      <c r="C70" s="25">
        <v>47154</v>
      </c>
      <c r="D70" s="25">
        <v>47000</v>
      </c>
      <c r="E70" s="25">
        <v>46406</v>
      </c>
      <c r="F70" s="25">
        <f t="shared" ref="F70:F75" si="6">AVERAGE(C70:E70)</f>
        <v>46853.333333333336</v>
      </c>
      <c r="G70" s="25" t="s">
        <v>6</v>
      </c>
      <c r="I70" s="21" t="s">
        <v>16</v>
      </c>
      <c r="J70" s="53" t="s">
        <v>5</v>
      </c>
      <c r="K70" s="25">
        <v>45532</v>
      </c>
      <c r="L70" s="25">
        <v>45569</v>
      </c>
      <c r="M70" s="25">
        <v>45339</v>
      </c>
      <c r="N70" s="25">
        <f t="shared" ref="N70:N75" si="7">AVERAGE(K70:M70)</f>
        <v>45480</v>
      </c>
      <c r="O70" s="25" t="s">
        <v>6</v>
      </c>
      <c r="Q70" s="21" t="s">
        <v>16</v>
      </c>
      <c r="R70" s="53" t="s">
        <v>5</v>
      </c>
      <c r="S70" s="25">
        <v>46475</v>
      </c>
      <c r="T70" s="25">
        <v>46546</v>
      </c>
      <c r="U70" s="25">
        <v>46919</v>
      </c>
      <c r="V70" s="25">
        <f t="shared" ref="V70:V75" si="8">AVERAGE(S70:U70)</f>
        <v>46646.666666666664</v>
      </c>
      <c r="W70" s="25" t="s">
        <v>6</v>
      </c>
    </row>
    <row r="71" spans="1:23" x14ac:dyDescent="0.25">
      <c r="A71" s="21" t="s">
        <v>17</v>
      </c>
      <c r="B71" s="53" t="s">
        <v>4</v>
      </c>
      <c r="C71" s="25">
        <v>111452</v>
      </c>
      <c r="D71" s="25">
        <v>111956</v>
      </c>
      <c r="E71" s="25">
        <v>110680</v>
      </c>
      <c r="F71" s="25">
        <f t="shared" si="6"/>
        <v>111362.66666666667</v>
      </c>
      <c r="G71" s="25" t="s">
        <v>6</v>
      </c>
      <c r="I71" s="21" t="s">
        <v>17</v>
      </c>
      <c r="J71" s="53" t="s">
        <v>4</v>
      </c>
      <c r="K71" s="24">
        <v>113653</v>
      </c>
      <c r="L71" s="24">
        <v>113955</v>
      </c>
      <c r="M71" s="24">
        <v>113945</v>
      </c>
      <c r="N71" s="24">
        <f t="shared" si="7"/>
        <v>113851</v>
      </c>
      <c r="O71" s="25" t="s">
        <v>6</v>
      </c>
      <c r="Q71" s="21" t="s">
        <v>17</v>
      </c>
      <c r="R71" s="53" t="s">
        <v>4</v>
      </c>
      <c r="S71" s="25">
        <v>115252</v>
      </c>
      <c r="T71" s="25">
        <v>115065</v>
      </c>
      <c r="U71" s="25">
        <v>114991</v>
      </c>
      <c r="V71" s="25">
        <f t="shared" si="8"/>
        <v>115102.66666666667</v>
      </c>
      <c r="W71" s="25" t="s">
        <v>6</v>
      </c>
    </row>
    <row r="72" spans="1:23" x14ac:dyDescent="0.25">
      <c r="A72" s="21" t="s">
        <v>18</v>
      </c>
      <c r="B72" s="53" t="s">
        <v>2</v>
      </c>
      <c r="C72" s="25">
        <v>337</v>
      </c>
      <c r="D72" s="25">
        <v>339</v>
      </c>
      <c r="E72" s="25">
        <v>340</v>
      </c>
      <c r="F72" s="25">
        <f t="shared" si="6"/>
        <v>338.66666666666669</v>
      </c>
      <c r="G72" s="25" t="s">
        <v>6</v>
      </c>
      <c r="I72" s="21" t="s">
        <v>18</v>
      </c>
      <c r="J72" s="53" t="s">
        <v>2</v>
      </c>
      <c r="K72" s="25">
        <v>364</v>
      </c>
      <c r="L72" s="25">
        <v>365</v>
      </c>
      <c r="M72" s="25">
        <v>364</v>
      </c>
      <c r="N72" s="25">
        <f t="shared" si="7"/>
        <v>364.33333333333331</v>
      </c>
      <c r="O72" s="25" t="s">
        <v>6</v>
      </c>
      <c r="Q72" s="21" t="s">
        <v>18</v>
      </c>
      <c r="R72" s="53" t="s">
        <v>2</v>
      </c>
      <c r="S72" s="25">
        <v>357</v>
      </c>
      <c r="T72" s="25">
        <v>354</v>
      </c>
      <c r="U72" s="25">
        <v>356</v>
      </c>
      <c r="V72" s="25">
        <f t="shared" si="8"/>
        <v>355.66666666666669</v>
      </c>
      <c r="W72" s="25" t="s">
        <v>6</v>
      </c>
    </row>
    <row r="73" spans="1:23" x14ac:dyDescent="0.25">
      <c r="A73" s="21" t="s">
        <v>19</v>
      </c>
      <c r="B73" s="53" t="s">
        <v>3</v>
      </c>
      <c r="C73" s="26">
        <v>32.6</v>
      </c>
      <c r="D73" s="26">
        <v>32.700000000000003</v>
      </c>
      <c r="E73" s="26">
        <v>32.4</v>
      </c>
      <c r="F73" s="27">
        <f t="shared" si="6"/>
        <v>32.56666666666667</v>
      </c>
      <c r="G73" s="27" t="s">
        <v>6</v>
      </c>
      <c r="I73" s="21" t="s">
        <v>19</v>
      </c>
      <c r="J73" s="53" t="s">
        <v>3</v>
      </c>
      <c r="K73" s="26">
        <v>33.200000000000003</v>
      </c>
      <c r="L73" s="26">
        <v>33.299999999999997</v>
      </c>
      <c r="M73" s="26">
        <v>33.299999999999997</v>
      </c>
      <c r="N73" s="27">
        <f t="shared" si="7"/>
        <v>33.266666666666666</v>
      </c>
      <c r="O73" s="27" t="s">
        <v>6</v>
      </c>
      <c r="Q73" s="21" t="s">
        <v>19</v>
      </c>
      <c r="R73" s="53" t="s">
        <v>3</v>
      </c>
      <c r="S73" s="26">
        <v>33.700000000000003</v>
      </c>
      <c r="T73" s="26">
        <v>33.6</v>
      </c>
      <c r="U73" s="26">
        <v>33.6</v>
      </c>
      <c r="V73" s="27">
        <f t="shared" si="8"/>
        <v>33.633333333333333</v>
      </c>
      <c r="W73" s="27" t="s">
        <v>6</v>
      </c>
    </row>
    <row r="74" spans="1:23" x14ac:dyDescent="0.25">
      <c r="A74" s="21" t="s">
        <v>20</v>
      </c>
      <c r="B74" s="53" t="s">
        <v>21</v>
      </c>
      <c r="C74" s="27">
        <v>4.3</v>
      </c>
      <c r="D74" s="27">
        <v>4.3</v>
      </c>
      <c r="E74" s="27">
        <v>4.4000000000000004</v>
      </c>
      <c r="F74" s="27">
        <f t="shared" si="6"/>
        <v>4.333333333333333</v>
      </c>
      <c r="G74" s="26" t="s">
        <v>6</v>
      </c>
      <c r="I74" s="21" t="s">
        <v>20</v>
      </c>
      <c r="J74" s="53" t="s">
        <v>21</v>
      </c>
      <c r="K74" s="27">
        <v>4.3</v>
      </c>
      <c r="L74" s="27">
        <v>4.4000000000000004</v>
      </c>
      <c r="M74" s="27">
        <v>4.3</v>
      </c>
      <c r="N74" s="27">
        <f t="shared" si="7"/>
        <v>4.333333333333333</v>
      </c>
      <c r="O74" s="26" t="s">
        <v>6</v>
      </c>
      <c r="Q74" s="21" t="s">
        <v>20</v>
      </c>
      <c r="R74" s="53" t="s">
        <v>21</v>
      </c>
      <c r="S74" s="27">
        <v>4.2</v>
      </c>
      <c r="T74" s="27">
        <v>4.2</v>
      </c>
      <c r="U74" s="27">
        <v>4.2</v>
      </c>
      <c r="V74" s="27">
        <f t="shared" si="8"/>
        <v>4.2</v>
      </c>
      <c r="W74" s="26" t="s">
        <v>6</v>
      </c>
    </row>
    <row r="75" spans="1:23" x14ac:dyDescent="0.25">
      <c r="A75" s="21" t="s">
        <v>22</v>
      </c>
      <c r="B75" s="53" t="s">
        <v>21</v>
      </c>
      <c r="C75" s="27">
        <v>12</v>
      </c>
      <c r="D75" s="27">
        <v>12</v>
      </c>
      <c r="E75" s="27">
        <v>11.7</v>
      </c>
      <c r="F75" s="27">
        <f t="shared" si="6"/>
        <v>11.9</v>
      </c>
      <c r="G75" s="27" t="s">
        <v>6</v>
      </c>
      <c r="I75" s="21" t="s">
        <v>22</v>
      </c>
      <c r="J75" s="53" t="s">
        <v>21</v>
      </c>
      <c r="K75" s="27">
        <v>12</v>
      </c>
      <c r="L75" s="27">
        <v>11.9</v>
      </c>
      <c r="M75" s="27">
        <v>11.9</v>
      </c>
      <c r="N75" s="27">
        <f t="shared" si="7"/>
        <v>11.933333333333332</v>
      </c>
      <c r="O75" s="27" t="s">
        <v>6</v>
      </c>
      <c r="Q75" s="21" t="s">
        <v>22</v>
      </c>
      <c r="R75" s="53" t="s">
        <v>21</v>
      </c>
      <c r="S75" s="27">
        <v>12.2</v>
      </c>
      <c r="T75" s="27">
        <v>12.3</v>
      </c>
      <c r="U75" s="27">
        <v>12.2</v>
      </c>
      <c r="V75" s="27">
        <f t="shared" si="8"/>
        <v>12.233333333333334</v>
      </c>
      <c r="W75" s="27" t="s">
        <v>6</v>
      </c>
    </row>
    <row r="76" spans="1:23" x14ac:dyDescent="0.25">
      <c r="A76" s="33" t="s">
        <v>190</v>
      </c>
      <c r="B76" s="90" t="s">
        <v>191</v>
      </c>
      <c r="I76" s="33" t="s">
        <v>190</v>
      </c>
      <c r="J76" s="90" t="s">
        <v>191</v>
      </c>
      <c r="Q76" s="33" t="s">
        <v>190</v>
      </c>
      <c r="R76" s="90" t="s">
        <v>191</v>
      </c>
    </row>
    <row r="77" spans="1:23" x14ac:dyDescent="0.25">
      <c r="A77" s="33" t="s">
        <v>192</v>
      </c>
      <c r="B77" s="91">
        <v>9532</v>
      </c>
      <c r="I77" s="33" t="s">
        <v>192</v>
      </c>
      <c r="J77" s="91">
        <v>9532</v>
      </c>
      <c r="Q77" s="33" t="s">
        <v>192</v>
      </c>
      <c r="R77" s="91">
        <v>9532</v>
      </c>
    </row>
    <row r="78" spans="1:23" x14ac:dyDescent="0.25">
      <c r="A78" s="33" t="s">
        <v>193</v>
      </c>
      <c r="B78" s="92">
        <v>1.06</v>
      </c>
      <c r="I78" s="33" t="s">
        <v>193</v>
      </c>
      <c r="J78" s="92">
        <v>1.06</v>
      </c>
      <c r="Q78" s="33" t="s">
        <v>194</v>
      </c>
      <c r="R78" s="91">
        <v>1804</v>
      </c>
    </row>
    <row r="79" spans="1:23" x14ac:dyDescent="0.25">
      <c r="A79" s="33" t="s">
        <v>194</v>
      </c>
      <c r="B79" s="91">
        <v>1824</v>
      </c>
      <c r="I79" s="33" t="s">
        <v>194</v>
      </c>
      <c r="J79" s="91">
        <v>1798</v>
      </c>
    </row>
    <row r="80" spans="1:23" x14ac:dyDescent="0.25">
      <c r="A80" s="33" t="s">
        <v>195</v>
      </c>
      <c r="B80" s="93">
        <v>981.8</v>
      </c>
      <c r="I80" s="33" t="s">
        <v>195</v>
      </c>
      <c r="J80" s="93">
        <v>981.8</v>
      </c>
      <c r="Q80" s="33"/>
      <c r="R80" s="93"/>
    </row>
    <row r="82" spans="1:23" x14ac:dyDescent="0.25">
      <c r="A82" s="196" t="s">
        <v>27</v>
      </c>
      <c r="B82" s="197"/>
      <c r="C82" s="197"/>
      <c r="D82" s="197"/>
      <c r="E82" s="197"/>
      <c r="F82" s="197"/>
      <c r="G82" s="198"/>
      <c r="I82" s="196" t="s">
        <v>27</v>
      </c>
      <c r="J82" s="197"/>
      <c r="K82" s="197"/>
      <c r="L82" s="197"/>
      <c r="M82" s="197"/>
      <c r="N82" s="197"/>
      <c r="O82" s="198"/>
      <c r="Q82" s="199" t="s">
        <v>27</v>
      </c>
      <c r="R82" s="200"/>
      <c r="S82" s="200"/>
      <c r="T82" s="200"/>
      <c r="U82" s="200"/>
      <c r="V82" s="200"/>
      <c r="W82" s="201"/>
    </row>
    <row r="83" spans="1:23" x14ac:dyDescent="0.25">
      <c r="A83" s="190" t="s">
        <v>12</v>
      </c>
      <c r="B83" s="190"/>
      <c r="C83" s="190"/>
      <c r="D83" s="190"/>
      <c r="E83" s="190"/>
      <c r="F83" s="190"/>
      <c r="G83" s="190"/>
      <c r="I83" s="190" t="s">
        <v>28</v>
      </c>
      <c r="J83" s="190"/>
      <c r="K83" s="190"/>
      <c r="L83" s="190"/>
      <c r="M83" s="190"/>
      <c r="N83" s="190"/>
      <c r="O83" s="190"/>
      <c r="Q83" s="190" t="s">
        <v>29</v>
      </c>
      <c r="R83" s="190"/>
      <c r="S83" s="190"/>
      <c r="T83" s="190"/>
      <c r="U83" s="190"/>
      <c r="V83" s="190"/>
      <c r="W83" s="190"/>
    </row>
    <row r="84" spans="1:23" x14ac:dyDescent="0.25">
      <c r="A84" s="190" t="s">
        <v>27</v>
      </c>
      <c r="B84" s="190"/>
      <c r="C84" s="190"/>
      <c r="D84" s="190"/>
      <c r="E84" s="190"/>
      <c r="F84" s="190"/>
      <c r="G84" s="190"/>
      <c r="I84" s="190" t="s">
        <v>27</v>
      </c>
      <c r="J84" s="190"/>
      <c r="K84" s="190"/>
      <c r="L84" s="190"/>
      <c r="M84" s="190"/>
      <c r="N84" s="190"/>
      <c r="O84" s="190"/>
      <c r="Q84" s="190" t="s">
        <v>27</v>
      </c>
      <c r="R84" s="190"/>
      <c r="S84" s="190"/>
      <c r="T84" s="190"/>
      <c r="U84" s="190"/>
      <c r="V84" s="190"/>
      <c r="W84" s="190"/>
    </row>
    <row r="85" spans="1:23" x14ac:dyDescent="0.25">
      <c r="A85" s="191" t="s">
        <v>13</v>
      </c>
      <c r="B85" s="190" t="s">
        <v>0</v>
      </c>
      <c r="C85" s="187" t="s">
        <v>8</v>
      </c>
      <c r="D85" s="188"/>
      <c r="E85" s="189"/>
      <c r="F85" s="193" t="s">
        <v>23</v>
      </c>
      <c r="G85" s="193" t="s">
        <v>25</v>
      </c>
      <c r="I85" s="191" t="s">
        <v>13</v>
      </c>
      <c r="J85" s="190" t="s">
        <v>0</v>
      </c>
      <c r="K85" s="187" t="s">
        <v>8</v>
      </c>
      <c r="L85" s="188"/>
      <c r="M85" s="189"/>
      <c r="N85" s="193" t="s">
        <v>23</v>
      </c>
      <c r="O85" s="193" t="s">
        <v>25</v>
      </c>
      <c r="Q85" s="191" t="s">
        <v>13</v>
      </c>
      <c r="R85" s="190" t="s">
        <v>0</v>
      </c>
      <c r="S85" s="187" t="s">
        <v>8</v>
      </c>
      <c r="T85" s="188"/>
      <c r="U85" s="189"/>
      <c r="V85" s="193" t="s">
        <v>23</v>
      </c>
      <c r="W85" s="193" t="s">
        <v>25</v>
      </c>
    </row>
    <row r="86" spans="1:23" x14ac:dyDescent="0.25">
      <c r="A86" s="192"/>
      <c r="B86" s="190"/>
      <c r="C86" s="53">
        <v>1</v>
      </c>
      <c r="D86" s="53">
        <v>2</v>
      </c>
      <c r="E86" s="53">
        <v>3</v>
      </c>
      <c r="F86" s="193"/>
      <c r="G86" s="193"/>
      <c r="I86" s="192"/>
      <c r="J86" s="190"/>
      <c r="K86" s="53">
        <v>1</v>
      </c>
      <c r="L86" s="53">
        <v>2</v>
      </c>
      <c r="M86" s="53">
        <v>3</v>
      </c>
      <c r="N86" s="193"/>
      <c r="O86" s="193"/>
      <c r="Q86" s="192"/>
      <c r="R86" s="190"/>
      <c r="S86" s="53">
        <v>1</v>
      </c>
      <c r="T86" s="53">
        <v>2</v>
      </c>
      <c r="U86" s="53">
        <v>3</v>
      </c>
      <c r="V86" s="193"/>
      <c r="W86" s="193"/>
    </row>
    <row r="87" spans="1:23" x14ac:dyDescent="0.25">
      <c r="A87" s="190" t="s">
        <v>14</v>
      </c>
      <c r="B87" s="190"/>
      <c r="C87" s="190"/>
      <c r="D87" s="190"/>
      <c r="E87" s="190"/>
      <c r="F87" s="190"/>
      <c r="G87" s="190"/>
      <c r="I87" s="190" t="s">
        <v>14</v>
      </c>
      <c r="J87" s="190"/>
      <c r="K87" s="190"/>
      <c r="L87" s="190"/>
      <c r="M87" s="190"/>
      <c r="N87" s="190"/>
      <c r="O87" s="190"/>
      <c r="Q87" s="190" t="s">
        <v>14</v>
      </c>
      <c r="R87" s="190"/>
      <c r="S87" s="190"/>
      <c r="T87" s="190"/>
      <c r="U87" s="190"/>
      <c r="V87" s="190"/>
      <c r="W87" s="190"/>
    </row>
    <row r="88" spans="1:23" x14ac:dyDescent="0.25">
      <c r="A88" s="21" t="s">
        <v>9</v>
      </c>
      <c r="B88" s="53" t="s">
        <v>7</v>
      </c>
      <c r="C88" s="22">
        <v>61.2</v>
      </c>
      <c r="D88" s="22">
        <v>57.5</v>
      </c>
      <c r="E88" s="22">
        <v>59.8</v>
      </c>
      <c r="F88" s="22">
        <f>AVERAGE(C88:E88)</f>
        <v>59.5</v>
      </c>
      <c r="G88" s="22" t="s">
        <v>6</v>
      </c>
      <c r="I88" s="21" t="s">
        <v>9</v>
      </c>
      <c r="J88" s="53" t="s">
        <v>7</v>
      </c>
      <c r="K88" s="22">
        <v>60</v>
      </c>
      <c r="L88" s="22">
        <v>63</v>
      </c>
      <c r="M88" s="22">
        <v>59.8</v>
      </c>
      <c r="N88" s="22">
        <f>AVERAGE(K88:M88)</f>
        <v>60.933333333333337</v>
      </c>
      <c r="O88" s="22">
        <v>61</v>
      </c>
      <c r="Q88" s="21" t="s">
        <v>9</v>
      </c>
      <c r="R88" s="53" t="s">
        <v>7</v>
      </c>
      <c r="S88" s="22">
        <v>69.099999999999994</v>
      </c>
      <c r="T88" s="22">
        <v>76.8</v>
      </c>
      <c r="U88" s="22">
        <v>70.7</v>
      </c>
      <c r="V88" s="22">
        <f>AVERAGE(S88:U88)</f>
        <v>72.199999999999989</v>
      </c>
      <c r="W88" s="22" t="s">
        <v>6</v>
      </c>
    </row>
    <row r="89" spans="1:23" x14ac:dyDescent="0.25">
      <c r="A89" s="21" t="s">
        <v>1</v>
      </c>
      <c r="B89" s="53" t="s">
        <v>10</v>
      </c>
      <c r="C89" s="23">
        <v>2.75</v>
      </c>
      <c r="D89" s="23">
        <v>2.62</v>
      </c>
      <c r="E89" s="23">
        <v>2.74</v>
      </c>
      <c r="F89" s="23">
        <f>AVERAGE(C89:E89)</f>
        <v>2.7033333333333331</v>
      </c>
      <c r="G89" s="23">
        <v>2.71</v>
      </c>
      <c r="I89" s="21" t="s">
        <v>1</v>
      </c>
      <c r="J89" s="53" t="s">
        <v>10</v>
      </c>
      <c r="K89" s="23">
        <v>2.76</v>
      </c>
      <c r="L89" s="23">
        <v>2.87</v>
      </c>
      <c r="M89" s="23">
        <v>2.75</v>
      </c>
      <c r="N89" s="23">
        <f>AVERAGE(K89:M89)</f>
        <v>2.793333333333333</v>
      </c>
      <c r="O89" s="23">
        <v>2.8</v>
      </c>
      <c r="Q89" s="21" t="s">
        <v>1</v>
      </c>
      <c r="R89" s="53" t="s">
        <v>10</v>
      </c>
      <c r="S89" s="23">
        <v>3.24</v>
      </c>
      <c r="T89" s="23">
        <v>3.6</v>
      </c>
      <c r="U89" s="23">
        <v>3.34</v>
      </c>
      <c r="V89" s="23">
        <f>AVERAGE(S89:U89)</f>
        <v>3.3933333333333331</v>
      </c>
      <c r="W89" s="23">
        <v>3.4</v>
      </c>
    </row>
    <row r="90" spans="1:23" x14ac:dyDescent="0.25">
      <c r="A90" s="190" t="s">
        <v>15</v>
      </c>
      <c r="B90" s="190"/>
      <c r="C90" s="190"/>
      <c r="D90" s="190"/>
      <c r="E90" s="190"/>
      <c r="F90" s="190"/>
      <c r="G90" s="190"/>
      <c r="I90" s="190" t="s">
        <v>15</v>
      </c>
      <c r="J90" s="190"/>
      <c r="K90" s="190"/>
      <c r="L90" s="190"/>
      <c r="M90" s="190"/>
      <c r="N90" s="190"/>
      <c r="O90" s="190"/>
      <c r="Q90" s="190" t="s">
        <v>15</v>
      </c>
      <c r="R90" s="190"/>
      <c r="S90" s="190"/>
      <c r="T90" s="190"/>
      <c r="U90" s="190"/>
      <c r="V90" s="190"/>
      <c r="W90" s="190"/>
    </row>
    <row r="91" spans="1:23" x14ac:dyDescent="0.25">
      <c r="A91" s="21" t="s">
        <v>9</v>
      </c>
      <c r="B91" s="53" t="s">
        <v>7</v>
      </c>
      <c r="C91" s="22">
        <v>517.9</v>
      </c>
      <c r="D91" s="22">
        <v>541</v>
      </c>
      <c r="E91" s="22">
        <v>492</v>
      </c>
      <c r="F91" s="22">
        <f>AVERAGE(C91:E91)</f>
        <v>516.9666666666667</v>
      </c>
      <c r="G91" s="22" t="s">
        <v>6</v>
      </c>
      <c r="I91" s="21" t="s">
        <v>9</v>
      </c>
      <c r="J91" s="53" t="s">
        <v>7</v>
      </c>
      <c r="K91" s="22">
        <v>457.7</v>
      </c>
      <c r="L91" s="22">
        <v>464.3</v>
      </c>
      <c r="M91" s="22">
        <v>442.4</v>
      </c>
      <c r="N91" s="22">
        <f>AVERAGE(K91:M91)</f>
        <v>454.8</v>
      </c>
      <c r="O91" s="22" t="s">
        <v>6</v>
      </c>
      <c r="Q91" s="21" t="s">
        <v>9</v>
      </c>
      <c r="R91" s="53" t="s">
        <v>7</v>
      </c>
      <c r="S91" s="22">
        <v>462.6</v>
      </c>
      <c r="T91" s="22">
        <v>492.7</v>
      </c>
      <c r="U91" s="22">
        <v>450.7</v>
      </c>
      <c r="V91" s="22">
        <f>AVERAGE(S91:U91)</f>
        <v>468.66666666666669</v>
      </c>
      <c r="W91" s="22" t="s">
        <v>6</v>
      </c>
    </row>
    <row r="92" spans="1:23" x14ac:dyDescent="0.25">
      <c r="A92" s="21" t="s">
        <v>1</v>
      </c>
      <c r="B92" s="53" t="s">
        <v>10</v>
      </c>
      <c r="C92" s="23">
        <v>23.29</v>
      </c>
      <c r="D92" s="23">
        <v>24.68</v>
      </c>
      <c r="E92" s="23">
        <v>22.53</v>
      </c>
      <c r="F92" s="23">
        <f>AVERAGE(C92:E92)</f>
        <v>23.5</v>
      </c>
      <c r="G92" s="23" t="s">
        <v>6</v>
      </c>
      <c r="I92" s="21" t="s">
        <v>1</v>
      </c>
      <c r="J92" s="53" t="s">
        <v>10</v>
      </c>
      <c r="K92" s="23">
        <v>21.05</v>
      </c>
      <c r="L92" s="23">
        <v>21.17</v>
      </c>
      <c r="M92" s="23">
        <v>20.37</v>
      </c>
      <c r="N92" s="23">
        <f>AVERAGE(K92:M92)</f>
        <v>20.863333333333333</v>
      </c>
      <c r="O92" s="23" t="s">
        <v>6</v>
      </c>
      <c r="Q92" s="21" t="s">
        <v>1</v>
      </c>
      <c r="R92" s="53" t="s">
        <v>10</v>
      </c>
      <c r="S92" s="23">
        <v>21.71</v>
      </c>
      <c r="T92" s="23">
        <v>23.1</v>
      </c>
      <c r="U92" s="23">
        <v>21.32</v>
      </c>
      <c r="V92" s="23">
        <f>AVERAGE(S92:U92)</f>
        <v>22.043333333333333</v>
      </c>
      <c r="W92" s="23" t="s">
        <v>6</v>
      </c>
    </row>
    <row r="93" spans="1:23" x14ac:dyDescent="0.25">
      <c r="A93" s="190" t="s">
        <v>31</v>
      </c>
      <c r="B93" s="190"/>
      <c r="C93" s="190"/>
      <c r="D93" s="190"/>
      <c r="E93" s="190"/>
      <c r="F93" s="190"/>
      <c r="G93" s="190"/>
      <c r="I93" s="190" t="s">
        <v>31</v>
      </c>
      <c r="J93" s="190"/>
      <c r="K93" s="190"/>
      <c r="L93" s="190"/>
      <c r="M93" s="190"/>
      <c r="N93" s="190"/>
      <c r="O93" s="190"/>
      <c r="Q93" s="190" t="s">
        <v>31</v>
      </c>
      <c r="R93" s="190"/>
      <c r="S93" s="190"/>
      <c r="T93" s="190"/>
      <c r="U93" s="190"/>
      <c r="V93" s="190"/>
      <c r="W93" s="190"/>
    </row>
    <row r="94" spans="1:23" x14ac:dyDescent="0.25">
      <c r="A94" s="21" t="s">
        <v>32</v>
      </c>
      <c r="B94" s="53" t="s">
        <v>30</v>
      </c>
      <c r="C94" s="24">
        <v>1048</v>
      </c>
      <c r="D94" s="24">
        <v>952</v>
      </c>
      <c r="E94" s="24">
        <v>960</v>
      </c>
      <c r="F94" s="24">
        <f>AVERAGE(C94:E94)</f>
        <v>986.66666666666663</v>
      </c>
      <c r="G94" s="24">
        <v>986</v>
      </c>
      <c r="I94" s="21" t="s">
        <v>32</v>
      </c>
      <c r="J94" s="53" t="s">
        <v>30</v>
      </c>
      <c r="K94" s="24">
        <v>1091</v>
      </c>
      <c r="L94" s="24">
        <v>1043</v>
      </c>
      <c r="M94" s="24">
        <v>992</v>
      </c>
      <c r="N94" s="24">
        <f>AVERAGE(K94:M94)</f>
        <v>1042</v>
      </c>
      <c r="O94" s="24" t="s">
        <v>6</v>
      </c>
      <c r="Q94" s="21" t="s">
        <v>32</v>
      </c>
      <c r="R94" s="53" t="s">
        <v>30</v>
      </c>
      <c r="S94" s="24">
        <v>1081</v>
      </c>
      <c r="T94" s="24">
        <v>1065</v>
      </c>
      <c r="U94" s="24">
        <v>1029</v>
      </c>
      <c r="V94" s="24">
        <f>AVERAGE(S94:U94)</f>
        <v>1058.3333333333333</v>
      </c>
      <c r="W94" s="24" t="s">
        <v>6</v>
      </c>
    </row>
    <row r="95" spans="1:23" x14ac:dyDescent="0.25">
      <c r="A95" s="21" t="s">
        <v>33</v>
      </c>
      <c r="B95" s="53" t="s">
        <v>30</v>
      </c>
      <c r="C95" s="24">
        <v>663</v>
      </c>
      <c r="D95" s="24">
        <v>595</v>
      </c>
      <c r="E95" s="24">
        <v>586</v>
      </c>
      <c r="F95" s="24">
        <f>AVERAGE(C95:E95)</f>
        <v>614.66666666666663</v>
      </c>
      <c r="G95" s="24" t="s">
        <v>6</v>
      </c>
      <c r="I95" s="21" t="s">
        <v>33</v>
      </c>
      <c r="J95" s="53" t="s">
        <v>30</v>
      </c>
      <c r="K95" s="24">
        <v>758</v>
      </c>
      <c r="L95" s="24">
        <v>724</v>
      </c>
      <c r="M95" s="24">
        <v>691</v>
      </c>
      <c r="N95" s="24">
        <f>AVERAGE(K95:M95)</f>
        <v>724.33333333333337</v>
      </c>
      <c r="O95" s="24" t="s">
        <v>6</v>
      </c>
      <c r="Q95" s="21" t="s">
        <v>33</v>
      </c>
      <c r="R95" s="53" t="s">
        <v>30</v>
      </c>
      <c r="S95" s="24">
        <v>750</v>
      </c>
      <c r="T95" s="24">
        <v>741</v>
      </c>
      <c r="U95" s="24">
        <v>713</v>
      </c>
      <c r="V95" s="24">
        <f>AVERAGE(S95:U95)</f>
        <v>734.66666666666663</v>
      </c>
      <c r="W95" s="24" t="s">
        <v>6</v>
      </c>
    </row>
    <row r="96" spans="1:23" x14ac:dyDescent="0.25">
      <c r="A96" s="190" t="s">
        <v>11</v>
      </c>
      <c r="B96" s="190"/>
      <c r="C96" s="190"/>
      <c r="D96" s="190"/>
      <c r="E96" s="190"/>
      <c r="F96" s="190"/>
      <c r="G96" s="190"/>
      <c r="I96" s="190" t="s">
        <v>11</v>
      </c>
      <c r="J96" s="190"/>
      <c r="K96" s="190"/>
      <c r="L96" s="190"/>
      <c r="M96" s="190"/>
      <c r="N96" s="190"/>
      <c r="O96" s="190"/>
      <c r="Q96" s="190" t="s">
        <v>11</v>
      </c>
      <c r="R96" s="190"/>
      <c r="S96" s="190"/>
      <c r="T96" s="190"/>
      <c r="U96" s="190"/>
      <c r="V96" s="190"/>
      <c r="W96" s="190"/>
    </row>
    <row r="97" spans="1:23" x14ac:dyDescent="0.25">
      <c r="A97" s="21" t="s">
        <v>16</v>
      </c>
      <c r="B97" s="53" t="s">
        <v>5</v>
      </c>
      <c r="C97" s="25">
        <v>44970</v>
      </c>
      <c r="D97" s="25">
        <v>45612</v>
      </c>
      <c r="E97" s="25">
        <v>45794</v>
      </c>
      <c r="F97" s="25">
        <f t="shared" ref="F97:F102" si="9">AVERAGE(C97:E97)</f>
        <v>45458.666666666664</v>
      </c>
      <c r="G97" s="25" t="s">
        <v>6</v>
      </c>
      <c r="I97" s="21" t="s">
        <v>16</v>
      </c>
      <c r="J97" s="53" t="s">
        <v>5</v>
      </c>
      <c r="K97" s="25">
        <v>46005</v>
      </c>
      <c r="L97" s="25">
        <v>45598</v>
      </c>
      <c r="M97" s="25">
        <v>46041</v>
      </c>
      <c r="N97" s="25">
        <f t="shared" ref="N97:N102" si="10">AVERAGE(K97:M97)</f>
        <v>45881.333333333336</v>
      </c>
      <c r="O97" s="25" t="s">
        <v>6</v>
      </c>
      <c r="Q97" s="21" t="s">
        <v>16</v>
      </c>
      <c r="R97" s="53" t="s">
        <v>5</v>
      </c>
      <c r="S97" s="25">
        <v>46922</v>
      </c>
      <c r="T97" s="25">
        <v>46880</v>
      </c>
      <c r="U97" s="25">
        <v>47307</v>
      </c>
      <c r="V97" s="25">
        <f t="shared" ref="V97:V102" si="11">AVERAGE(S97:U97)</f>
        <v>47036.333333333336</v>
      </c>
      <c r="W97" s="25" t="s">
        <v>6</v>
      </c>
    </row>
    <row r="98" spans="1:23" x14ac:dyDescent="0.25">
      <c r="A98" s="21" t="s">
        <v>17</v>
      </c>
      <c r="B98" s="53" t="s">
        <v>4</v>
      </c>
      <c r="C98" s="25">
        <v>114348</v>
      </c>
      <c r="D98" s="25">
        <v>115359</v>
      </c>
      <c r="E98" s="25">
        <v>115281</v>
      </c>
      <c r="F98" s="25">
        <f t="shared" si="9"/>
        <v>114996</v>
      </c>
      <c r="G98" s="25" t="s">
        <v>6</v>
      </c>
      <c r="I98" s="21" t="s">
        <v>17</v>
      </c>
      <c r="J98" s="53" t="s">
        <v>4</v>
      </c>
      <c r="K98" s="25">
        <v>114084</v>
      </c>
      <c r="L98" s="25">
        <v>113588</v>
      </c>
      <c r="M98" s="25">
        <v>113769</v>
      </c>
      <c r="N98" s="25">
        <f t="shared" si="10"/>
        <v>113813.66666666667</v>
      </c>
      <c r="O98" s="25" t="s">
        <v>6</v>
      </c>
      <c r="Q98" s="21" t="s">
        <v>17</v>
      </c>
      <c r="R98" s="53" t="s">
        <v>4</v>
      </c>
      <c r="S98" s="25">
        <v>116524</v>
      </c>
      <c r="T98" s="25">
        <v>116752</v>
      </c>
      <c r="U98" s="25">
        <v>115584</v>
      </c>
      <c r="V98" s="25">
        <f t="shared" si="11"/>
        <v>116286.66666666667</v>
      </c>
      <c r="W98" s="25" t="s">
        <v>6</v>
      </c>
    </row>
    <row r="99" spans="1:23" x14ac:dyDescent="0.25">
      <c r="A99" s="21" t="s">
        <v>18</v>
      </c>
      <c r="B99" s="53" t="s">
        <v>2</v>
      </c>
      <c r="C99" s="25">
        <v>380</v>
      </c>
      <c r="D99" s="25">
        <v>380</v>
      </c>
      <c r="E99" s="25">
        <v>375</v>
      </c>
      <c r="F99" s="25">
        <f t="shared" si="9"/>
        <v>378.33333333333331</v>
      </c>
      <c r="G99" s="25" t="s">
        <v>6</v>
      </c>
      <c r="I99" s="21" t="s">
        <v>18</v>
      </c>
      <c r="J99" s="53" t="s">
        <v>2</v>
      </c>
      <c r="K99" s="25">
        <v>358</v>
      </c>
      <c r="L99" s="25">
        <v>363</v>
      </c>
      <c r="M99" s="25">
        <v>358</v>
      </c>
      <c r="N99" s="25">
        <f t="shared" si="10"/>
        <v>359.66666666666669</v>
      </c>
      <c r="O99" s="25" t="s">
        <v>6</v>
      </c>
      <c r="Q99" s="21" t="s">
        <v>18</v>
      </c>
      <c r="R99" s="53" t="s">
        <v>2</v>
      </c>
      <c r="S99" s="25">
        <v>355</v>
      </c>
      <c r="T99" s="25">
        <v>355</v>
      </c>
      <c r="U99" s="25">
        <v>345</v>
      </c>
      <c r="V99" s="25">
        <f t="shared" si="11"/>
        <v>351.66666666666669</v>
      </c>
      <c r="W99" s="25" t="s">
        <v>6</v>
      </c>
    </row>
    <row r="100" spans="1:23" x14ac:dyDescent="0.25">
      <c r="A100" s="21" t="s">
        <v>19</v>
      </c>
      <c r="B100" s="53" t="s">
        <v>3</v>
      </c>
      <c r="C100" s="26">
        <v>33.4</v>
      </c>
      <c r="D100" s="26">
        <v>33.700000000000003</v>
      </c>
      <c r="E100" s="26">
        <v>33.700000000000003</v>
      </c>
      <c r="F100" s="27">
        <f t="shared" si="9"/>
        <v>33.6</v>
      </c>
      <c r="G100" s="27" t="s">
        <v>6</v>
      </c>
      <c r="I100" s="21" t="s">
        <v>19</v>
      </c>
      <c r="J100" s="53" t="s">
        <v>3</v>
      </c>
      <c r="K100" s="26">
        <v>33.299999999999997</v>
      </c>
      <c r="L100" s="26">
        <v>33.200000000000003</v>
      </c>
      <c r="M100" s="26">
        <v>33.299999999999997</v>
      </c>
      <c r="N100" s="27">
        <f t="shared" si="10"/>
        <v>33.266666666666666</v>
      </c>
      <c r="O100" s="27" t="s">
        <v>6</v>
      </c>
      <c r="Q100" s="21" t="s">
        <v>19</v>
      </c>
      <c r="R100" s="53" t="s">
        <v>3</v>
      </c>
      <c r="S100" s="26">
        <v>34.1</v>
      </c>
      <c r="T100" s="26">
        <v>34.1</v>
      </c>
      <c r="U100" s="26">
        <v>33.799999999999997</v>
      </c>
      <c r="V100" s="27">
        <f t="shared" si="11"/>
        <v>34</v>
      </c>
      <c r="W100" s="27" t="s">
        <v>6</v>
      </c>
    </row>
    <row r="101" spans="1:23" x14ac:dyDescent="0.25">
      <c r="A101" s="21" t="s">
        <v>20</v>
      </c>
      <c r="B101" s="53" t="s">
        <v>21</v>
      </c>
      <c r="C101" s="27">
        <v>4.5</v>
      </c>
      <c r="D101" s="27">
        <v>4.5999999999999996</v>
      </c>
      <c r="E101" s="27">
        <v>4.5999999999999996</v>
      </c>
      <c r="F101" s="27">
        <f t="shared" si="9"/>
        <v>4.5666666666666664</v>
      </c>
      <c r="G101" s="26" t="s">
        <v>6</v>
      </c>
      <c r="I101" s="21" t="s">
        <v>20</v>
      </c>
      <c r="J101" s="53" t="s">
        <v>21</v>
      </c>
      <c r="K101" s="27">
        <v>4.0999999999999996</v>
      </c>
      <c r="L101" s="27">
        <v>4.0999999999999996</v>
      </c>
      <c r="M101" s="27">
        <v>4.0999999999999996</v>
      </c>
      <c r="N101" s="27">
        <f t="shared" si="10"/>
        <v>4.0999999999999996</v>
      </c>
      <c r="O101" s="26" t="s">
        <v>6</v>
      </c>
      <c r="Q101" s="21" t="s">
        <v>20</v>
      </c>
      <c r="R101" s="53" t="s">
        <v>21</v>
      </c>
      <c r="S101" s="27">
        <v>4.0999999999999996</v>
      </c>
      <c r="T101" s="27">
        <v>4.0999999999999996</v>
      </c>
      <c r="U101" s="27">
        <v>4.0999999999999996</v>
      </c>
      <c r="V101" s="27">
        <f t="shared" si="11"/>
        <v>4.0999999999999996</v>
      </c>
      <c r="W101" s="26" t="s">
        <v>6</v>
      </c>
    </row>
    <row r="102" spans="1:23" x14ac:dyDescent="0.25">
      <c r="A102" s="21" t="s">
        <v>22</v>
      </c>
      <c r="B102" s="53" t="s">
        <v>21</v>
      </c>
      <c r="C102" s="27">
        <v>11.5</v>
      </c>
      <c r="D102" s="27">
        <v>11.4</v>
      </c>
      <c r="E102" s="27">
        <v>11.2</v>
      </c>
      <c r="F102" s="27">
        <f t="shared" si="9"/>
        <v>11.366666666666665</v>
      </c>
      <c r="G102" s="27" t="s">
        <v>6</v>
      </c>
      <c r="I102" s="21" t="s">
        <v>22</v>
      </c>
      <c r="J102" s="53" t="s">
        <v>21</v>
      </c>
      <c r="K102" s="27">
        <v>12.4</v>
      </c>
      <c r="L102" s="27">
        <v>12.4</v>
      </c>
      <c r="M102" s="27">
        <v>12.4</v>
      </c>
      <c r="N102" s="27">
        <f t="shared" si="10"/>
        <v>12.4</v>
      </c>
      <c r="O102" s="27" t="s">
        <v>6</v>
      </c>
      <c r="Q102" s="21" t="s">
        <v>22</v>
      </c>
      <c r="R102" s="53" t="s">
        <v>21</v>
      </c>
      <c r="S102" s="27">
        <v>12.4</v>
      </c>
      <c r="T102" s="27">
        <v>12.4</v>
      </c>
      <c r="U102" s="27">
        <v>12.3</v>
      </c>
      <c r="V102" s="27">
        <f t="shared" si="11"/>
        <v>12.366666666666667</v>
      </c>
      <c r="W102" s="27" t="s">
        <v>6</v>
      </c>
    </row>
    <row r="103" spans="1:23" x14ac:dyDescent="0.25">
      <c r="A103" s="33" t="s">
        <v>190</v>
      </c>
      <c r="B103" s="90" t="s">
        <v>191</v>
      </c>
      <c r="I103" s="33" t="s">
        <v>190</v>
      </c>
      <c r="J103" s="90" t="s">
        <v>191</v>
      </c>
      <c r="Q103" s="33" t="s">
        <v>190</v>
      </c>
      <c r="R103" s="90" t="s">
        <v>191</v>
      </c>
    </row>
    <row r="104" spans="1:23" x14ac:dyDescent="0.25">
      <c r="A104" s="33" t="s">
        <v>192</v>
      </c>
      <c r="B104" s="91">
        <v>9532</v>
      </c>
      <c r="F104" s="95"/>
      <c r="I104" s="33" t="s">
        <v>192</v>
      </c>
      <c r="J104" s="91">
        <v>9532</v>
      </c>
      <c r="N104" s="96"/>
      <c r="Q104" s="33" t="s">
        <v>192</v>
      </c>
      <c r="R104" s="91">
        <v>9532</v>
      </c>
      <c r="V104" s="96"/>
    </row>
    <row r="105" spans="1:23" x14ac:dyDescent="0.25">
      <c r="A105" s="33" t="s">
        <v>193</v>
      </c>
      <c r="B105" s="92">
        <v>1.06</v>
      </c>
      <c r="I105" s="33" t="s">
        <v>193</v>
      </c>
      <c r="J105" s="92">
        <v>1.06</v>
      </c>
      <c r="Q105" s="33" t="s">
        <v>194</v>
      </c>
      <c r="R105" s="91">
        <v>1832</v>
      </c>
    </row>
    <row r="106" spans="1:23" x14ac:dyDescent="0.25">
      <c r="A106" s="33" t="s">
        <v>194</v>
      </c>
      <c r="B106" s="91">
        <v>1826</v>
      </c>
      <c r="I106" s="33" t="s">
        <v>194</v>
      </c>
      <c r="J106" s="91">
        <v>1826</v>
      </c>
      <c r="Q106" s="33"/>
      <c r="R106" s="93"/>
    </row>
    <row r="107" spans="1:23" x14ac:dyDescent="0.25">
      <c r="A107" s="33" t="s">
        <v>195</v>
      </c>
      <c r="B107" s="93">
        <v>981.8</v>
      </c>
      <c r="I107" s="33" t="s">
        <v>195</v>
      </c>
      <c r="J107" s="93">
        <v>981.8</v>
      </c>
    </row>
    <row r="108" spans="1:23" s="1" customFormat="1" ht="15" customHeight="1" x14ac:dyDescent="0.25"/>
    <row r="109" spans="1:23" s="1" customFormat="1" ht="15" customHeight="1" x14ac:dyDescent="0.25"/>
    <row r="110" spans="1:23" s="1" customFormat="1" ht="15" customHeight="1" x14ac:dyDescent="0.25"/>
    <row r="111" spans="1:23" s="1" customFormat="1" ht="15" customHeight="1" x14ac:dyDescent="0.25"/>
    <row r="112" spans="1:23" s="1" customFormat="1" ht="15" customHeight="1" x14ac:dyDescent="0.25"/>
    <row r="113" s="1" customFormat="1" ht="15" customHeight="1" x14ac:dyDescent="0.25"/>
    <row r="114" s="1" customFormat="1" ht="15" customHeight="1" x14ac:dyDescent="0.25"/>
    <row r="115" s="1" customFormat="1" ht="15" customHeight="1" x14ac:dyDescent="0.25"/>
    <row r="116" s="1" customFormat="1" ht="15" customHeight="1" x14ac:dyDescent="0.25"/>
    <row r="117" s="1" customFormat="1" ht="15" customHeight="1" x14ac:dyDescent="0.25"/>
    <row r="118" s="1" customFormat="1" ht="15" customHeight="1" x14ac:dyDescent="0.25"/>
    <row r="119" s="1" customFormat="1" ht="15" customHeight="1" x14ac:dyDescent="0.25"/>
    <row r="120" s="1" customFormat="1" ht="15" customHeight="1" x14ac:dyDescent="0.25"/>
    <row r="121" s="1" customFormat="1" ht="15" customHeight="1" x14ac:dyDescent="0.25"/>
    <row r="122" s="1" customFormat="1" ht="15" customHeight="1" x14ac:dyDescent="0.25"/>
    <row r="123" s="1" customFormat="1" ht="15" customHeight="1" x14ac:dyDescent="0.25"/>
    <row r="124" s="1" customFormat="1" ht="15" customHeight="1" x14ac:dyDescent="0.25"/>
  </sheetData>
  <sheetProtection password="B056" sheet="1" objects="1" scenarios="1"/>
  <mergeCells count="144">
    <mergeCell ref="A96:G96"/>
    <mergeCell ref="I96:O96"/>
    <mergeCell ref="Q96:W96"/>
    <mergeCell ref="A82:G82"/>
    <mergeCell ref="I82:O82"/>
    <mergeCell ref="Q82:W82"/>
    <mergeCell ref="A90:G90"/>
    <mergeCell ref="I90:O90"/>
    <mergeCell ref="Q90:W90"/>
    <mergeCell ref="A93:G93"/>
    <mergeCell ref="I93:O93"/>
    <mergeCell ref="Q93:W93"/>
    <mergeCell ref="V85:V86"/>
    <mergeCell ref="W85:W86"/>
    <mergeCell ref="A87:G87"/>
    <mergeCell ref="I87:O87"/>
    <mergeCell ref="Q87:W87"/>
    <mergeCell ref="A84:G84"/>
    <mergeCell ref="I84:O84"/>
    <mergeCell ref="Q84:W84"/>
    <mergeCell ref="A85:A86"/>
    <mergeCell ref="B85:B86"/>
    <mergeCell ref="C85:E85"/>
    <mergeCell ref="F85:F86"/>
    <mergeCell ref="G85:G86"/>
    <mergeCell ref="I85:I86"/>
    <mergeCell ref="J85:J86"/>
    <mergeCell ref="K85:M85"/>
    <mergeCell ref="N85:N86"/>
    <mergeCell ref="O85:O86"/>
    <mergeCell ref="Q85:Q86"/>
    <mergeCell ref="R85:R86"/>
    <mergeCell ref="S85:U85"/>
    <mergeCell ref="A55:G55"/>
    <mergeCell ref="I55:O55"/>
    <mergeCell ref="Q55:W55"/>
    <mergeCell ref="A83:G83"/>
    <mergeCell ref="I83:O83"/>
    <mergeCell ref="Q83:W83"/>
    <mergeCell ref="A66:G66"/>
    <mergeCell ref="I66:O66"/>
    <mergeCell ref="Q66:W66"/>
    <mergeCell ref="A69:G69"/>
    <mergeCell ref="I69:O69"/>
    <mergeCell ref="Q69:W69"/>
    <mergeCell ref="A60:G60"/>
    <mergeCell ref="I60:O60"/>
    <mergeCell ref="Q60:W60"/>
    <mergeCell ref="A63:G63"/>
    <mergeCell ref="I63:O63"/>
    <mergeCell ref="Q63:W63"/>
    <mergeCell ref="Q58:Q59"/>
    <mergeCell ref="R58:R59"/>
    <mergeCell ref="S58:U58"/>
    <mergeCell ref="V58:V59"/>
    <mergeCell ref="W58:W59"/>
    <mergeCell ref="I58:I59"/>
    <mergeCell ref="J58:J59"/>
    <mergeCell ref="K58:M58"/>
    <mergeCell ref="N58:N59"/>
    <mergeCell ref="O58:O59"/>
    <mergeCell ref="A58:A59"/>
    <mergeCell ref="B58:B59"/>
    <mergeCell ref="C58:E58"/>
    <mergeCell ref="F58:F59"/>
    <mergeCell ref="G58:G59"/>
    <mergeCell ref="A56:G56"/>
    <mergeCell ref="I56:O56"/>
    <mergeCell ref="Q56:W56"/>
    <mergeCell ref="A57:G57"/>
    <mergeCell ref="I57:O57"/>
    <mergeCell ref="Q57:W57"/>
    <mergeCell ref="A1:G1"/>
    <mergeCell ref="I1:O1"/>
    <mergeCell ref="Q1:W1"/>
    <mergeCell ref="A28:G28"/>
    <mergeCell ref="I28:O28"/>
    <mergeCell ref="Q28:W28"/>
    <mergeCell ref="A39:G39"/>
    <mergeCell ref="I39:O39"/>
    <mergeCell ref="Q39:W39"/>
    <mergeCell ref="A42:G42"/>
    <mergeCell ref="I42:O42"/>
    <mergeCell ref="Q42:W42"/>
    <mergeCell ref="A33:G33"/>
    <mergeCell ref="I33:O33"/>
    <mergeCell ref="Q33:W33"/>
    <mergeCell ref="A36:G36"/>
    <mergeCell ref="I36:O36"/>
    <mergeCell ref="Q36:W36"/>
    <mergeCell ref="A31:A32"/>
    <mergeCell ref="B31:B32"/>
    <mergeCell ref="C31:E31"/>
    <mergeCell ref="F31:F32"/>
    <mergeCell ref="G31:G32"/>
    <mergeCell ref="A29:G29"/>
    <mergeCell ref="I29:O29"/>
    <mergeCell ref="Q29:W29"/>
    <mergeCell ref="A30:G30"/>
    <mergeCell ref="I30:O30"/>
    <mergeCell ref="Q30:W30"/>
    <mergeCell ref="Q31:Q32"/>
    <mergeCell ref="R31:R32"/>
    <mergeCell ref="S31:U31"/>
    <mergeCell ref="V31:V32"/>
    <mergeCell ref="W31:W32"/>
    <mergeCell ref="I31:I32"/>
    <mergeCell ref="J31:J32"/>
    <mergeCell ref="K31:M31"/>
    <mergeCell ref="N31:N32"/>
    <mergeCell ref="O31:O32"/>
    <mergeCell ref="A6:G6"/>
    <mergeCell ref="A9:G9"/>
    <mergeCell ref="A12:G12"/>
    <mergeCell ref="A15:G15"/>
    <mergeCell ref="A2:G2"/>
    <mergeCell ref="A3:G3"/>
    <mergeCell ref="A4:A5"/>
    <mergeCell ref="B4:B5"/>
    <mergeCell ref="C4:E4"/>
    <mergeCell ref="F4:F5"/>
    <mergeCell ref="G4:G5"/>
    <mergeCell ref="I6:O6"/>
    <mergeCell ref="I9:O9"/>
    <mergeCell ref="I12:O12"/>
    <mergeCell ref="I15:O15"/>
    <mergeCell ref="Q2:W2"/>
    <mergeCell ref="Q3:W3"/>
    <mergeCell ref="Q4:Q5"/>
    <mergeCell ref="R4:R5"/>
    <mergeCell ref="S4:U4"/>
    <mergeCell ref="V4:V5"/>
    <mergeCell ref="W4:W5"/>
    <mergeCell ref="Q6:W6"/>
    <mergeCell ref="Q9:W9"/>
    <mergeCell ref="Q12:W12"/>
    <mergeCell ref="Q15:W15"/>
    <mergeCell ref="I2:O2"/>
    <mergeCell ref="I3:O3"/>
    <mergeCell ref="I4:I5"/>
    <mergeCell ref="J4:J5"/>
    <mergeCell ref="K4:M4"/>
    <mergeCell ref="N4:N5"/>
    <mergeCell ref="O4:O5"/>
  </mergeCells>
  <pageMargins left="0.511811024" right="0.511811024" top="0.78740157499999996" bottom="0.78740157499999996" header="0.31496062000000002" footer="0.31496062000000002"/>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9"/>
  <sheetViews>
    <sheetView workbookViewId="0">
      <selection activeCell="D4" sqref="D4"/>
    </sheetView>
  </sheetViews>
  <sheetFormatPr defaultRowHeight="15" customHeight="1" x14ac:dyDescent="0.25"/>
  <cols>
    <col min="1" max="1" width="18.7109375" style="1" customWidth="1"/>
    <col min="2" max="2" width="15.28515625" style="1" customWidth="1"/>
    <col min="3" max="3" width="13.28515625" style="1" customWidth="1"/>
    <col min="4" max="4" width="14.5703125" style="1" customWidth="1"/>
    <col min="5" max="6" width="11.42578125" style="1" customWidth="1"/>
    <col min="7" max="7" width="17.140625" style="1" customWidth="1"/>
    <col min="8" max="8" width="14.85546875" style="1" customWidth="1"/>
    <col min="9" max="9" width="14" style="1" customWidth="1"/>
    <col min="10" max="10" width="9.7109375" customWidth="1"/>
    <col min="12" max="12" width="10.5703125" bestFit="1" customWidth="1"/>
    <col min="13" max="13" width="10.5703125" customWidth="1"/>
    <col min="14" max="14" width="11" style="1" customWidth="1"/>
    <col min="15" max="19" width="8.5703125" style="1" customWidth="1"/>
    <col min="20" max="26" width="8.85546875" style="1" customWidth="1"/>
    <col min="27" max="28" width="9.28515625" style="1" bestFit="1" customWidth="1"/>
    <col min="29" max="16384" width="9.140625" style="1"/>
  </cols>
  <sheetData>
    <row r="1" spans="1:27" ht="15" customHeight="1" x14ac:dyDescent="0.25">
      <c r="A1" s="202" t="s">
        <v>153</v>
      </c>
      <c r="B1" s="202"/>
      <c r="C1" s="55">
        <v>0.12</v>
      </c>
      <c r="G1" s="215" t="s">
        <v>210</v>
      </c>
      <c r="H1" s="215"/>
      <c r="I1" s="216" t="s">
        <v>211</v>
      </c>
      <c r="J1" s="216" t="s">
        <v>212</v>
      </c>
      <c r="K1" s="216"/>
    </row>
    <row r="2" spans="1:27" ht="15" customHeight="1" x14ac:dyDescent="0.25">
      <c r="A2" s="202" t="s">
        <v>154</v>
      </c>
      <c r="B2" s="202"/>
      <c r="C2" s="54">
        <v>1</v>
      </c>
      <c r="G2" s="112" t="s">
        <v>213</v>
      </c>
      <c r="H2" s="113" t="s">
        <v>214</v>
      </c>
      <c r="I2" s="216"/>
      <c r="J2" s="216"/>
      <c r="K2" s="216"/>
    </row>
    <row r="3" spans="1:27" ht="15" customHeight="1" x14ac:dyDescent="0.25">
      <c r="A3" s="203" t="s">
        <v>207</v>
      </c>
      <c r="B3" s="203"/>
      <c r="C3" s="51">
        <f>'Monitoramento_Cham. Geradores '!B26/1000</f>
        <v>0.98180000000000001</v>
      </c>
      <c r="G3" s="114">
        <f>948305.6</f>
        <v>948305.6</v>
      </c>
      <c r="H3" s="114">
        <f>(G3/(12*30*24*20))*1000</f>
        <v>5487.8796296296296</v>
      </c>
      <c r="I3" s="114">
        <v>172</v>
      </c>
      <c r="J3" s="217">
        <f>I3/20</f>
        <v>8.6</v>
      </c>
      <c r="K3" s="217"/>
    </row>
    <row r="4" spans="1:27" ht="15" customHeight="1" x14ac:dyDescent="0.25">
      <c r="A4" s="203" t="s">
        <v>83</v>
      </c>
      <c r="B4" s="203"/>
    </row>
    <row r="7" spans="1:27" ht="15" customHeight="1" x14ac:dyDescent="0.25">
      <c r="A7" s="37" t="s">
        <v>232</v>
      </c>
    </row>
    <row r="8" spans="1:27" s="60" customFormat="1" ht="15" customHeight="1" x14ac:dyDescent="0.25">
      <c r="A8" s="218" t="s">
        <v>39</v>
      </c>
      <c r="B8" s="218" t="s">
        <v>119</v>
      </c>
      <c r="C8" s="218" t="s">
        <v>120</v>
      </c>
      <c r="D8" s="218" t="s">
        <v>219</v>
      </c>
      <c r="E8" s="204" t="s">
        <v>40</v>
      </c>
      <c r="F8" s="214"/>
      <c r="G8" s="218" t="s">
        <v>220</v>
      </c>
      <c r="H8" s="218" t="s">
        <v>81</v>
      </c>
      <c r="I8" s="218" t="s">
        <v>82</v>
      </c>
      <c r="J8" s="212" t="s">
        <v>85</v>
      </c>
      <c r="K8" s="206" t="s">
        <v>84</v>
      </c>
      <c r="L8" s="207"/>
      <c r="M8" s="207"/>
      <c r="N8" s="208"/>
      <c r="O8" s="224" t="s">
        <v>234</v>
      </c>
      <c r="P8" s="225"/>
      <c r="Q8" s="225"/>
      <c r="R8" s="225"/>
      <c r="S8" s="226"/>
      <c r="T8" s="204" t="s">
        <v>163</v>
      </c>
      <c r="U8" s="205"/>
      <c r="V8" s="205"/>
      <c r="W8" s="205"/>
      <c r="X8" s="205"/>
      <c r="Y8" s="205"/>
      <c r="Z8" s="205"/>
    </row>
    <row r="9" spans="1:27" s="60" customFormat="1" ht="15" customHeight="1" x14ac:dyDescent="0.25">
      <c r="A9" s="219"/>
      <c r="B9" s="219"/>
      <c r="C9" s="219"/>
      <c r="D9" s="219"/>
      <c r="E9" s="209"/>
      <c r="F9" s="211"/>
      <c r="G9" s="219"/>
      <c r="H9" s="219"/>
      <c r="I9" s="219"/>
      <c r="J9" s="213"/>
      <c r="K9" s="209"/>
      <c r="L9" s="210"/>
      <c r="M9" s="210"/>
      <c r="N9" s="211"/>
      <c r="O9" s="224"/>
      <c r="P9" s="225"/>
      <c r="Q9" s="225"/>
      <c r="R9" s="225"/>
      <c r="S9" s="226"/>
      <c r="T9" s="206"/>
      <c r="U9" s="207"/>
      <c r="V9" s="207"/>
      <c r="W9" s="207"/>
      <c r="X9" s="207"/>
      <c r="Y9" s="207"/>
      <c r="Z9" s="207"/>
    </row>
    <row r="10" spans="1:27" s="60" customFormat="1" ht="15" customHeight="1" x14ac:dyDescent="0.25">
      <c r="A10" s="219"/>
      <c r="B10" s="219"/>
      <c r="C10" s="219"/>
      <c r="D10" s="219"/>
      <c r="E10" s="61" t="s">
        <v>221</v>
      </c>
      <c r="F10" s="61" t="s">
        <v>222</v>
      </c>
      <c r="G10" s="219"/>
      <c r="H10" s="219"/>
      <c r="I10" s="219"/>
      <c r="J10" s="108" t="s">
        <v>225</v>
      </c>
      <c r="K10" s="108" t="s">
        <v>223</v>
      </c>
      <c r="L10" s="108" t="s">
        <v>226</v>
      </c>
      <c r="M10" s="108" t="s">
        <v>224</v>
      </c>
      <c r="N10" s="137" t="s">
        <v>227</v>
      </c>
      <c r="O10" s="136" t="s">
        <v>156</v>
      </c>
      <c r="P10" s="137" t="s">
        <v>159</v>
      </c>
      <c r="Q10" s="137" t="s">
        <v>160</v>
      </c>
      <c r="R10" s="137" t="s">
        <v>144</v>
      </c>
      <c r="S10" s="137" t="s">
        <v>233</v>
      </c>
      <c r="T10" s="136" t="s">
        <v>156</v>
      </c>
      <c r="U10" s="136" t="s">
        <v>157</v>
      </c>
      <c r="V10" s="136" t="s">
        <v>158</v>
      </c>
      <c r="W10" s="137" t="s">
        <v>159</v>
      </c>
      <c r="X10" s="137" t="s">
        <v>160</v>
      </c>
      <c r="Y10" s="137" t="s">
        <v>144</v>
      </c>
      <c r="Z10" s="137" t="s">
        <v>233</v>
      </c>
    </row>
    <row r="11" spans="1:27" ht="15" customHeight="1" x14ac:dyDescent="0.25">
      <c r="A11" s="145" t="s">
        <v>41</v>
      </c>
      <c r="B11" s="109">
        <v>-20.37903</v>
      </c>
      <c r="C11" s="109">
        <v>-40.436506000000001</v>
      </c>
      <c r="D11" s="115">
        <v>345</v>
      </c>
      <c r="E11" s="116">
        <f>((F11*(273.15+D11)/273.15))</f>
        <v>105177.1532125206</v>
      </c>
      <c r="F11" s="116">
        <v>46476</v>
      </c>
      <c r="G11" s="117">
        <f>'Resumo-2015'!C15/8760</f>
        <v>0.62408675799086755</v>
      </c>
      <c r="H11" s="118">
        <v>1.1000000000000001</v>
      </c>
      <c r="I11" s="118">
        <v>45</v>
      </c>
      <c r="J11" s="116">
        <f>('Resumo-2015'!B15/'Emissão Chaminés'!$C$3)/'Resumo-2015'!C15</f>
        <v>1812.3384556061071</v>
      </c>
      <c r="K11" s="107"/>
      <c r="L11" s="107"/>
      <c r="M11" s="107"/>
      <c r="N11" s="107"/>
      <c r="O11" s="109">
        <f t="shared" ref="O11:O30" si="0">$A$39</f>
        <v>1.6931517738350674E-3</v>
      </c>
      <c r="P11" s="36">
        <f t="shared" ref="P11:P30" si="1">$C$39</f>
        <v>3.8390353638239789E-2</v>
      </c>
      <c r="Q11" s="36">
        <f t="shared" ref="Q11:Q30" si="2">$B$39</f>
        <v>1.2165111259795892E-2</v>
      </c>
      <c r="R11" s="119">
        <f>'FE-Combustão'!$C$8</f>
        <v>3.3439999999999998E-3</v>
      </c>
      <c r="S11" s="120">
        <f>'FE-Combustão'!$C$14</f>
        <v>3.9006240000000002E-4</v>
      </c>
      <c r="T11" s="36">
        <f>O11*J11*G11</f>
        <v>1.9150502026946075</v>
      </c>
      <c r="U11" s="36">
        <f t="shared" ref="U11:U30" si="3">T11*$D$39</f>
        <v>1.5743526056585508</v>
      </c>
      <c r="V11" s="36">
        <f t="shared" ref="V11:V30" si="4">U11*$E$39</f>
        <v>1.5203929397388021</v>
      </c>
      <c r="W11" s="36">
        <f>P11*J11*G11</f>
        <v>43.421656376323419</v>
      </c>
      <c r="X11" s="36">
        <f>Q11*J11*G11</f>
        <v>13.759427325942696</v>
      </c>
      <c r="Y11" s="36">
        <f>(R11*$H$3)*('Resumo-2015'!$C$15/8760)</f>
        <v>11.452909093066124</v>
      </c>
      <c r="Z11" s="36">
        <f>(S11*$H$3)*('Resumo-2015'!$C$15/8760)</f>
        <v>1.3359297870284677</v>
      </c>
      <c r="AA11" s="107"/>
    </row>
    <row r="12" spans="1:27" s="100" customFormat="1" ht="15" customHeight="1" x14ac:dyDescent="0.25">
      <c r="A12" s="146" t="s">
        <v>35</v>
      </c>
      <c r="B12" s="110">
        <v>-20.379007000000001</v>
      </c>
      <c r="C12" s="110">
        <v>-40.436563999999997</v>
      </c>
      <c r="D12" s="121">
        <f>AVERAGE('Monitoramento_Cham. Geradores '!F18,'Monitoramento_Cham. Geradores '!N18,'Monitoramento_Cham. Geradores '!V18)</f>
        <v>342.5555555555556</v>
      </c>
      <c r="E12" s="46">
        <f>AVERAGE('Monitoramento_Cham. Geradores '!N17,'Monitoramento_Cham. Geradores '!V17)</f>
        <v>113327.16666666667</v>
      </c>
      <c r="F12" s="46">
        <f>AVERAGE('Monitoramento_Cham. Geradores '!F16,'Monitoramento_Cham. Geradores '!N16,'Monitoramento_Cham. Geradores '!V16)</f>
        <v>46955.111111111102</v>
      </c>
      <c r="G12" s="122">
        <f>'Resumo-2015'!E15/8760</f>
        <v>0.6286529680365297</v>
      </c>
      <c r="H12" s="44">
        <v>1.1000000000000001</v>
      </c>
      <c r="I12" s="44">
        <v>45</v>
      </c>
      <c r="J12" s="46">
        <f>(('Resumo-2015'!D15/'Emissão Chaminés'!$C$3)/'Resumo-2015'!E15)</f>
        <v>1816.0456551637703</v>
      </c>
      <c r="K12" s="123">
        <f>AVERAGE('Monitoramento_Cham. Geradores '!F8,'Monitoramento_Cham. Geradores '!N8,'Monitoramento_Cham. Geradores '!V8)</f>
        <v>3.3066666666666666</v>
      </c>
      <c r="L12" s="123">
        <f>'ppm to mg.m-3'!J13</f>
        <v>631.63775405226113</v>
      </c>
      <c r="M12" s="123">
        <f>((L12*E12)/10^6)</f>
        <v>71.581717026439605</v>
      </c>
      <c r="N12" s="123">
        <f>AVERAGE('Monitoramento_Cham. Geradores '!F11,'Monitoramento_Cham. Geradores '!N11,'Monitoramento_Cham. Geradores '!V11)</f>
        <v>22.944444444444443</v>
      </c>
      <c r="O12" s="124">
        <f t="shared" si="0"/>
        <v>1.6931517738350674E-3</v>
      </c>
      <c r="P12" s="125">
        <f t="shared" si="1"/>
        <v>3.8390353638239789E-2</v>
      </c>
      <c r="Q12" s="125">
        <f t="shared" si="2"/>
        <v>1.2165111259795892E-2</v>
      </c>
      <c r="R12" s="126">
        <f>'FE-Combustão'!$C$8</f>
        <v>3.3439999999999998E-3</v>
      </c>
      <c r="S12" s="127">
        <f>'FE-Combustão'!$C$14</f>
        <v>3.9006240000000002E-4</v>
      </c>
      <c r="T12" s="144">
        <f>K12*G12</f>
        <v>2.0787458143074584</v>
      </c>
      <c r="U12" s="36">
        <f t="shared" si="3"/>
        <v>1.7089258989930753</v>
      </c>
      <c r="V12" s="36">
        <f t="shared" si="4"/>
        <v>1.6503538419711352</v>
      </c>
      <c r="W12" s="144">
        <f>M12*G12</f>
        <v>45.000058865822254</v>
      </c>
      <c r="X12" s="144">
        <f>N12*G12</f>
        <v>14.424093099949264</v>
      </c>
      <c r="Y12" s="125">
        <f>(R12*$H$3)*('Resumo-2015'!$E$15/8760)</f>
        <v>11.536705757365127</v>
      </c>
      <c r="Z12" s="125">
        <f>(S12*$H$3)*('Resumo-2015'!$E$15/8760)</f>
        <v>1.3457042870250178</v>
      </c>
      <c r="AA12" s="42"/>
    </row>
    <row r="13" spans="1:27" s="100" customFormat="1" ht="15" customHeight="1" x14ac:dyDescent="0.25">
      <c r="A13" s="146" t="s">
        <v>36</v>
      </c>
      <c r="B13" s="110">
        <v>-20.378992</v>
      </c>
      <c r="C13" s="110">
        <v>-40.436566999999997</v>
      </c>
      <c r="D13" s="45">
        <f>AVERAGE('Monitoramento_Cham. Geradores '!F45,'Monitoramento_Cham. Geradores '!N45,'Monitoramento_Cham. Geradores '!V45)</f>
        <v>358.88888888888891</v>
      </c>
      <c r="E13" s="46">
        <f>AVERAGE('Monitoramento_Cham. Geradores '!F44,'Monitoramento_Cham. Geradores '!N44,'Monitoramento_Cham. Geradores '!V44)</f>
        <v>113381</v>
      </c>
      <c r="F13" s="46">
        <f>AVERAGE('Monitoramento_Cham. Geradores '!F43,'Monitoramento_Cham. Geradores '!N43,'Monitoramento_Cham. Geradores '!V43)</f>
        <v>45653.111111111117</v>
      </c>
      <c r="G13" s="122">
        <f>'Resumo-2015'!G15/8760</f>
        <v>0.66347031963470315</v>
      </c>
      <c r="H13" s="44">
        <v>1.1000000000000001</v>
      </c>
      <c r="I13" s="44">
        <v>45</v>
      </c>
      <c r="J13" s="46">
        <f>(('Resumo-2015'!F15/'Emissão Chaminés'!$C$3)/'Resumo-2015'!G15)</f>
        <v>1824.7490548119513</v>
      </c>
      <c r="K13" s="123">
        <f>AVERAGE('Monitoramento_Cham. Geradores '!F35,'Monitoramento_Cham. Geradores '!N35,'Monitoramento_Cham. Geradores '!V35)</f>
        <v>3.1777777777777776</v>
      </c>
      <c r="L13" s="123">
        <f>'ppm to mg.m-3'!J14</f>
        <v>593.46890103676799</v>
      </c>
      <c r="M13" s="123">
        <f>((L13*E13)/10^6)</f>
        <v>67.288097468449791</v>
      </c>
      <c r="N13" s="123">
        <f>AVERAGE('Monitoramento_Cham. Geradores '!F38,'Monitoramento_Cham. Geradores '!N38,'Monitoramento_Cham. Geradores '!V38)</f>
        <v>22.352222222222224</v>
      </c>
      <c r="O13" s="124">
        <f t="shared" si="0"/>
        <v>1.6931517738350674E-3</v>
      </c>
      <c r="P13" s="125">
        <f t="shared" si="1"/>
        <v>3.8390353638239789E-2</v>
      </c>
      <c r="Q13" s="125">
        <f t="shared" si="2"/>
        <v>1.2165111259795892E-2</v>
      </c>
      <c r="R13" s="126">
        <f>'FE-Combustão'!$C$8</f>
        <v>3.3439999999999998E-3</v>
      </c>
      <c r="S13" s="127">
        <f>'FE-Combustão'!$C$14</f>
        <v>3.9006240000000002E-4</v>
      </c>
      <c r="T13" s="144">
        <f>K13*G13</f>
        <v>2.108361237950279</v>
      </c>
      <c r="U13" s="36">
        <f t="shared" si="3"/>
        <v>1.7332725815574028</v>
      </c>
      <c r="V13" s="36">
        <f t="shared" si="4"/>
        <v>1.6738660616249919</v>
      </c>
      <c r="W13" s="144">
        <f>M13*G13</f>
        <v>44.643655535003447</v>
      </c>
      <c r="X13" s="144">
        <f>N13*G13</f>
        <v>14.830036022323695</v>
      </c>
      <c r="Y13" s="125">
        <f>(R13*$H$3)*('Resumo-2015'!$G$15/8760)</f>
        <v>12.175655322645017</v>
      </c>
      <c r="Z13" s="125">
        <f>(S13*$H$3)*('Resumo-2015'!$G$15/8760)</f>
        <v>1.4202348494987111</v>
      </c>
      <c r="AA13" s="42"/>
    </row>
    <row r="14" spans="1:27" s="28" customFormat="1" ht="15" customHeight="1" x14ac:dyDescent="0.25">
      <c r="A14" s="147" t="s">
        <v>42</v>
      </c>
      <c r="B14" s="124">
        <v>-20.379014000000002</v>
      </c>
      <c r="C14" s="124">
        <v>-40.436588999999998</v>
      </c>
      <c r="D14" s="128">
        <v>345</v>
      </c>
      <c r="E14" s="129">
        <f t="shared" ref="E14:E26" si="5">((F14*(273.15+D14)/273.15))</f>
        <v>105177.1532125206</v>
      </c>
      <c r="F14" s="129">
        <v>46476</v>
      </c>
      <c r="G14" s="130">
        <f>'Resumo-2015'!I15/8760</f>
        <v>0.45011415525114157</v>
      </c>
      <c r="H14" s="131">
        <v>1.1000000000000001</v>
      </c>
      <c r="I14" s="131">
        <v>45</v>
      </c>
      <c r="J14" s="129">
        <f>(('Resumo-2015'!H15/'Emissão Chaminés'!$C$3)/'Resumo-2015'!I15)</f>
        <v>1770.7264698480908</v>
      </c>
      <c r="K14" s="131"/>
      <c r="L14" s="131"/>
      <c r="M14" s="131"/>
      <c r="N14" s="131"/>
      <c r="O14" s="124">
        <f t="shared" si="0"/>
        <v>1.6931517738350674E-3</v>
      </c>
      <c r="P14" s="125">
        <f t="shared" si="1"/>
        <v>3.8390353638239789E-2</v>
      </c>
      <c r="Q14" s="125">
        <f t="shared" si="2"/>
        <v>1.2165111259795892E-2</v>
      </c>
      <c r="R14" s="126">
        <f>'FE-Combustão'!$C$8</f>
        <v>3.3439999999999998E-3</v>
      </c>
      <c r="S14" s="127">
        <f>'FE-Combustão'!$C$14</f>
        <v>3.9006240000000002E-4</v>
      </c>
      <c r="T14" s="125">
        <f t="shared" ref="T14:T26" si="6">O14*J14*G14</f>
        <v>1.349491148377421</v>
      </c>
      <c r="U14" s="125">
        <f t="shared" si="3"/>
        <v>1.109409509354752</v>
      </c>
      <c r="V14" s="125">
        <f t="shared" si="4"/>
        <v>1.0713853931067061</v>
      </c>
      <c r="W14" s="125">
        <f t="shared" ref="W14:W26" si="7">P14*J14*G14</f>
        <v>30.598227057068399</v>
      </c>
      <c r="X14" s="125">
        <f t="shared" ref="X14:X26" si="8">Q14*J14*G14</f>
        <v>9.6959470602782662</v>
      </c>
      <c r="Y14" s="125">
        <f>(R14*$H$3)*('Resumo-2015'!$I$15/8760)</f>
        <v>8.2602561832741408</v>
      </c>
      <c r="Z14" s="125">
        <f>(S14*$H$3)*('Resumo-2015'!$I$15/8760)</f>
        <v>0.96352133715991373</v>
      </c>
      <c r="AA14" s="132"/>
    </row>
    <row r="15" spans="1:27" s="28" customFormat="1" ht="15" customHeight="1" x14ac:dyDescent="0.25">
      <c r="A15" s="147" t="s">
        <v>43</v>
      </c>
      <c r="B15" s="124">
        <v>-20.378992</v>
      </c>
      <c r="C15" s="124">
        <v>-40.436593999999999</v>
      </c>
      <c r="D15" s="128">
        <v>345</v>
      </c>
      <c r="E15" s="129">
        <f t="shared" si="5"/>
        <v>105177.1532125206</v>
      </c>
      <c r="F15" s="129">
        <v>46476</v>
      </c>
      <c r="G15" s="130">
        <f>'Resumo-2015'!K15/8760</f>
        <v>0.65376712328767128</v>
      </c>
      <c r="H15" s="131">
        <v>1.1000000000000001</v>
      </c>
      <c r="I15" s="131">
        <v>45</v>
      </c>
      <c r="J15" s="129">
        <f>(('Resumo-2015'!J15/'Emissão Chaminés'!$C$3)/'Resumo-2015'!K15)</f>
        <v>1816.620238704377</v>
      </c>
      <c r="K15" s="131"/>
      <c r="L15" s="131"/>
      <c r="M15" s="131"/>
      <c r="N15" s="131"/>
      <c r="O15" s="124">
        <f t="shared" si="0"/>
        <v>1.6931517738350674E-3</v>
      </c>
      <c r="P15" s="125">
        <f t="shared" si="1"/>
        <v>3.8390353638239789E-2</v>
      </c>
      <c r="Q15" s="125">
        <f t="shared" si="2"/>
        <v>1.2165111259795892E-2</v>
      </c>
      <c r="R15" s="126">
        <f>'FE-Combustão'!$C$8</f>
        <v>3.3439999999999998E-3</v>
      </c>
      <c r="S15" s="127">
        <f>'FE-Combustão'!$C$14</f>
        <v>3.9006240000000002E-4</v>
      </c>
      <c r="T15" s="125">
        <f t="shared" si="6"/>
        <v>2.0108659264230213</v>
      </c>
      <c r="U15" s="125">
        <f t="shared" si="3"/>
        <v>1.6531222035012785</v>
      </c>
      <c r="V15" s="125">
        <f t="shared" si="4"/>
        <v>1.5964627731393395</v>
      </c>
      <c r="W15" s="125">
        <f t="shared" si="7"/>
        <v>45.594172493827735</v>
      </c>
      <c r="X15" s="125">
        <f t="shared" si="8"/>
        <v>14.44785287503205</v>
      </c>
      <c r="Y15" s="125">
        <f>(R15*$H$3)*('Resumo-2015'!$K$15/8760)</f>
        <v>11.99758741100964</v>
      </c>
      <c r="Z15" s="125">
        <f>(S15*$H$3)*('Resumo-2015'!$K$15/8760)</f>
        <v>1.3994640370060427</v>
      </c>
      <c r="AA15" s="132"/>
    </row>
    <row r="16" spans="1:27" s="28" customFormat="1" ht="15" customHeight="1" x14ac:dyDescent="0.25">
      <c r="A16" s="147" t="s">
        <v>44</v>
      </c>
      <c r="B16" s="124">
        <v>-20.379228999999999</v>
      </c>
      <c r="C16" s="124">
        <v>-40.436678000000001</v>
      </c>
      <c r="D16" s="128">
        <v>345</v>
      </c>
      <c r="E16" s="129">
        <f t="shared" si="5"/>
        <v>105177.1532125206</v>
      </c>
      <c r="F16" s="129">
        <v>46476</v>
      </c>
      <c r="G16" s="130">
        <f>'Resumo-2015'!M15/8760</f>
        <v>0.61712328767123292</v>
      </c>
      <c r="H16" s="131">
        <v>1.1000000000000001</v>
      </c>
      <c r="I16" s="131">
        <v>45</v>
      </c>
      <c r="J16" s="129">
        <f>(('Resumo-2015'!L15/'Emissão Chaminés'!$C$3)/'Resumo-2015'!M15)</f>
        <v>1813.2558137081189</v>
      </c>
      <c r="K16" s="131"/>
      <c r="L16" s="131"/>
      <c r="M16" s="131"/>
      <c r="N16" s="131"/>
      <c r="O16" s="124">
        <f t="shared" si="0"/>
        <v>1.6931517738350674E-3</v>
      </c>
      <c r="P16" s="125">
        <f t="shared" si="1"/>
        <v>3.8390353638239789E-2</v>
      </c>
      <c r="Q16" s="125">
        <f t="shared" si="2"/>
        <v>1.2165111259795892E-2</v>
      </c>
      <c r="R16" s="126">
        <f>'FE-Combustão'!$C$8</f>
        <v>3.3439999999999998E-3</v>
      </c>
      <c r="S16" s="127">
        <f>'FE-Combustão'!$C$14</f>
        <v>3.9006240000000002E-4</v>
      </c>
      <c r="T16" s="125">
        <f t="shared" si="6"/>
        <v>1.8946408801057411</v>
      </c>
      <c r="U16" s="125">
        <f t="shared" si="3"/>
        <v>1.5575742099004155</v>
      </c>
      <c r="V16" s="125">
        <f t="shared" si="4"/>
        <v>1.5041896099643126</v>
      </c>
      <c r="W16" s="125">
        <f t="shared" si="7"/>
        <v>42.958897441293765</v>
      </c>
      <c r="X16" s="125">
        <f t="shared" si="8"/>
        <v>13.61278856392064</v>
      </c>
      <c r="Y16" s="125">
        <f>(R16*$H$3)*('Resumo-2015'!$M$15/8760)</f>
        <v>11.325119180010148</v>
      </c>
      <c r="Z16" s="125">
        <f>(S16*$H$3)*('Resumo-2015'!$M$15/8760)</f>
        <v>1.3210236745337292</v>
      </c>
      <c r="AA16" s="132"/>
    </row>
    <row r="17" spans="1:27" s="28" customFormat="1" ht="15" customHeight="1" x14ac:dyDescent="0.25">
      <c r="A17" s="147" t="s">
        <v>45</v>
      </c>
      <c r="B17" s="124">
        <v>-20.379244</v>
      </c>
      <c r="C17" s="124">
        <v>-40.436678000000001</v>
      </c>
      <c r="D17" s="128">
        <v>345</v>
      </c>
      <c r="E17" s="129">
        <f t="shared" si="5"/>
        <v>105177.1532125206</v>
      </c>
      <c r="F17" s="129">
        <v>46476</v>
      </c>
      <c r="G17" s="130">
        <f>'Resumo-2015'!O15/8760</f>
        <v>0.63550228310502288</v>
      </c>
      <c r="H17" s="131">
        <v>1.1000000000000001</v>
      </c>
      <c r="I17" s="131">
        <v>45</v>
      </c>
      <c r="J17" s="129">
        <f>(('Resumo-2015'!N15/'Emissão Chaminés'!$C$3)/'Resumo-2015'!O15)</f>
        <v>1815.214569264361</v>
      </c>
      <c r="K17" s="131"/>
      <c r="L17" s="131"/>
      <c r="M17" s="131"/>
      <c r="N17" s="131"/>
      <c r="O17" s="124">
        <f t="shared" si="0"/>
        <v>1.6931517738350674E-3</v>
      </c>
      <c r="P17" s="125">
        <f t="shared" si="1"/>
        <v>3.8390353638239789E-2</v>
      </c>
      <c r="Q17" s="125">
        <f t="shared" si="2"/>
        <v>1.2165111259795892E-2</v>
      </c>
      <c r="R17" s="126">
        <f>'FE-Combustão'!$C$8</f>
        <v>3.3439999999999998E-3</v>
      </c>
      <c r="S17" s="127">
        <f>'FE-Combustão'!$C$14</f>
        <v>3.9006240000000002E-4</v>
      </c>
      <c r="T17" s="125">
        <f t="shared" si="6"/>
        <v>1.9531741764351622</v>
      </c>
      <c r="U17" s="125">
        <f t="shared" si="3"/>
        <v>1.6056941220908865</v>
      </c>
      <c r="V17" s="125">
        <f t="shared" si="4"/>
        <v>1.5506602509708358</v>
      </c>
      <c r="W17" s="125">
        <f t="shared" si="7"/>
        <v>44.28607553626663</v>
      </c>
      <c r="X17" s="125">
        <f t="shared" si="8"/>
        <v>14.033343928923243</v>
      </c>
      <c r="Y17" s="125">
        <f>(R17*$H$3)*('Resumo-2015'!$O$15/8760)</f>
        <v>11.662400753813632</v>
      </c>
      <c r="Z17" s="125">
        <f>(S17*$H$3)*('Resumo-2015'!$O$15/8760)</f>
        <v>1.3603660370198427</v>
      </c>
      <c r="AA17" s="132"/>
    </row>
    <row r="18" spans="1:27" s="28" customFormat="1" ht="15" customHeight="1" x14ac:dyDescent="0.25">
      <c r="A18" s="147" t="s">
        <v>46</v>
      </c>
      <c r="B18" s="124">
        <v>-20.379249000000002</v>
      </c>
      <c r="C18" s="124">
        <v>-40.436678000000001</v>
      </c>
      <c r="D18" s="128">
        <v>345</v>
      </c>
      <c r="E18" s="129">
        <f t="shared" si="5"/>
        <v>105177.1532125206</v>
      </c>
      <c r="F18" s="129">
        <v>46476</v>
      </c>
      <c r="G18" s="130">
        <f>'Resumo-2015'!Q15/8760</f>
        <v>0.65011415525114158</v>
      </c>
      <c r="H18" s="131">
        <v>1.1000000000000001</v>
      </c>
      <c r="I18" s="131">
        <v>45</v>
      </c>
      <c r="J18" s="129">
        <f>(('Resumo-2015'!P15/'Emissão Chaminés'!$C$3)/'Resumo-2015'!Q15)</f>
        <v>1804.0341751945455</v>
      </c>
      <c r="K18" s="131"/>
      <c r="L18" s="131"/>
      <c r="M18" s="131"/>
      <c r="N18" s="131"/>
      <c r="O18" s="124">
        <f t="shared" si="0"/>
        <v>1.6931517738350674E-3</v>
      </c>
      <c r="P18" s="125">
        <f t="shared" si="1"/>
        <v>3.8390353638239789E-2</v>
      </c>
      <c r="Q18" s="125">
        <f t="shared" si="2"/>
        <v>1.2165111259795892E-2</v>
      </c>
      <c r="R18" s="126">
        <f>'FE-Combustão'!$C$8</f>
        <v>3.3439999999999998E-3</v>
      </c>
      <c r="S18" s="127">
        <f>'FE-Combustão'!$C$14</f>
        <v>3.9006240000000002E-4</v>
      </c>
      <c r="T18" s="125">
        <f t="shared" si="6"/>
        <v>1.9857760690961754</v>
      </c>
      <c r="U18" s="125">
        <f t="shared" si="3"/>
        <v>1.6324959649815043</v>
      </c>
      <c r="V18" s="125">
        <f t="shared" si="4"/>
        <v>1.5765434823107671</v>
      </c>
      <c r="W18" s="125">
        <f t="shared" si="7"/>
        <v>45.0252875832158</v>
      </c>
      <c r="X18" s="125">
        <f t="shared" si="8"/>
        <v>14.267584980215897</v>
      </c>
      <c r="Y18" s="125">
        <f>(R18*$H$3)*('Resumo-2015'!$Q$15/8760)</f>
        <v>11.930550079570438</v>
      </c>
      <c r="Z18" s="125">
        <f>(S18*$H$3)*('Resumo-2015'!$Q$15/8760)</f>
        <v>1.3916444370088026</v>
      </c>
      <c r="AA18" s="132"/>
    </row>
    <row r="19" spans="1:27" s="28" customFormat="1" ht="15" customHeight="1" x14ac:dyDescent="0.25">
      <c r="A19" s="147" t="s">
        <v>47</v>
      </c>
      <c r="B19" s="124">
        <v>-20.379289</v>
      </c>
      <c r="C19" s="124">
        <v>-40.436706000000001</v>
      </c>
      <c r="D19" s="128">
        <v>345</v>
      </c>
      <c r="E19" s="129">
        <f t="shared" si="5"/>
        <v>105177.1532125206</v>
      </c>
      <c r="F19" s="129">
        <v>46476</v>
      </c>
      <c r="G19" s="130">
        <f>'Resumo-2015'!S15/8760</f>
        <v>0.40616438356164386</v>
      </c>
      <c r="H19" s="131">
        <v>1.1000000000000001</v>
      </c>
      <c r="I19" s="131">
        <v>45</v>
      </c>
      <c r="J19" s="129">
        <f>(('Resumo-2015'!R15/'Emissão Chaminés'!$C$3)/'Resumo-2015'!S15)</f>
        <v>1811.5338104984658</v>
      </c>
      <c r="K19" s="131"/>
      <c r="L19" s="131"/>
      <c r="M19" s="131"/>
      <c r="N19" s="131"/>
      <c r="O19" s="124">
        <f t="shared" si="0"/>
        <v>1.6931517738350674E-3</v>
      </c>
      <c r="P19" s="125">
        <f t="shared" si="1"/>
        <v>3.8390353638239789E-2</v>
      </c>
      <c r="Q19" s="125">
        <f t="shared" si="2"/>
        <v>1.2165111259795892E-2</v>
      </c>
      <c r="R19" s="126">
        <f>'FE-Combustão'!$C$8</f>
        <v>3.3439999999999998E-3</v>
      </c>
      <c r="S19" s="127">
        <f>'FE-Combustão'!$C$14</f>
        <v>3.9006240000000002E-4</v>
      </c>
      <c r="T19" s="125">
        <f t="shared" si="6"/>
        <v>1.2457880814879123</v>
      </c>
      <c r="U19" s="125">
        <f t="shared" si="3"/>
        <v>1.0241557685689724</v>
      </c>
      <c r="V19" s="125">
        <f t="shared" si="4"/>
        <v>0.98905365553334224</v>
      </c>
      <c r="W19" s="125">
        <f t="shared" si="7"/>
        <v>28.246874111171131</v>
      </c>
      <c r="X19" s="125">
        <f t="shared" si="8"/>
        <v>8.9508518088139297</v>
      </c>
      <c r="Y19" s="125">
        <f>(R19*$H$3)*('Resumo-2015'!$S$15/8760)</f>
        <v>7.4537132893962452</v>
      </c>
      <c r="Z19" s="125">
        <f>(S19*$H$3)*('Resumo-2015'!$S$15/8760)</f>
        <v>0.86944177469312023</v>
      </c>
      <c r="AA19" s="132"/>
    </row>
    <row r="20" spans="1:27" s="28" customFormat="1" ht="15" customHeight="1" x14ac:dyDescent="0.25">
      <c r="A20" s="147" t="s">
        <v>48</v>
      </c>
      <c r="B20" s="124">
        <v>-20.379275</v>
      </c>
      <c r="C20" s="124">
        <v>-40.436711000000003</v>
      </c>
      <c r="D20" s="128">
        <v>345</v>
      </c>
      <c r="E20" s="129">
        <f t="shared" si="5"/>
        <v>105177.1532125206</v>
      </c>
      <c r="F20" s="129">
        <v>46476</v>
      </c>
      <c r="G20" s="130">
        <f>'Resumo-2015'!U15/8760</f>
        <v>0.6615296803652968</v>
      </c>
      <c r="H20" s="131">
        <v>1.1000000000000001</v>
      </c>
      <c r="I20" s="131">
        <v>45</v>
      </c>
      <c r="J20" s="129">
        <f>(('Resumo-2015'!T15/'Emissão Chaminés'!$C$3)/'Resumo-2015'!U15)</f>
        <v>1812.5979191963761</v>
      </c>
      <c r="K20" s="131"/>
      <c r="L20" s="131"/>
      <c r="M20" s="131"/>
      <c r="N20" s="131"/>
      <c r="O20" s="124">
        <f t="shared" si="0"/>
        <v>1.6931517738350674E-3</v>
      </c>
      <c r="P20" s="125">
        <f t="shared" si="1"/>
        <v>3.8390353638239789E-2</v>
      </c>
      <c r="Q20" s="125">
        <f t="shared" si="2"/>
        <v>1.2165111259795892E-2</v>
      </c>
      <c r="R20" s="126">
        <f>'FE-Combustão'!$C$8</f>
        <v>3.3439999999999998E-3</v>
      </c>
      <c r="S20" s="127">
        <f>'FE-Combustão'!$C$14</f>
        <v>3.9006240000000002E-4</v>
      </c>
      <c r="T20" s="125">
        <f t="shared" si="6"/>
        <v>2.0302368264251682</v>
      </c>
      <c r="U20" s="125">
        <f t="shared" si="3"/>
        <v>1.6690469175633018</v>
      </c>
      <c r="V20" s="125">
        <f t="shared" si="4"/>
        <v>1.6118416804693982</v>
      </c>
      <c r="W20" s="125">
        <f t="shared" si="7"/>
        <v>46.033386339193164</v>
      </c>
      <c r="X20" s="125">
        <f t="shared" si="8"/>
        <v>14.587030683761354</v>
      </c>
      <c r="Y20" s="125">
        <f>(R20*$H$3)*('Resumo-2015'!$U$15/8760)</f>
        <v>12.140041740317942</v>
      </c>
      <c r="Z20" s="125">
        <f>(S20*$H$3)*('Resumo-2015'!$U$15/8760)</f>
        <v>1.4160806870001776</v>
      </c>
      <c r="AA20" s="132"/>
    </row>
    <row r="21" spans="1:27" s="28" customFormat="1" ht="15" customHeight="1" x14ac:dyDescent="0.25">
      <c r="A21" s="147" t="s">
        <v>49</v>
      </c>
      <c r="B21" s="124">
        <v>-20.379539999999999</v>
      </c>
      <c r="C21" s="124">
        <v>-40.436878</v>
      </c>
      <c r="D21" s="128">
        <v>345</v>
      </c>
      <c r="E21" s="129">
        <f t="shared" si="5"/>
        <v>105177.1532125206</v>
      </c>
      <c r="F21" s="129">
        <v>46476</v>
      </c>
      <c r="G21" s="130">
        <f>'Resumo-2015'!W15/8760</f>
        <v>0.72100456621004572</v>
      </c>
      <c r="H21" s="131">
        <v>1.1000000000000001</v>
      </c>
      <c r="I21" s="131">
        <v>45</v>
      </c>
      <c r="J21" s="129">
        <f>(('Resumo-2015'!V15/'Emissão Chaminés'!$C$3)/'Resumo-2015'!W15)</f>
        <v>1850.2676856231194</v>
      </c>
      <c r="K21" s="131"/>
      <c r="L21" s="131"/>
      <c r="M21" s="131"/>
      <c r="N21" s="131"/>
      <c r="O21" s="124">
        <f t="shared" si="0"/>
        <v>1.6931517738350674E-3</v>
      </c>
      <c r="P21" s="125">
        <f t="shared" si="1"/>
        <v>3.8390353638239789E-2</v>
      </c>
      <c r="Q21" s="125">
        <f t="shared" si="2"/>
        <v>1.2165111259795892E-2</v>
      </c>
      <c r="R21" s="126">
        <f>'FE-Combustão'!$C$8</f>
        <v>3.3439999999999998E-3</v>
      </c>
      <c r="S21" s="127">
        <f>'FE-Combustão'!$C$14</f>
        <v>3.9006240000000002E-4</v>
      </c>
      <c r="T21" s="125">
        <f t="shared" si="6"/>
        <v>2.2587515790312107</v>
      </c>
      <c r="U21" s="125">
        <f t="shared" si="3"/>
        <v>1.8569076826181974</v>
      </c>
      <c r="V21" s="125">
        <f t="shared" si="4"/>
        <v>1.7932636693026542</v>
      </c>
      <c r="W21" s="125">
        <f t="shared" si="7"/>
        <v>51.214706938840365</v>
      </c>
      <c r="X21" s="125">
        <f t="shared" si="8"/>
        <v>16.228884316091442</v>
      </c>
      <c r="Y21" s="125">
        <f>(R21*$H$3)*('Resumo-2015'!$W$15/8760)</f>
        <v>13.231493292812447</v>
      </c>
      <c r="Z21" s="125">
        <f>(S21*$H$3)*('Resumo-2015'!$W$15/8760)</f>
        <v>1.5433935494552411</v>
      </c>
      <c r="AA21" s="132"/>
    </row>
    <row r="22" spans="1:27" s="28" customFormat="1" ht="15" customHeight="1" x14ac:dyDescent="0.25">
      <c r="A22" s="147" t="s">
        <v>50</v>
      </c>
      <c r="B22" s="124">
        <v>-20.379563999999998</v>
      </c>
      <c r="C22" s="124">
        <v>-40.436943999999997</v>
      </c>
      <c r="D22" s="128">
        <v>345</v>
      </c>
      <c r="E22" s="129">
        <f t="shared" si="5"/>
        <v>105177.1532125206</v>
      </c>
      <c r="F22" s="129">
        <v>46476</v>
      </c>
      <c r="G22" s="130">
        <f>'Resumo-2015'!Y15/8760</f>
        <v>0.66358447488584471</v>
      </c>
      <c r="H22" s="131">
        <v>1.1000000000000001</v>
      </c>
      <c r="I22" s="131">
        <v>45</v>
      </c>
      <c r="J22" s="129">
        <f>(('Resumo-2015'!X15/'Emissão Chaminés'!$C$3)/'Resumo-2015'!Y15)</f>
        <v>1813.7095484793813</v>
      </c>
      <c r="K22" s="131"/>
      <c r="L22" s="131"/>
      <c r="M22" s="131"/>
      <c r="N22" s="131"/>
      <c r="O22" s="124">
        <f t="shared" si="0"/>
        <v>1.6931517738350674E-3</v>
      </c>
      <c r="P22" s="125">
        <f t="shared" si="1"/>
        <v>3.8390353638239789E-2</v>
      </c>
      <c r="Q22" s="125">
        <f t="shared" si="2"/>
        <v>1.2165111259795892E-2</v>
      </c>
      <c r="R22" s="126">
        <f>'FE-Combustão'!$C$8</f>
        <v>3.3439999999999998E-3</v>
      </c>
      <c r="S22" s="127">
        <f>'FE-Combustão'!$C$14</f>
        <v>3.9006240000000002E-4</v>
      </c>
      <c r="T22" s="125">
        <f t="shared" si="6"/>
        <v>2.0377919679841177</v>
      </c>
      <c r="U22" s="125">
        <f t="shared" si="3"/>
        <v>1.6752579593327106</v>
      </c>
      <c r="V22" s="125">
        <f t="shared" si="4"/>
        <v>1.6178398437910653</v>
      </c>
      <c r="W22" s="125">
        <f t="shared" si="7"/>
        <v>46.204690861751146</v>
      </c>
      <c r="X22" s="125">
        <f t="shared" si="8"/>
        <v>14.64131355377244</v>
      </c>
      <c r="Y22" s="125">
        <f>(R22*$H$3)*('Resumo-2015'!$Y$15/8760)</f>
        <v>12.177750239252493</v>
      </c>
      <c r="Z22" s="125">
        <f>(S22*$H$3)*('Resumo-2015'!$Y$15/8760)</f>
        <v>1.4204792119986249</v>
      </c>
      <c r="AA22" s="132"/>
    </row>
    <row r="23" spans="1:27" s="28" customFormat="1" ht="15" customHeight="1" x14ac:dyDescent="0.25">
      <c r="A23" s="147" t="s">
        <v>51</v>
      </c>
      <c r="B23" s="124">
        <v>-20.379579</v>
      </c>
      <c r="C23" s="124">
        <v>-40.436939000000002</v>
      </c>
      <c r="D23" s="128">
        <v>345</v>
      </c>
      <c r="E23" s="129">
        <f t="shared" si="5"/>
        <v>105177.1532125206</v>
      </c>
      <c r="F23" s="129">
        <v>46476</v>
      </c>
      <c r="G23" s="130">
        <f>'Resumo-2015'!AA15/8760</f>
        <v>0.62351598173515976</v>
      </c>
      <c r="H23" s="131">
        <v>1.1000000000000001</v>
      </c>
      <c r="I23" s="131">
        <v>45</v>
      </c>
      <c r="J23" s="129">
        <f>(('Resumo-2015'!Z15/'Emissão Chaminés'!$C$3)/'Resumo-2015'!AA15)</f>
        <v>1810.5211872525431</v>
      </c>
      <c r="K23" s="131"/>
      <c r="L23" s="131"/>
      <c r="M23" s="131"/>
      <c r="N23" s="131"/>
      <c r="O23" s="124">
        <f t="shared" si="0"/>
        <v>1.6931517738350674E-3</v>
      </c>
      <c r="P23" s="125">
        <f t="shared" si="1"/>
        <v>3.8390353638239789E-2</v>
      </c>
      <c r="Q23" s="125">
        <f t="shared" si="2"/>
        <v>1.2165111259795892E-2</v>
      </c>
      <c r="R23" s="126">
        <f>'FE-Combustão'!$C$8</f>
        <v>3.3439999999999998E-3</v>
      </c>
      <c r="S23" s="127">
        <f>'FE-Combustão'!$C$14</f>
        <v>3.9006240000000002E-4</v>
      </c>
      <c r="T23" s="125">
        <f t="shared" si="6"/>
        <v>1.9113802359159138</v>
      </c>
      <c r="U23" s="125">
        <f t="shared" si="3"/>
        <v>1.5713355454516764</v>
      </c>
      <c r="V23" s="125">
        <f t="shared" si="4"/>
        <v>1.5174792868374052</v>
      </c>
      <c r="W23" s="125">
        <f t="shared" si="7"/>
        <v>43.338443917374448</v>
      </c>
      <c r="X23" s="125">
        <f t="shared" si="8"/>
        <v>13.733059013974161</v>
      </c>
      <c r="Y23" s="125">
        <f>(R23*$H$3)*('Resumo-2015'!$AA$15/8760)</f>
        <v>11.442434510028749</v>
      </c>
      <c r="Z23" s="125">
        <f>(S23*$H$3)*('Resumo-2015'!$AA$15/8760)</f>
        <v>1.3347079745288988</v>
      </c>
      <c r="AA23" s="132"/>
    </row>
    <row r="24" spans="1:27" s="28" customFormat="1" ht="15" customHeight="1" x14ac:dyDescent="0.25">
      <c r="A24" s="147" t="s">
        <v>52</v>
      </c>
      <c r="B24" s="124">
        <v>-20.379681000000001</v>
      </c>
      <c r="C24" s="124">
        <v>-40.436886000000001</v>
      </c>
      <c r="D24" s="128">
        <v>345</v>
      </c>
      <c r="E24" s="129">
        <f t="shared" si="5"/>
        <v>105177.1532125206</v>
      </c>
      <c r="F24" s="129">
        <v>46476</v>
      </c>
      <c r="G24" s="130">
        <f>'Resumo-2015'!AC15/8760</f>
        <v>0.72842465753424657</v>
      </c>
      <c r="H24" s="131">
        <v>1.1000000000000001</v>
      </c>
      <c r="I24" s="131">
        <v>45</v>
      </c>
      <c r="J24" s="129">
        <f>(('Resumo-2015'!AB15/'Emissão Chaminés'!$C$3)/'Resumo-2015'!AC15)</f>
        <v>1835.5066935090717</v>
      </c>
      <c r="K24" s="131"/>
      <c r="L24" s="131"/>
      <c r="M24" s="131"/>
      <c r="N24" s="131"/>
      <c r="O24" s="124">
        <f t="shared" si="0"/>
        <v>1.6931517738350674E-3</v>
      </c>
      <c r="P24" s="125">
        <f t="shared" si="1"/>
        <v>3.8390353638239789E-2</v>
      </c>
      <c r="Q24" s="125">
        <f t="shared" si="2"/>
        <v>1.2165111259795892E-2</v>
      </c>
      <c r="R24" s="126">
        <f>'FE-Combustão'!$C$8</f>
        <v>3.3439999999999998E-3</v>
      </c>
      <c r="S24" s="127">
        <f>'FE-Combustão'!$C$14</f>
        <v>3.9006240000000002E-4</v>
      </c>
      <c r="T24" s="125">
        <f t="shared" si="6"/>
        <v>2.263791896431568</v>
      </c>
      <c r="U24" s="125">
        <f t="shared" si="3"/>
        <v>1.8610513007966833</v>
      </c>
      <c r="V24" s="125">
        <f t="shared" si="4"/>
        <v>1.7972652683097001</v>
      </c>
      <c r="W24" s="125">
        <f t="shared" si="7"/>
        <v>51.328990590453252</v>
      </c>
      <c r="X24" s="125">
        <f t="shared" si="8"/>
        <v>16.265098448166057</v>
      </c>
      <c r="Y24" s="125">
        <f>(R24*$H$3)*('Resumo-2015'!$AC$15/8760)</f>
        <v>13.367662872298325</v>
      </c>
      <c r="Z24" s="125">
        <f>(S24*$H$3)*('Resumo-2015'!$AC$15/8760)</f>
        <v>1.5592771119496347</v>
      </c>
      <c r="AA24" s="132"/>
    </row>
    <row r="25" spans="1:27" s="28" customFormat="1" ht="15" customHeight="1" x14ac:dyDescent="0.25">
      <c r="A25" s="147" t="s">
        <v>53</v>
      </c>
      <c r="B25" s="124">
        <v>-20.379695000000002</v>
      </c>
      <c r="C25" s="124">
        <v>-40.436914000000002</v>
      </c>
      <c r="D25" s="128">
        <v>345</v>
      </c>
      <c r="E25" s="129">
        <f t="shared" si="5"/>
        <v>105177.1532125206</v>
      </c>
      <c r="F25" s="129">
        <v>46476</v>
      </c>
      <c r="G25" s="130">
        <f>'Resumo-2015'!AE15/8760</f>
        <v>0.74280821917808215</v>
      </c>
      <c r="H25" s="131">
        <v>1.1000000000000001</v>
      </c>
      <c r="I25" s="131">
        <v>45</v>
      </c>
      <c r="J25" s="129">
        <f>(('Resumo-2015'!AD15/'Emissão Chaminés'!$C$3)/'Resumo-2015'!AE15)</f>
        <v>1844.7583424190875</v>
      </c>
      <c r="K25" s="131"/>
      <c r="L25" s="131"/>
      <c r="M25" s="131"/>
      <c r="N25" s="131"/>
      <c r="O25" s="124">
        <f t="shared" si="0"/>
        <v>1.6931517738350674E-3</v>
      </c>
      <c r="P25" s="125">
        <f t="shared" si="1"/>
        <v>3.8390353638239789E-2</v>
      </c>
      <c r="Q25" s="125">
        <f t="shared" si="2"/>
        <v>1.2165111259795892E-2</v>
      </c>
      <c r="R25" s="126">
        <f>'FE-Combustão'!$C$8</f>
        <v>3.3439999999999998E-3</v>
      </c>
      <c r="S25" s="127">
        <f>'FE-Combustão'!$C$14</f>
        <v>3.9006240000000002E-4</v>
      </c>
      <c r="T25" s="125">
        <f t="shared" si="6"/>
        <v>2.3201286848725804</v>
      </c>
      <c r="U25" s="125">
        <f t="shared" si="3"/>
        <v>1.9073654755121785</v>
      </c>
      <c r="V25" s="125">
        <f t="shared" si="4"/>
        <v>1.8419920620369628</v>
      </c>
      <c r="W25" s="125">
        <f t="shared" si="7"/>
        <v>52.606365285690607</v>
      </c>
      <c r="X25" s="125">
        <f t="shared" si="8"/>
        <v>16.669872142996834</v>
      </c>
      <c r="Y25" s="125">
        <f>(R25*$H$3)*('Resumo-2015'!$AE$15/8760)</f>
        <v>13.631622364840181</v>
      </c>
      <c r="Z25" s="125">
        <f>(S25*$H$3)*('Resumo-2015'!$AE$15/8760)</f>
        <v>1.590066786938767</v>
      </c>
      <c r="AA25" s="132"/>
    </row>
    <row r="26" spans="1:27" s="28" customFormat="1" ht="15" customHeight="1" x14ac:dyDescent="0.25">
      <c r="A26" s="147" t="s">
        <v>54</v>
      </c>
      <c r="B26" s="124">
        <v>-20.379852</v>
      </c>
      <c r="C26" s="124">
        <v>-40.437010999999998</v>
      </c>
      <c r="D26" s="128">
        <v>345</v>
      </c>
      <c r="E26" s="129">
        <f t="shared" si="5"/>
        <v>105177.1532125206</v>
      </c>
      <c r="F26" s="129">
        <v>46476</v>
      </c>
      <c r="G26" s="130">
        <f>'Resumo-2015'!AG15/8760</f>
        <v>0.65981735159817356</v>
      </c>
      <c r="H26" s="131">
        <v>1.1000000000000001</v>
      </c>
      <c r="I26" s="131">
        <v>45</v>
      </c>
      <c r="J26" s="129">
        <f>(('Resumo-2015'!AF15/'Emissão Chaminés'!$C$3)/'Resumo-2015'!AG15)</f>
        <v>1815.2246509306751</v>
      </c>
      <c r="K26" s="131"/>
      <c r="L26" s="131"/>
      <c r="M26" s="131"/>
      <c r="N26" s="131"/>
      <c r="O26" s="124">
        <f t="shared" si="0"/>
        <v>1.6931517738350674E-3</v>
      </c>
      <c r="P26" s="125">
        <f t="shared" si="1"/>
        <v>3.8390353638239789E-2</v>
      </c>
      <c r="Q26" s="125">
        <f t="shared" si="2"/>
        <v>1.2165111259795892E-2</v>
      </c>
      <c r="R26" s="126">
        <f>'FE-Combustão'!$C$8</f>
        <v>3.3439999999999998E-3</v>
      </c>
      <c r="S26" s="127">
        <f>'FE-Combustão'!$C$14</f>
        <v>3.9006240000000002E-4</v>
      </c>
      <c r="T26" s="125">
        <f t="shared" si="6"/>
        <v>2.0279161919538073</v>
      </c>
      <c r="U26" s="125">
        <f t="shared" si="3"/>
        <v>1.6671391362834025</v>
      </c>
      <c r="V26" s="125">
        <f t="shared" si="4"/>
        <v>1.6099992868543342</v>
      </c>
      <c r="W26" s="125">
        <f t="shared" si="7"/>
        <v>45.980768505755321</v>
      </c>
      <c r="X26" s="125">
        <f t="shared" si="8"/>
        <v>14.570357177597474</v>
      </c>
      <c r="Y26" s="125">
        <f>(R26*$H$3)*('Resumo-2015'!$AG$15/8760)</f>
        <v>12.108617991205818</v>
      </c>
      <c r="Z26" s="125">
        <f>(S26*$H$3)*('Resumo-2015'!$AG$15/8760)</f>
        <v>1.4124152495014715</v>
      </c>
      <c r="AA26" s="132"/>
    </row>
    <row r="27" spans="1:27" s="100" customFormat="1" ht="15" customHeight="1" x14ac:dyDescent="0.25">
      <c r="A27" s="146" t="s">
        <v>38</v>
      </c>
      <c r="B27" s="110">
        <v>-20.379816999999999</v>
      </c>
      <c r="C27" s="110">
        <v>-40.437041999999998</v>
      </c>
      <c r="D27" s="45">
        <f>AVERAGE('Monitoramento_Cham. Geradores '!F72,'Monitoramento_Cham. Geradores '!N72,'Monitoramento_Cham. Geradores '!V72)</f>
        <v>352.88888888888891</v>
      </c>
      <c r="E27" s="46">
        <f>AVERAGE('Monitoramento_Cham. Geradores '!F71,'Monitoramento_Cham. Geradores '!N71,'Monitoramento_Cham. Geradores '!V71)</f>
        <v>113438.7777777778</v>
      </c>
      <c r="F27" s="46">
        <f>AVERAGE('Monitoramento_Cham. Geradores '!F70,'Monitoramento_Cham. Geradores '!N70,'Monitoramento_Cham. Geradores '!V70)</f>
        <v>46326.666666666664</v>
      </c>
      <c r="G27" s="122">
        <f>'Resumo-2015'!AI15/8760</f>
        <v>0.63915525114155247</v>
      </c>
      <c r="H27" s="44">
        <v>1.1000000000000001</v>
      </c>
      <c r="I27" s="44">
        <v>45</v>
      </c>
      <c r="J27" s="46">
        <f>(('Resumo-2015'!AH15/'Emissão Chaminés'!$C$3)/'Resumo-2015'!AI15)</f>
        <v>1821.2785353033632</v>
      </c>
      <c r="K27" s="123">
        <f>AVERAGE('Monitoramento_Cham. Geradores '!F62,'Monitoramento_Cham. Geradores '!N62,'Monitoramento_Cham. Geradores '!V62)</f>
        <v>3.0100000000000002</v>
      </c>
      <c r="L27" s="123">
        <f>'ppm to mg.m-3'!J15</f>
        <v>650.26364590053322</v>
      </c>
      <c r="M27" s="123">
        <f>((L27*E27)/10^6)</f>
        <v>73.765113224278181</v>
      </c>
      <c r="N27" s="123">
        <f>AVERAGE('Monitoramento_Cham. Geradores '!F65,'Monitoramento_Cham. Geradores '!N65,'Monitoramento_Cham. Geradores '!V65)</f>
        <v>22.075555555555557</v>
      </c>
      <c r="O27" s="124">
        <f t="shared" si="0"/>
        <v>1.6931517738350674E-3</v>
      </c>
      <c r="P27" s="125">
        <f t="shared" si="1"/>
        <v>3.8390353638239789E-2</v>
      </c>
      <c r="Q27" s="125">
        <f t="shared" si="2"/>
        <v>1.2165111259795892E-2</v>
      </c>
      <c r="R27" s="126">
        <f>'FE-Combustão'!$C$8</f>
        <v>3.3439999999999998E-3</v>
      </c>
      <c r="S27" s="127">
        <f>'FE-Combustão'!$C$14</f>
        <v>3.9006240000000002E-4</v>
      </c>
      <c r="T27" s="144">
        <f>K27*G27</f>
        <v>1.9238573059360731</v>
      </c>
      <c r="U27" s="125">
        <f t="shared" si="3"/>
        <v>1.5815928784811617</v>
      </c>
      <c r="V27" s="125">
        <f t="shared" si="4"/>
        <v>1.5273850580493475</v>
      </c>
      <c r="W27" s="144">
        <f>M27</f>
        <v>73.765113224278181</v>
      </c>
      <c r="X27" s="144">
        <f>N27*G27</f>
        <v>14.109707255200405</v>
      </c>
      <c r="Y27" s="125">
        <f>(R27*$H$3)*('Resumo-2015'!$AI$15/8760)</f>
        <v>11.729438085252831</v>
      </c>
      <c r="Z27" s="125">
        <f>(S27*$H$3)*('Resumo-2015'!$AI$15/8760)</f>
        <v>1.3681856370170826</v>
      </c>
      <c r="AA27" s="42"/>
    </row>
    <row r="28" spans="1:27" s="100" customFormat="1" ht="15" customHeight="1" x14ac:dyDescent="0.25">
      <c r="A28" s="146" t="s">
        <v>37</v>
      </c>
      <c r="B28" s="110">
        <v>-20.379850000000001</v>
      </c>
      <c r="C28" s="110">
        <v>-40.437055999999998</v>
      </c>
      <c r="D28" s="45">
        <f>AVERAGE('Monitoramento_Cham. Geradores '!F99,'Monitoramento_Cham. Geradores '!N99,'Monitoramento_Cham. Geradores '!V99)</f>
        <v>363.22222222222223</v>
      </c>
      <c r="E28" s="46">
        <f>AVERAGE('Monitoramento_Cham. Geradores '!F98,'Monitoramento_Cham. Geradores '!N98,'Monitoramento_Cham. Geradores '!V98)</f>
        <v>115032.11111111112</v>
      </c>
      <c r="F28" s="46">
        <f>AVERAGE('Monitoramento_Cham. Geradores '!F97,'Monitoramento_Cham. Geradores '!N97,'Monitoramento_Cham. Geradores '!V97)</f>
        <v>46125.444444444445</v>
      </c>
      <c r="G28" s="122">
        <f>'Resumo-2015'!AK15/8760</f>
        <v>0.70924657534246571</v>
      </c>
      <c r="H28" s="44">
        <v>1.1000000000000001</v>
      </c>
      <c r="I28" s="44">
        <v>45</v>
      </c>
      <c r="J28" s="46">
        <f>(('Resumo-2015'!AJ15/'Emissão Chaminés'!$C$3)/'Resumo-2015'!AK15)</f>
        <v>1835.7750592919699</v>
      </c>
      <c r="K28" s="123">
        <f>AVERAGE('Monitoramento_Cham. Geradores '!F89,'Monitoramento_Cham. Geradores '!N89,'Monitoramento_Cham. Geradores '!V89)</f>
        <v>2.9633333333333329</v>
      </c>
      <c r="L28" s="123">
        <f>'ppm to mg.m-3'!J16</f>
        <v>607.06072821859755</v>
      </c>
      <c r="M28" s="123">
        <f>((L28*E28)/10^6)</f>
        <v>69.831477139633748</v>
      </c>
      <c r="N28" s="123">
        <f>AVERAGE('Monitoramento_Cham. Geradores '!F92,'Monitoramento_Cham. Geradores '!N92,'Monitoramento_Cham. Geradores '!V92)</f>
        <v>22.135555555555555</v>
      </c>
      <c r="O28" s="124">
        <f t="shared" si="0"/>
        <v>1.6931517738350674E-3</v>
      </c>
      <c r="P28" s="125">
        <f t="shared" si="1"/>
        <v>3.8390353638239789E-2</v>
      </c>
      <c r="Q28" s="125">
        <f t="shared" si="2"/>
        <v>1.2165111259795892E-2</v>
      </c>
      <c r="R28" s="126">
        <f>'FE-Combustão'!$C$8</f>
        <v>3.3439999999999998E-3</v>
      </c>
      <c r="S28" s="127">
        <f>'FE-Combustão'!$C$14</f>
        <v>3.9006240000000002E-4</v>
      </c>
      <c r="T28" s="144">
        <f>K28*G28</f>
        <v>2.1017340182648399</v>
      </c>
      <c r="U28" s="125">
        <f t="shared" si="3"/>
        <v>1.727824379434366</v>
      </c>
      <c r="V28" s="125">
        <f t="shared" si="4"/>
        <v>1.6686045922360107</v>
      </c>
      <c r="W28" s="144">
        <f>M27</f>
        <v>73.765113224278181</v>
      </c>
      <c r="X28" s="144">
        <f>N28*G28</f>
        <v>15.699566971080669</v>
      </c>
      <c r="Y28" s="125">
        <f>(R28*$H$3)*('Resumo-2015'!$AK$15/8760)</f>
        <v>13.015716882242515</v>
      </c>
      <c r="Z28" s="125">
        <f>(S28*$H$3)*('Resumo-2015'!$AK$15/8760)</f>
        <v>1.5182242119641247</v>
      </c>
      <c r="AA28" s="42"/>
    </row>
    <row r="29" spans="1:27" s="28" customFormat="1" ht="15" customHeight="1" x14ac:dyDescent="0.25">
      <c r="A29" s="147" t="s">
        <v>55</v>
      </c>
      <c r="B29" s="124">
        <v>-20.379922000000001</v>
      </c>
      <c r="C29" s="124">
        <v>-40.437157999999997</v>
      </c>
      <c r="D29" s="128">
        <v>345</v>
      </c>
      <c r="E29" s="129">
        <f>((F29*(273.15+D29)/273.15))</f>
        <v>105177.1532125206</v>
      </c>
      <c r="F29" s="129">
        <v>46476</v>
      </c>
      <c r="G29" s="122">
        <f>'Resumo-2015'!AM15/8760</f>
        <v>0.69703196347031959</v>
      </c>
      <c r="H29" s="131">
        <v>1.1000000000000001</v>
      </c>
      <c r="I29" s="131">
        <v>45</v>
      </c>
      <c r="J29" s="129">
        <f>(('Resumo-2015'!AL15/'Emissão Chaminés'!$C$3)/'Resumo-2015'!AM15)</f>
        <v>1824.3384673192925</v>
      </c>
      <c r="K29" s="131"/>
      <c r="L29" s="131"/>
      <c r="M29" s="131"/>
      <c r="N29" s="131"/>
      <c r="O29" s="124">
        <f t="shared" si="0"/>
        <v>1.6931517738350674E-3</v>
      </c>
      <c r="P29" s="125">
        <f t="shared" si="1"/>
        <v>3.8390353638239789E-2</v>
      </c>
      <c r="Q29" s="125">
        <f t="shared" si="2"/>
        <v>1.2165111259795892E-2</v>
      </c>
      <c r="R29" s="126">
        <f>'FE-Combustão'!$C$8</f>
        <v>3.3439999999999998E-3</v>
      </c>
      <c r="S29" s="127">
        <f>'FE-Combustão'!$C$14</f>
        <v>3.9006240000000002E-4</v>
      </c>
      <c r="T29" s="125">
        <f>O29*J29*G29</f>
        <v>2.1530494240613094</v>
      </c>
      <c r="U29" s="125">
        <f t="shared" si="3"/>
        <v>1.7700105021336157</v>
      </c>
      <c r="V29" s="125">
        <f t="shared" si="4"/>
        <v>1.7093448196008103</v>
      </c>
      <c r="W29" s="125">
        <f>P29*J29*G29</f>
        <v>48.818026870149843</v>
      </c>
      <c r="X29" s="125">
        <f>Q29*J29*G29</f>
        <v>15.469425834294235</v>
      </c>
      <c r="Y29" s="125">
        <f>(R29*$H$3)*('Resumo-2015'!$AM$15/8760)</f>
        <v>12.791560805242684</v>
      </c>
      <c r="Z29" s="125">
        <f>(S29*$H$3)*('Resumo-2015'!$AM$15/8760)</f>
        <v>1.4920774244733535</v>
      </c>
      <c r="AA29" s="132"/>
    </row>
    <row r="30" spans="1:27" s="28" customFormat="1" ht="15" customHeight="1" x14ac:dyDescent="0.25">
      <c r="A30" s="147" t="s">
        <v>56</v>
      </c>
      <c r="B30" s="124">
        <v>-20.379944999999999</v>
      </c>
      <c r="C30" s="124">
        <v>-40.437157999999997</v>
      </c>
      <c r="D30" s="128">
        <v>345</v>
      </c>
      <c r="E30" s="129">
        <f>((F30*(273.15+D30)/273.15))</f>
        <v>105177.1532125206</v>
      </c>
      <c r="F30" s="129">
        <v>46476</v>
      </c>
      <c r="G30" s="130">
        <f>'Resumo-2015'!AO15/8760</f>
        <v>0.67100456621004567</v>
      </c>
      <c r="H30" s="131">
        <v>1.1000000000000001</v>
      </c>
      <c r="I30" s="131">
        <v>45</v>
      </c>
      <c r="J30" s="129">
        <f>(('Resumo-2015'!AN15/'Emissão Chaminés'!$C$3)/'Resumo-2015'!AO15)</f>
        <v>1848.5483735705207</v>
      </c>
      <c r="K30" s="131"/>
      <c r="L30" s="131"/>
      <c r="M30" s="131"/>
      <c r="N30" s="131"/>
      <c r="O30" s="124">
        <f t="shared" si="0"/>
        <v>1.6931517738350674E-3</v>
      </c>
      <c r="P30" s="125">
        <f t="shared" si="1"/>
        <v>3.8390353638239789E-2</v>
      </c>
      <c r="Q30" s="125">
        <f t="shared" si="2"/>
        <v>1.2165111259795892E-2</v>
      </c>
      <c r="R30" s="126">
        <f>'FE-Combustão'!$C$8</f>
        <v>3.3439999999999998E-3</v>
      </c>
      <c r="S30" s="127">
        <f>'FE-Combustão'!$C$14</f>
        <v>3.9006240000000002E-4</v>
      </c>
      <c r="T30" s="125">
        <f>O30*J30*G30</f>
        <v>2.1001590462947455</v>
      </c>
      <c r="U30" s="125">
        <f t="shared" si="3"/>
        <v>1.7265296033384347</v>
      </c>
      <c r="V30" s="125">
        <f t="shared" si="4"/>
        <v>1.6673541935465932</v>
      </c>
      <c r="W30" s="125">
        <f>P30*J30*G30</f>
        <v>47.618795745157804</v>
      </c>
      <c r="X30" s="125">
        <f>Q30*J30*G30</f>
        <v>15.089414225148575</v>
      </c>
      <c r="Y30" s="125">
        <f>(R30*$H$3)*('Resumo-2015'!$AO$15/8760)</f>
        <v>12.313919818738372</v>
      </c>
      <c r="Z30" s="125">
        <f>(S30*$H$3)*('Resumo-2015'!$AO$15/8760)</f>
        <v>1.4363627744930187</v>
      </c>
      <c r="AA30" s="132"/>
    </row>
    <row r="31" spans="1:27" ht="15" customHeight="1" x14ac:dyDescent="0.25">
      <c r="A31" s="223" t="s">
        <v>78</v>
      </c>
      <c r="B31" s="223"/>
      <c r="C31" s="223"/>
      <c r="D31" s="223"/>
      <c r="E31" s="223"/>
      <c r="F31" s="223"/>
      <c r="G31" s="223"/>
      <c r="H31" s="223"/>
      <c r="I31" s="223"/>
      <c r="J31" s="223"/>
      <c r="K31" s="223"/>
      <c r="L31" s="223"/>
      <c r="M31" s="223"/>
      <c r="N31" s="223"/>
      <c r="O31" s="223"/>
      <c r="P31" s="223"/>
      <c r="Q31" s="223"/>
      <c r="R31" s="223"/>
      <c r="S31" s="223"/>
      <c r="T31" s="138">
        <f>SUM(T11:T30)</f>
        <v>39.670690714049115</v>
      </c>
      <c r="U31" s="138">
        <f>SUM(U11:U30)</f>
        <v>32.613064245552572</v>
      </c>
      <c r="V31" s="138">
        <f t="shared" ref="V31:Y31" si="9">SUM(V11:V30)</f>
        <v>31.495277769394512</v>
      </c>
      <c r="W31" s="138">
        <f>SUM(W11:W30)</f>
        <v>950.44930650291485</v>
      </c>
      <c r="X31" s="138">
        <f>SUM(X11:X30)</f>
        <v>285.08565528748335</v>
      </c>
      <c r="Y31" s="138">
        <f t="shared" si="9"/>
        <v>235.74515567238288</v>
      </c>
      <c r="Z31" s="138">
        <f>SUM(Z11:Z30)</f>
        <v>27.498600840294039</v>
      </c>
      <c r="AA31" s="107"/>
    </row>
    <row r="32" spans="1:27" ht="15" customHeight="1" x14ac:dyDescent="0.25">
      <c r="A32" s="107"/>
      <c r="B32" s="107"/>
      <c r="C32" s="107"/>
      <c r="D32" s="107"/>
      <c r="E32" s="107"/>
      <c r="F32" s="107"/>
      <c r="G32" s="107"/>
      <c r="H32" s="107"/>
      <c r="I32" s="107"/>
      <c r="J32" s="111"/>
      <c r="K32" s="111"/>
      <c r="L32" s="111"/>
      <c r="M32" s="111"/>
      <c r="N32" s="107"/>
      <c r="O32" s="107"/>
      <c r="P32" s="107"/>
      <c r="Q32" s="107"/>
      <c r="R32" s="107"/>
      <c r="S32" s="107"/>
      <c r="T32" s="133"/>
      <c r="U32" s="133"/>
      <c r="V32" s="133"/>
      <c r="W32" s="133"/>
      <c r="X32" s="133"/>
      <c r="Y32" s="133"/>
      <c r="Z32" s="133"/>
      <c r="AA32" s="107"/>
    </row>
    <row r="33" spans="1:27" ht="15" customHeight="1" x14ac:dyDescent="0.25">
      <c r="A33" s="221" t="s">
        <v>196</v>
      </c>
      <c r="B33" s="221"/>
      <c r="C33" s="221"/>
      <c r="D33" s="221"/>
      <c r="E33" s="221"/>
      <c r="F33" s="221"/>
      <c r="G33" s="111"/>
      <c r="H33" s="107"/>
      <c r="I33" s="111"/>
      <c r="J33" s="111"/>
      <c r="K33" s="107"/>
      <c r="L33" s="107"/>
      <c r="M33" s="107"/>
      <c r="N33" s="107"/>
      <c r="O33" s="107"/>
      <c r="P33" s="107"/>
      <c r="Q33" s="107"/>
      <c r="R33" s="107"/>
      <c r="S33" s="107"/>
      <c r="T33" s="107"/>
      <c r="U33" s="107"/>
      <c r="V33" s="107"/>
      <c r="W33" s="107"/>
      <c r="X33" s="107"/>
      <c r="Y33" s="107"/>
      <c r="Z33" s="107"/>
      <c r="AA33" s="107"/>
    </row>
    <row r="34" spans="1:27" ht="15" customHeight="1" x14ac:dyDescent="0.25">
      <c r="A34" s="220" t="s">
        <v>197</v>
      </c>
      <c r="B34" s="134" t="s">
        <v>198</v>
      </c>
      <c r="C34" s="134" t="s">
        <v>199</v>
      </c>
      <c r="D34" s="134" t="s">
        <v>200</v>
      </c>
      <c r="E34" s="134" t="s">
        <v>209</v>
      </c>
      <c r="F34" s="134" t="s">
        <v>201</v>
      </c>
      <c r="G34" s="111"/>
      <c r="H34" s="107"/>
      <c r="I34" s="111"/>
      <c r="J34" s="111"/>
      <c r="K34" s="107"/>
      <c r="L34" s="107"/>
      <c r="M34" s="107"/>
      <c r="N34" s="107"/>
      <c r="O34" s="107"/>
      <c r="P34" s="107"/>
      <c r="Q34" s="107"/>
      <c r="R34" s="107"/>
      <c r="S34" s="107"/>
      <c r="T34" s="107"/>
      <c r="U34" s="107"/>
      <c r="V34" s="107"/>
      <c r="W34" s="107"/>
      <c r="X34" s="107"/>
      <c r="Y34" s="107"/>
      <c r="Z34" s="107"/>
      <c r="AA34" s="107"/>
    </row>
    <row r="35" spans="1:27" ht="15" customHeight="1" x14ac:dyDescent="0.25">
      <c r="A35" s="220"/>
      <c r="B35" s="116">
        <f>AVERAGE('Monitoramento_Cham. Geradores '!J25,'Monitoramento_Cham. Geradores '!R24,'Monitoramento_Cham. Geradores '!B25,'Monitoramento_Cham. Geradores '!B52,'Monitoramento_Cham. Geradores '!J52,'Monitoramento_Cham. Geradores '!R51,'Monitoramento_Cham. Geradores '!B79,'Monitoramento_Cham. Geradores '!J79,'Monitoramento_Cham. Geradores '!R78,'Monitoramento_Cham. Geradores '!B106,'Monitoramento_Cham. Geradores '!J106,'Monitoramento_Cham. Geradores '!R105)</f>
        <v>1805.9583333333333</v>
      </c>
      <c r="C35" s="116">
        <f>B35/C3</f>
        <v>1839.4360698037617</v>
      </c>
      <c r="D35" s="114">
        <f>AVERAGE(K12,K13,K27,K28)</f>
        <v>3.1144444444444441</v>
      </c>
      <c r="E35" s="114">
        <f>AVERAGE(N12,N13,N27,N28)</f>
        <v>22.376944444444444</v>
      </c>
      <c r="F35" s="135">
        <f>AVERAGE(M12,M13,M27,M28)</f>
        <v>70.616601214700339</v>
      </c>
      <c r="G35" s="111"/>
      <c r="H35" s="107"/>
      <c r="I35" s="111"/>
      <c r="J35" s="111"/>
      <c r="K35" s="107"/>
      <c r="L35" s="107"/>
      <c r="M35" s="107"/>
      <c r="N35" s="107"/>
      <c r="O35" s="107"/>
      <c r="P35" s="107"/>
      <c r="Q35" s="107"/>
      <c r="R35" s="107"/>
      <c r="S35" s="107"/>
      <c r="T35" s="107"/>
      <c r="U35" s="107"/>
      <c r="V35" s="107"/>
      <c r="W35" s="107"/>
      <c r="X35" s="107"/>
      <c r="Y35" s="107"/>
      <c r="Z35" s="107"/>
      <c r="AA35" s="107"/>
    </row>
    <row r="36" spans="1:27" ht="15" customHeight="1" x14ac:dyDescent="0.25">
      <c r="A36" s="107"/>
      <c r="B36" s="107"/>
      <c r="C36" s="107"/>
      <c r="I36" s="107"/>
      <c r="J36" s="111"/>
      <c r="K36" s="111"/>
      <c r="L36" s="111"/>
      <c r="M36" s="111"/>
      <c r="N36" s="107"/>
      <c r="O36" s="107"/>
      <c r="P36" s="107"/>
      <c r="Q36" s="107"/>
      <c r="R36" s="107"/>
      <c r="S36" s="107"/>
      <c r="T36" s="107"/>
      <c r="U36" s="107"/>
      <c r="V36" s="107"/>
      <c r="W36" s="107"/>
      <c r="X36" s="107"/>
      <c r="Y36" s="107"/>
      <c r="Z36" s="107"/>
      <c r="AA36" s="107"/>
    </row>
    <row r="37" spans="1:27" ht="15" customHeight="1" x14ac:dyDescent="0.25">
      <c r="A37" s="221" t="s">
        <v>202</v>
      </c>
      <c r="B37" s="221"/>
      <c r="C37" s="221"/>
      <c r="D37" s="222" t="s">
        <v>203</v>
      </c>
      <c r="E37" s="222" t="s">
        <v>204</v>
      </c>
      <c r="I37" s="107"/>
      <c r="J37" s="111"/>
      <c r="K37" s="111"/>
      <c r="L37" s="111"/>
      <c r="M37" s="111"/>
      <c r="N37" s="107"/>
      <c r="O37" s="107"/>
      <c r="P37" s="107"/>
      <c r="Q37" s="107"/>
      <c r="R37" s="107"/>
      <c r="S37" s="107"/>
      <c r="T37" s="107"/>
      <c r="U37" s="107"/>
      <c r="V37" s="107"/>
      <c r="W37" s="107"/>
      <c r="X37" s="107"/>
      <c r="Y37" s="107"/>
      <c r="Z37" s="107"/>
      <c r="AA37" s="107"/>
    </row>
    <row r="38" spans="1:27" ht="15" customHeight="1" x14ac:dyDescent="0.25">
      <c r="A38" s="134" t="s">
        <v>205</v>
      </c>
      <c r="B38" s="134" t="s">
        <v>208</v>
      </c>
      <c r="C38" s="134" t="s">
        <v>206</v>
      </c>
      <c r="D38" s="222"/>
      <c r="E38" s="222"/>
      <c r="I38" s="107"/>
      <c r="J38" s="111"/>
      <c r="K38" s="111"/>
      <c r="L38" s="111"/>
      <c r="M38" s="111"/>
      <c r="N38" s="107"/>
      <c r="O38" s="107"/>
      <c r="P38" s="107"/>
      <c r="Q38" s="107"/>
      <c r="R38" s="107"/>
      <c r="S38" s="107"/>
      <c r="T38" s="107"/>
      <c r="U38" s="107"/>
      <c r="V38" s="107"/>
      <c r="W38" s="107"/>
      <c r="X38" s="107"/>
      <c r="Y38" s="107"/>
      <c r="Z38" s="107"/>
      <c r="AA38" s="107"/>
    </row>
    <row r="39" spans="1:27" ht="15" customHeight="1" x14ac:dyDescent="0.25">
      <c r="A39" s="109">
        <f>D35/C35</f>
        <v>1.6931517738350674E-3</v>
      </c>
      <c r="B39" s="119">
        <f>E35/C35</f>
        <v>1.2165111259795892E-2</v>
      </c>
      <c r="C39" s="119">
        <f>F35/C35</f>
        <v>3.8390353638239789E-2</v>
      </c>
      <c r="D39" s="36">
        <f>0.0573/0.0697</f>
        <v>0.82209469153515058</v>
      </c>
      <c r="E39" s="36">
        <f>0.0479/0.0496</f>
        <v>0.96572580645161288</v>
      </c>
      <c r="F39" s="107"/>
      <c r="G39" s="107"/>
      <c r="H39" s="107"/>
      <c r="I39" s="107"/>
      <c r="J39" s="111"/>
      <c r="K39" s="111"/>
      <c r="L39" s="111"/>
      <c r="M39" s="111"/>
      <c r="N39" s="107"/>
      <c r="O39" s="107"/>
      <c r="P39" s="107"/>
      <c r="Q39" s="107"/>
      <c r="R39" s="107"/>
      <c r="S39" s="107"/>
      <c r="T39" s="107"/>
      <c r="U39" s="107"/>
      <c r="V39" s="107"/>
      <c r="W39" s="107"/>
      <c r="X39" s="107"/>
      <c r="Y39" s="107"/>
      <c r="Z39" s="107"/>
      <c r="AA39" s="107"/>
    </row>
  </sheetData>
  <sheetProtection password="B056" sheet="1" objects="1" scenarios="1"/>
  <mergeCells count="26">
    <mergeCell ref="A31:S31"/>
    <mergeCell ref="A8:A10"/>
    <mergeCell ref="H8:H10"/>
    <mergeCell ref="I8:I10"/>
    <mergeCell ref="D8:D10"/>
    <mergeCell ref="G8:G10"/>
    <mergeCell ref="O8:S9"/>
    <mergeCell ref="B8:B10"/>
    <mergeCell ref="A34:A35"/>
    <mergeCell ref="A37:C37"/>
    <mergeCell ref="D37:D38"/>
    <mergeCell ref="E37:E38"/>
    <mergeCell ref="A33:F33"/>
    <mergeCell ref="A1:B1"/>
    <mergeCell ref="A2:B2"/>
    <mergeCell ref="A3:B3"/>
    <mergeCell ref="A4:B4"/>
    <mergeCell ref="T8:Z9"/>
    <mergeCell ref="K8:N9"/>
    <mergeCell ref="J8:J9"/>
    <mergeCell ref="E8:F9"/>
    <mergeCell ref="G1:H1"/>
    <mergeCell ref="I1:I2"/>
    <mergeCell ref="J1:K2"/>
    <mergeCell ref="J3:K3"/>
    <mergeCell ref="C8:C10"/>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23"/>
  <sheetViews>
    <sheetView zoomScaleNormal="100" workbookViewId="0">
      <selection activeCell="D4" sqref="D4"/>
    </sheetView>
  </sheetViews>
  <sheetFormatPr defaultRowHeight="15" customHeight="1" x14ac:dyDescent="0.25"/>
  <cols>
    <col min="1" max="1" width="30.7109375" style="1" customWidth="1"/>
    <col min="2" max="3" width="17.42578125" style="1" bestFit="1" customWidth="1"/>
    <col min="4" max="4" width="14.5703125" style="1" bestFit="1" customWidth="1"/>
    <col min="5" max="5" width="13.28515625" style="1" customWidth="1"/>
    <col min="6" max="6" width="14" style="1" customWidth="1"/>
    <col min="7" max="8" width="15.7109375" style="1" customWidth="1"/>
    <col min="9" max="9" width="13.5703125" style="1" customWidth="1"/>
    <col min="10" max="14" width="10.7109375" style="1" customWidth="1"/>
    <col min="15" max="15" width="13" style="1" customWidth="1"/>
    <col min="16" max="16" width="11.85546875" style="1" customWidth="1"/>
    <col min="17" max="17" width="11.5703125" style="1" customWidth="1"/>
    <col min="18" max="18" width="11.42578125" style="1" customWidth="1"/>
    <col min="19" max="19" width="11.28515625" style="1" customWidth="1"/>
    <col min="20" max="23" width="10.7109375" style="1" customWidth="1"/>
    <col min="24" max="24" width="18.42578125" style="1" customWidth="1"/>
    <col min="25" max="25" width="16.42578125" style="1" customWidth="1"/>
    <col min="26" max="26" width="17.42578125" style="1" customWidth="1"/>
    <col min="27" max="27" width="10.7109375" style="1" customWidth="1"/>
    <col min="28" max="28" width="17.42578125" style="1" customWidth="1"/>
    <col min="29" max="29" width="14.140625" style="1" customWidth="1"/>
    <col min="30" max="30" width="13.85546875" style="1" customWidth="1"/>
    <col min="31" max="16384" width="9.140625" style="1"/>
  </cols>
  <sheetData>
    <row r="1" spans="1:30" ht="15" customHeight="1" x14ac:dyDescent="0.25">
      <c r="A1" s="1" t="s">
        <v>112</v>
      </c>
      <c r="B1" s="34">
        <v>0.96799999999999997</v>
      </c>
    </row>
    <row r="2" spans="1:30" ht="15" customHeight="1" x14ac:dyDescent="0.25">
      <c r="A2" s="1" t="s">
        <v>113</v>
      </c>
      <c r="B2" s="34">
        <f>B1*B3</f>
        <v>8.0783510720000002</v>
      </c>
      <c r="C2" s="35"/>
    </row>
    <row r="3" spans="1:30" ht="15" customHeight="1" x14ac:dyDescent="0.25">
      <c r="A3" s="1" t="s">
        <v>114</v>
      </c>
      <c r="B3" s="34">
        <v>8.3454040000000003</v>
      </c>
      <c r="C3" s="35"/>
    </row>
    <row r="4" spans="1:30" ht="15" customHeight="1" x14ac:dyDescent="0.25">
      <c r="A4" s="1" t="s">
        <v>115</v>
      </c>
      <c r="B4" s="36">
        <v>3.28084</v>
      </c>
    </row>
    <row r="5" spans="1:30" ht="15" customHeight="1" x14ac:dyDescent="0.25">
      <c r="A5" s="1" t="s">
        <v>116</v>
      </c>
      <c r="B5" s="36">
        <v>35.314700000000002</v>
      </c>
    </row>
    <row r="6" spans="1:30" ht="15" customHeight="1" x14ac:dyDescent="0.25">
      <c r="A6" s="1" t="s">
        <v>117</v>
      </c>
      <c r="B6" s="36">
        <v>264.17200000000003</v>
      </c>
    </row>
    <row r="8" spans="1:30" ht="15" customHeight="1" x14ac:dyDescent="0.25">
      <c r="A8" s="37" t="s">
        <v>118</v>
      </c>
    </row>
    <row r="9" spans="1:30" ht="33.75" x14ac:dyDescent="0.25">
      <c r="A9" s="38" t="s">
        <v>86</v>
      </c>
      <c r="B9" s="38" t="s">
        <v>87</v>
      </c>
      <c r="C9" s="38" t="s">
        <v>88</v>
      </c>
      <c r="D9" s="38" t="s">
        <v>89</v>
      </c>
      <c r="E9" s="38" t="s">
        <v>90</v>
      </c>
      <c r="F9" s="38" t="s">
        <v>91</v>
      </c>
      <c r="G9" s="38" t="s">
        <v>119</v>
      </c>
      <c r="H9" s="38" t="s">
        <v>120</v>
      </c>
      <c r="I9" s="38" t="s">
        <v>81</v>
      </c>
      <c r="J9" s="38" t="s">
        <v>92</v>
      </c>
      <c r="K9" s="38" t="s">
        <v>82</v>
      </c>
      <c r="L9" s="38" t="s">
        <v>93</v>
      </c>
      <c r="M9" s="38" t="s">
        <v>121</v>
      </c>
      <c r="N9" s="38" t="s">
        <v>122</v>
      </c>
      <c r="O9" s="38" t="s">
        <v>167</v>
      </c>
      <c r="P9" s="38" t="s">
        <v>123</v>
      </c>
      <c r="Q9" s="38" t="s">
        <v>124</v>
      </c>
      <c r="R9" s="38" t="s">
        <v>125</v>
      </c>
      <c r="S9" s="38" t="s">
        <v>126</v>
      </c>
      <c r="T9" s="38" t="s">
        <v>94</v>
      </c>
      <c r="U9" s="38" t="s">
        <v>95</v>
      </c>
      <c r="V9" s="38" t="s">
        <v>96</v>
      </c>
      <c r="W9" s="38" t="s">
        <v>97</v>
      </c>
      <c r="X9" s="38" t="s">
        <v>133</v>
      </c>
      <c r="Y9" s="38" t="s">
        <v>98</v>
      </c>
      <c r="Z9" s="38" t="s">
        <v>99</v>
      </c>
      <c r="AA9" s="38" t="s">
        <v>218</v>
      </c>
      <c r="AB9" s="38" t="s">
        <v>229</v>
      </c>
      <c r="AC9" s="38" t="s">
        <v>230</v>
      </c>
      <c r="AD9" s="38" t="s">
        <v>231</v>
      </c>
    </row>
    <row r="10" spans="1:30" s="28" customFormat="1" ht="15" customHeight="1" x14ac:dyDescent="0.25">
      <c r="A10" s="28" t="s">
        <v>127</v>
      </c>
      <c r="B10" s="30" t="s">
        <v>100</v>
      </c>
      <c r="C10" s="31" t="s">
        <v>101</v>
      </c>
      <c r="D10" s="31" t="s">
        <v>102</v>
      </c>
      <c r="E10" s="31" t="s">
        <v>103</v>
      </c>
      <c r="F10" s="29" t="s">
        <v>104</v>
      </c>
      <c r="G10" s="31">
        <v>-20.376981000000001</v>
      </c>
      <c r="H10" s="31">
        <v>-40.437162000000001</v>
      </c>
      <c r="I10" s="32">
        <v>16.2</v>
      </c>
      <c r="J10" s="40">
        <f t="shared" ref="J10:J15" si="0">I10*$B$4</f>
        <v>53.149608000000001</v>
      </c>
      <c r="K10" s="31">
        <v>12.6</v>
      </c>
      <c r="L10" s="40">
        <f t="shared" ref="L10:L15" si="1">K10*$B$4</f>
        <v>41.338583999999997</v>
      </c>
      <c r="M10" s="31">
        <v>13.1</v>
      </c>
      <c r="N10" s="40">
        <f t="shared" ref="N10:N15" si="2">M10*$B$4</f>
        <v>42.979003999999996</v>
      </c>
      <c r="O10" s="40">
        <f>N10-L10</f>
        <v>1.6404199999999989</v>
      </c>
      <c r="P10" s="31">
        <v>12.1</v>
      </c>
      <c r="Q10" s="40">
        <f t="shared" ref="Q10:Q15" si="3">P10*$B$4</f>
        <v>39.698163999999998</v>
      </c>
      <c r="R10" s="31">
        <v>11.4</v>
      </c>
      <c r="S10" s="40">
        <f t="shared" ref="S10:S15" si="4">R10*$B$4</f>
        <v>37.401575999999999</v>
      </c>
      <c r="T10" s="29">
        <v>2597.1</v>
      </c>
      <c r="U10" s="29">
        <f t="shared" ref="U10:U15" si="5">T10*$B$5</f>
        <v>91715.807369999995</v>
      </c>
      <c r="V10" s="29">
        <v>2500</v>
      </c>
      <c r="W10" s="29">
        <f t="shared" ref="W10:W15" si="6">V10*$B$6</f>
        <v>660430.00000000012</v>
      </c>
      <c r="X10" s="29"/>
      <c r="Y10" s="29">
        <v>100000</v>
      </c>
      <c r="Z10" s="29">
        <f>Y10*8.45</f>
        <v>844999.99999999988</v>
      </c>
      <c r="AA10" s="41">
        <f>(5.614*Z10)/U10</f>
        <v>51.723144963031679</v>
      </c>
      <c r="AB10" s="40">
        <v>18.25</v>
      </c>
      <c r="AC10" s="39">
        <f>(AB10*0.453592)/8760</f>
        <v>9.449833333333332E-4</v>
      </c>
      <c r="AD10" s="39">
        <f>AC10/1000*8760</f>
        <v>8.278054E-3</v>
      </c>
    </row>
    <row r="11" spans="1:30" ht="15" customHeight="1" x14ac:dyDescent="0.25">
      <c r="A11" s="28" t="s">
        <v>128</v>
      </c>
      <c r="B11" s="30" t="s">
        <v>100</v>
      </c>
      <c r="C11" s="31" t="s">
        <v>101</v>
      </c>
      <c r="D11" s="31" t="s">
        <v>102</v>
      </c>
      <c r="E11" s="31" t="s">
        <v>103</v>
      </c>
      <c r="F11" s="29" t="s">
        <v>104</v>
      </c>
      <c r="G11" s="31">
        <v>-20.376978999999999</v>
      </c>
      <c r="H11" s="31">
        <v>-40.436925000000002</v>
      </c>
      <c r="I11" s="32">
        <v>16.2</v>
      </c>
      <c r="J11" s="40">
        <f t="shared" si="0"/>
        <v>53.149608000000001</v>
      </c>
      <c r="K11" s="31">
        <v>12.6</v>
      </c>
      <c r="L11" s="40">
        <f t="shared" si="1"/>
        <v>41.338583999999997</v>
      </c>
      <c r="M11" s="31">
        <v>13.1</v>
      </c>
      <c r="N11" s="40">
        <f t="shared" si="2"/>
        <v>42.979003999999996</v>
      </c>
      <c r="O11" s="40">
        <f t="shared" ref="O11:O14" si="7">N11-L11</f>
        <v>1.6404199999999989</v>
      </c>
      <c r="P11" s="31">
        <v>12.1</v>
      </c>
      <c r="Q11" s="40">
        <f t="shared" si="3"/>
        <v>39.698163999999998</v>
      </c>
      <c r="R11" s="31">
        <v>11.4</v>
      </c>
      <c r="S11" s="40">
        <f t="shared" si="4"/>
        <v>37.401575999999999</v>
      </c>
      <c r="T11" s="29">
        <v>2597.1</v>
      </c>
      <c r="U11" s="29">
        <f t="shared" si="5"/>
        <v>91715.807369999995</v>
      </c>
      <c r="V11" s="29">
        <v>2500</v>
      </c>
      <c r="W11" s="29">
        <f t="shared" si="6"/>
        <v>660430.00000000012</v>
      </c>
      <c r="X11" s="29"/>
      <c r="Y11" s="29">
        <v>100000</v>
      </c>
      <c r="Z11" s="29">
        <f t="shared" ref="Z11:Z15" si="8">Y11*8.45</f>
        <v>844999.99999999988</v>
      </c>
      <c r="AA11" s="41">
        <f>(5.614*Z11)/U11</f>
        <v>51.723144963031679</v>
      </c>
      <c r="AB11" s="40">
        <v>18.25</v>
      </c>
      <c r="AC11" s="39">
        <f t="shared" ref="AC11:AC15" si="9">(AB11*0.453592)/8760</f>
        <v>9.449833333333332E-4</v>
      </c>
      <c r="AD11" s="39">
        <f t="shared" ref="AD11:AD15" si="10">AC11/1000*8760</f>
        <v>8.278054E-3</v>
      </c>
    </row>
    <row r="12" spans="1:30" ht="15" customHeight="1" x14ac:dyDescent="0.25">
      <c r="A12" s="28" t="s">
        <v>129</v>
      </c>
      <c r="B12" s="30" t="s">
        <v>100</v>
      </c>
      <c r="C12" s="31" t="s">
        <v>101</v>
      </c>
      <c r="D12" s="31" t="s">
        <v>102</v>
      </c>
      <c r="E12" s="31" t="s">
        <v>103</v>
      </c>
      <c r="F12" s="29" t="s">
        <v>106</v>
      </c>
      <c r="G12" s="31">
        <v>-20.378564000000001</v>
      </c>
      <c r="H12" s="31">
        <v>-40.436521999999997</v>
      </c>
      <c r="I12" s="32">
        <v>6.8</v>
      </c>
      <c r="J12" s="40">
        <f t="shared" si="0"/>
        <v>22.309711999999998</v>
      </c>
      <c r="K12" s="31">
        <v>7.2</v>
      </c>
      <c r="L12" s="40">
        <f t="shared" si="1"/>
        <v>23.622047999999999</v>
      </c>
      <c r="M12" s="31">
        <v>7.7</v>
      </c>
      <c r="N12" s="40">
        <f t="shared" si="2"/>
        <v>25.262468000000002</v>
      </c>
      <c r="O12" s="40">
        <f t="shared" si="7"/>
        <v>1.6404200000000024</v>
      </c>
      <c r="P12" s="31">
        <v>6.95</v>
      </c>
      <c r="Q12" s="40">
        <f t="shared" si="3"/>
        <v>22.801838</v>
      </c>
      <c r="R12" s="31">
        <v>6.6</v>
      </c>
      <c r="S12" s="40">
        <f t="shared" si="4"/>
        <v>21.653544</v>
      </c>
      <c r="T12" s="32">
        <v>261.5</v>
      </c>
      <c r="U12" s="29">
        <f t="shared" si="5"/>
        <v>9234.7940500000004</v>
      </c>
      <c r="V12" s="29">
        <v>200</v>
      </c>
      <c r="W12" s="29">
        <f t="shared" si="6"/>
        <v>52834.400000000009</v>
      </c>
      <c r="X12" s="29">
        <v>66677.738475999999</v>
      </c>
      <c r="Y12" s="29">
        <v>200000</v>
      </c>
      <c r="Z12" s="29">
        <f t="shared" si="8"/>
        <v>1689999.9999999998</v>
      </c>
      <c r="AA12" s="64">
        <f>((5.614*Z12)/U12)*((Q12-S12)/Q12)</f>
        <v>51.73865543196704</v>
      </c>
      <c r="AB12" s="40">
        <v>1.68</v>
      </c>
      <c r="AC12" s="39">
        <f t="shared" si="9"/>
        <v>8.6990246575342452E-5</v>
      </c>
      <c r="AD12" s="39">
        <f t="shared" si="10"/>
        <v>7.6203455999999991E-4</v>
      </c>
    </row>
    <row r="13" spans="1:30" ht="15" customHeight="1" x14ac:dyDescent="0.25">
      <c r="A13" s="42" t="s">
        <v>130</v>
      </c>
      <c r="B13" s="43" t="s">
        <v>100</v>
      </c>
      <c r="C13" s="31" t="s">
        <v>101</v>
      </c>
      <c r="D13" s="31" t="s">
        <v>102</v>
      </c>
      <c r="E13" s="44" t="s">
        <v>103</v>
      </c>
      <c r="F13" s="31" t="s">
        <v>106</v>
      </c>
      <c r="G13" s="31">
        <v>-20.378385999999999</v>
      </c>
      <c r="H13" s="31">
        <v>-40.436627999999999</v>
      </c>
      <c r="I13" s="32">
        <v>9</v>
      </c>
      <c r="J13" s="40">
        <f t="shared" si="0"/>
        <v>29.527560000000001</v>
      </c>
      <c r="K13" s="45">
        <v>9</v>
      </c>
      <c r="L13" s="40">
        <f t="shared" si="1"/>
        <v>29.527560000000001</v>
      </c>
      <c r="M13" s="31">
        <v>9.5</v>
      </c>
      <c r="N13" s="40">
        <f t="shared" si="2"/>
        <v>31.16798</v>
      </c>
      <c r="O13" s="40">
        <f t="shared" si="7"/>
        <v>1.6404199999999989</v>
      </c>
      <c r="P13" s="31">
        <v>8.6</v>
      </c>
      <c r="Q13" s="40">
        <f t="shared" si="3"/>
        <v>28.215223999999999</v>
      </c>
      <c r="R13" s="31">
        <v>8.5</v>
      </c>
      <c r="S13" s="40">
        <f t="shared" si="4"/>
        <v>27.887139999999999</v>
      </c>
      <c r="T13" s="46">
        <v>572.6</v>
      </c>
      <c r="U13" s="29">
        <f t="shared" si="5"/>
        <v>20221.197220000002</v>
      </c>
      <c r="V13" s="31">
        <v>500</v>
      </c>
      <c r="W13" s="29">
        <f t="shared" si="6"/>
        <v>132086</v>
      </c>
      <c r="X13" s="29"/>
      <c r="Y13" s="31">
        <v>200000</v>
      </c>
      <c r="Z13" s="29">
        <f t="shared" si="8"/>
        <v>1689999.9999999998</v>
      </c>
      <c r="AA13" s="64">
        <f>((5.614*Z13)/U13)*((Q13-S13)/Q13)</f>
        <v>5.4557416510364698</v>
      </c>
      <c r="AB13" s="40">
        <v>0.28000000000000003</v>
      </c>
      <c r="AC13" s="39">
        <f t="shared" si="9"/>
        <v>1.4498374429223747E-5</v>
      </c>
      <c r="AD13" s="39">
        <f t="shared" si="10"/>
        <v>1.2700576000000002E-4</v>
      </c>
    </row>
    <row r="14" spans="1:30" ht="15" customHeight="1" x14ac:dyDescent="0.25">
      <c r="A14" s="42" t="s">
        <v>131</v>
      </c>
      <c r="B14" s="43" t="s">
        <v>107</v>
      </c>
      <c r="C14" s="31" t="s">
        <v>108</v>
      </c>
      <c r="D14" s="31" t="s">
        <v>102</v>
      </c>
      <c r="E14" s="44" t="s">
        <v>103</v>
      </c>
      <c r="F14" s="31" t="s">
        <v>109</v>
      </c>
      <c r="G14" s="31">
        <v>-20.378568999999999</v>
      </c>
      <c r="H14" s="31">
        <v>-40.436616999999998</v>
      </c>
      <c r="I14" s="32">
        <v>9</v>
      </c>
      <c r="J14" s="40">
        <f t="shared" si="0"/>
        <v>29.527560000000001</v>
      </c>
      <c r="K14" s="45">
        <v>9</v>
      </c>
      <c r="L14" s="40">
        <f t="shared" si="1"/>
        <v>29.527560000000001</v>
      </c>
      <c r="M14" s="31">
        <v>9.5</v>
      </c>
      <c r="N14" s="40">
        <f t="shared" si="2"/>
        <v>31.16798</v>
      </c>
      <c r="O14" s="40">
        <f t="shared" si="7"/>
        <v>1.6404199999999989</v>
      </c>
      <c r="P14" s="31">
        <v>8.6999999999999993</v>
      </c>
      <c r="Q14" s="40">
        <f t="shared" si="3"/>
        <v>28.543307999999996</v>
      </c>
      <c r="R14" s="31">
        <v>8.3000000000000007</v>
      </c>
      <c r="S14" s="40">
        <f t="shared" si="4"/>
        <v>27.230972000000001</v>
      </c>
      <c r="T14" s="46">
        <v>572.6</v>
      </c>
      <c r="U14" s="29">
        <f t="shared" si="5"/>
        <v>20221.197220000002</v>
      </c>
      <c r="V14" s="31">
        <v>500</v>
      </c>
      <c r="W14" s="29">
        <f t="shared" si="6"/>
        <v>132086</v>
      </c>
      <c r="X14" s="29"/>
      <c r="Y14" s="31">
        <v>270</v>
      </c>
      <c r="Z14" s="29">
        <f t="shared" si="8"/>
        <v>2281.5</v>
      </c>
      <c r="AA14" s="32">
        <f>(5.614*Z14)/U14</f>
        <v>0.63341160568533339</v>
      </c>
      <c r="AB14" s="40">
        <v>7.32</v>
      </c>
      <c r="AC14" s="39">
        <f t="shared" si="9"/>
        <v>3.7902893150684931E-4</v>
      </c>
      <c r="AD14" s="39">
        <f t="shared" si="10"/>
        <v>3.3202934399999997E-3</v>
      </c>
    </row>
    <row r="15" spans="1:30" ht="15" customHeight="1" x14ac:dyDescent="0.25">
      <c r="A15" s="42" t="s">
        <v>132</v>
      </c>
      <c r="B15" s="43" t="s">
        <v>110</v>
      </c>
      <c r="C15" s="31" t="s">
        <v>101</v>
      </c>
      <c r="D15" s="31" t="s">
        <v>102</v>
      </c>
      <c r="E15" s="44" t="s">
        <v>103</v>
      </c>
      <c r="F15" s="31" t="s">
        <v>111</v>
      </c>
      <c r="G15" s="31">
        <v>-20.378430999999999</v>
      </c>
      <c r="H15" s="31">
        <v>-40.436647000000001</v>
      </c>
      <c r="I15" s="31">
        <v>3.18</v>
      </c>
      <c r="J15" s="40">
        <f t="shared" si="0"/>
        <v>10.433071200000001</v>
      </c>
      <c r="K15" s="44">
        <v>10.4</v>
      </c>
      <c r="L15" s="40">
        <f t="shared" si="1"/>
        <v>34.120736000000001</v>
      </c>
      <c r="M15" s="31">
        <v>10.9</v>
      </c>
      <c r="N15" s="40">
        <f t="shared" si="2"/>
        <v>35.761156</v>
      </c>
      <c r="O15" s="40">
        <f>N15-L15</f>
        <v>1.6404199999999989</v>
      </c>
      <c r="P15" s="31">
        <v>10.1</v>
      </c>
      <c r="Q15" s="40">
        <f t="shared" si="3"/>
        <v>33.136483999999996</v>
      </c>
      <c r="R15" s="40">
        <v>10</v>
      </c>
      <c r="S15" s="40">
        <f t="shared" si="4"/>
        <v>32.808399999999999</v>
      </c>
      <c r="T15" s="46">
        <v>82.6</v>
      </c>
      <c r="U15" s="29">
        <f t="shared" si="5"/>
        <v>2916.99422</v>
      </c>
      <c r="V15" s="31">
        <v>80</v>
      </c>
      <c r="W15" s="29">
        <f t="shared" si="6"/>
        <v>21133.760000000002</v>
      </c>
      <c r="X15" s="29"/>
      <c r="Y15" s="31">
        <v>310</v>
      </c>
      <c r="Z15" s="29">
        <f t="shared" si="8"/>
        <v>2619.5</v>
      </c>
      <c r="AA15" s="29">
        <f>(5.614*Z15)/U15</f>
        <v>5.0414474252883501</v>
      </c>
      <c r="AB15" s="40">
        <v>0.12</v>
      </c>
      <c r="AC15" s="39">
        <f t="shared" si="9"/>
        <v>6.2135890410958905E-6</v>
      </c>
      <c r="AD15" s="39">
        <f t="shared" si="10"/>
        <v>5.4431039999999997E-5</v>
      </c>
    </row>
    <row r="16" spans="1:30" ht="15" customHeight="1" x14ac:dyDescent="0.25">
      <c r="A16" s="227" t="s">
        <v>78</v>
      </c>
      <c r="B16" s="227"/>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8"/>
      <c r="AB16" s="148">
        <f>SUM(AB10:AB15)</f>
        <v>45.9</v>
      </c>
      <c r="AC16" s="149">
        <f>SUM(AC10:AC15)</f>
        <v>2.3766978082191779E-3</v>
      </c>
      <c r="AD16" s="141">
        <f>SUM(AD10:AD15)</f>
        <v>2.08198728E-2</v>
      </c>
    </row>
    <row r="18" spans="1:51" ht="15" customHeight="1" x14ac:dyDescent="0.25">
      <c r="A18" s="229" t="s">
        <v>105</v>
      </c>
      <c r="B18" s="229"/>
      <c r="C18" s="229"/>
      <c r="D18" s="229"/>
      <c r="E18" s="229"/>
      <c r="F18" s="229"/>
      <c r="G18" s="229"/>
    </row>
    <row r="19" spans="1:51" ht="15" customHeight="1" x14ac:dyDescent="0.25">
      <c r="A19" s="230" t="s">
        <v>228</v>
      </c>
      <c r="B19" s="230"/>
      <c r="C19" s="230"/>
      <c r="D19" s="230"/>
      <c r="E19" s="230"/>
      <c r="F19" s="230"/>
      <c r="G19" s="142"/>
    </row>
    <row r="20" spans="1:51" ht="15" customHeight="1" x14ac:dyDescent="0.25">
      <c r="A20" s="230"/>
      <c r="B20" s="230"/>
      <c r="C20" s="230"/>
      <c r="D20" s="230"/>
      <c r="E20" s="230"/>
      <c r="F20" s="230"/>
      <c r="G20" s="142"/>
      <c r="K20" s="17"/>
    </row>
    <row r="21" spans="1:51" ht="15" customHeight="1" x14ac:dyDescent="0.25">
      <c r="A21" s="230"/>
      <c r="B21" s="230"/>
      <c r="C21" s="230"/>
      <c r="D21" s="230"/>
      <c r="E21" s="230"/>
      <c r="F21" s="230"/>
      <c r="G21" s="142"/>
      <c r="W21"/>
      <c r="X21"/>
      <c r="Y21"/>
      <c r="Z21"/>
      <c r="AA21"/>
      <c r="AB21"/>
      <c r="AC21"/>
      <c r="AD21"/>
      <c r="AE21"/>
      <c r="AF21"/>
      <c r="AG21"/>
      <c r="AH21"/>
      <c r="AI21"/>
      <c r="AJ21"/>
      <c r="AK21"/>
      <c r="AL21"/>
      <c r="AM21"/>
      <c r="AN21"/>
      <c r="AO21"/>
      <c r="AP21"/>
      <c r="AQ21"/>
      <c r="AR21"/>
      <c r="AS21"/>
      <c r="AT21"/>
      <c r="AU21"/>
      <c r="AV21"/>
      <c r="AW21"/>
      <c r="AX21"/>
      <c r="AY21"/>
    </row>
    <row r="22" spans="1:51" ht="15" customHeight="1" x14ac:dyDescent="0.25">
      <c r="A22" s="230"/>
      <c r="B22" s="230"/>
      <c r="C22" s="230"/>
      <c r="D22" s="230"/>
      <c r="E22" s="230"/>
      <c r="F22" s="230"/>
      <c r="G22" s="142"/>
    </row>
    <row r="23" spans="1:51" ht="15" customHeight="1" x14ac:dyDescent="0.25">
      <c r="A23" s="142"/>
      <c r="B23" s="142"/>
      <c r="C23" s="142"/>
      <c r="D23" s="142"/>
      <c r="E23" s="142"/>
      <c r="F23" s="142"/>
      <c r="G23" s="142"/>
    </row>
  </sheetData>
  <sheetProtection password="B056" sheet="1" objects="1" scenarios="1"/>
  <mergeCells count="3">
    <mergeCell ref="A16:AA16"/>
    <mergeCell ref="A18:G18"/>
    <mergeCell ref="A19:F22"/>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G9" sqref="G9"/>
    </sheetView>
  </sheetViews>
  <sheetFormatPr defaultRowHeight="15" x14ac:dyDescent="0.25"/>
  <cols>
    <col min="1" max="1" width="20" customWidth="1"/>
  </cols>
  <sheetData>
    <row r="1" spans="1:8" x14ac:dyDescent="0.25">
      <c r="A1" s="231" t="s">
        <v>39</v>
      </c>
      <c r="B1" s="233" t="s">
        <v>163</v>
      </c>
      <c r="C1" s="233"/>
      <c r="D1" s="233"/>
      <c r="E1" s="233"/>
      <c r="F1" s="233"/>
      <c r="G1" s="233"/>
      <c r="H1" s="233"/>
    </row>
    <row r="2" spans="1:8" x14ac:dyDescent="0.25">
      <c r="A2" s="232"/>
      <c r="B2" s="65" t="s">
        <v>156</v>
      </c>
      <c r="C2" s="65" t="s">
        <v>157</v>
      </c>
      <c r="D2" s="65" t="s">
        <v>164</v>
      </c>
      <c r="E2" s="65" t="s">
        <v>159</v>
      </c>
      <c r="F2" s="65" t="s">
        <v>160</v>
      </c>
      <c r="G2" s="65" t="s">
        <v>144</v>
      </c>
      <c r="H2" s="65" t="s">
        <v>233</v>
      </c>
    </row>
    <row r="3" spans="1:8" x14ac:dyDescent="0.25">
      <c r="A3" s="66" t="s">
        <v>165</v>
      </c>
      <c r="B3" s="49">
        <f>'Emissão Chaminés'!T31</f>
        <v>39.670690714049115</v>
      </c>
      <c r="C3" s="49">
        <f>'Emissão Chaminés'!U31</f>
        <v>32.613064245552572</v>
      </c>
      <c r="D3" s="49">
        <f>'Emissão Chaminés'!V31</f>
        <v>31.495277769394512</v>
      </c>
      <c r="E3" s="49">
        <f>'Emissão Chaminés'!W31</f>
        <v>950.44930650291485</v>
      </c>
      <c r="F3" s="49">
        <f>'Emissão Chaminés'!X31</f>
        <v>285.08565528748335</v>
      </c>
      <c r="G3" s="49">
        <f>'Emissão Chaminés'!Y31</f>
        <v>235.74515567238288</v>
      </c>
      <c r="H3" s="49">
        <f>'Emissão Chaminés'!Z31</f>
        <v>27.498600840294039</v>
      </c>
    </row>
    <row r="4" spans="1:8" x14ac:dyDescent="0.25">
      <c r="A4" s="67" t="s">
        <v>166</v>
      </c>
      <c r="B4" s="49" t="s">
        <v>6</v>
      </c>
      <c r="C4" s="49" t="s">
        <v>6</v>
      </c>
      <c r="D4" s="49" t="s">
        <v>6</v>
      </c>
      <c r="E4" s="49" t="s">
        <v>6</v>
      </c>
      <c r="F4" s="49" t="s">
        <v>6</v>
      </c>
      <c r="G4" s="49" t="s">
        <v>6</v>
      </c>
      <c r="H4" s="69">
        <f>'Emissão Tanques'!AC16</f>
        <v>2.3766978082191779E-3</v>
      </c>
    </row>
    <row r="5" spans="1:8" x14ac:dyDescent="0.25">
      <c r="A5" s="143" t="s">
        <v>78</v>
      </c>
      <c r="B5" s="143">
        <f t="shared" ref="B5:G5" si="0">SUM(B3:B4)</f>
        <v>39.670690714049115</v>
      </c>
      <c r="C5" s="143">
        <f t="shared" si="0"/>
        <v>32.613064245552572</v>
      </c>
      <c r="D5" s="143">
        <f t="shared" si="0"/>
        <v>31.495277769394512</v>
      </c>
      <c r="E5" s="143">
        <f t="shared" si="0"/>
        <v>950.44930650291485</v>
      </c>
      <c r="F5" s="143">
        <f t="shared" si="0"/>
        <v>285.08565528748335</v>
      </c>
      <c r="G5" s="143">
        <f t="shared" si="0"/>
        <v>235.74515567238288</v>
      </c>
      <c r="H5" s="143">
        <f>SUM(H3:H4)</f>
        <v>27.500977538102259</v>
      </c>
    </row>
    <row r="6" spans="1:8" x14ac:dyDescent="0.25">
      <c r="A6" s="1"/>
      <c r="B6" s="1"/>
      <c r="C6" s="1"/>
      <c r="D6" s="1"/>
      <c r="E6" s="1"/>
      <c r="F6" s="1"/>
      <c r="G6" s="1"/>
      <c r="H6" s="1"/>
    </row>
    <row r="7" spans="1:8" x14ac:dyDescent="0.25">
      <c r="A7" s="1"/>
      <c r="B7" s="1"/>
      <c r="C7" s="1"/>
      <c r="D7" s="1"/>
      <c r="E7" s="1"/>
      <c r="F7" s="1"/>
      <c r="G7" s="1"/>
      <c r="H7" s="1"/>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Resumo-2015</vt:lpstr>
      <vt:lpstr>ppm to mg.m-3</vt:lpstr>
      <vt:lpstr>FE-Combustão</vt:lpstr>
      <vt:lpstr>Monitoramento_Cham. Geradores </vt:lpstr>
      <vt:lpstr>Emissão Chaminés</vt:lpstr>
      <vt:lpstr>Emissão Tanques</vt:lpstr>
      <vt:lpstr>Resumo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Alinie Rossi dos Santos</dc:creator>
  <cp:lastModifiedBy>Vanessa Brusco Filete</cp:lastModifiedBy>
  <dcterms:created xsi:type="dcterms:W3CDTF">2015-12-29T17:17:04Z</dcterms:created>
  <dcterms:modified xsi:type="dcterms:W3CDTF">2019-06-06T19:59:26Z</dcterms:modified>
</cp:coreProperties>
</file>