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EstaPasta_de_trabalho" defaultThemeVersion="153222"/>
  <mc:AlternateContent xmlns:mc="http://schemas.openxmlformats.org/markup-compatibility/2006">
    <mc:Choice Requires="x15">
      <x15ac:absPath xmlns:x15ac="http://schemas.microsoft.com/office/spreadsheetml/2010/11/ac" url="N:\Clientes\PRJ1301096-Estudo QAr RGV\02-Inventário\Memorial de Cálculo\2 Memorial_IEMA_R1\Topmix\"/>
    </mc:Choice>
  </mc:AlternateContent>
  <bookViews>
    <workbookView xWindow="0" yWindow="0" windowWidth="24000" windowHeight="9135" tabRatio="911" activeTab="7"/>
  </bookViews>
  <sheets>
    <sheet name="FE-Transferências" sheetId="26" r:id="rId1"/>
    <sheet name="FE-Maq e Equip" sheetId="23" r:id="rId2"/>
    <sheet name="Dados" sheetId="9" r:id="rId3"/>
    <sheet name="Emissão Maq e Equip" sheetId="24" r:id="rId4"/>
    <sheet name="Emissão Saída do Filtro " sheetId="32" r:id="rId5"/>
    <sheet name="Emissão Transferências" sheetId="27" r:id="rId6"/>
    <sheet name="Emissão Vias" sheetId="33" r:id="rId7"/>
    <sheet name="Resumo" sheetId="28" r:id="rId8"/>
    <sheet name="ppm to mg.m-3" sheetId="6" state="hidden" r:id="rId9"/>
  </sheets>
  <externalReferences>
    <externalReference r:id="rId10"/>
  </externalReferences>
  <definedNames>
    <definedName name="FE_Maq_Equip" localSheetId="6">'[1]FE - Maq e Equip'!$B$4:$I$11</definedName>
    <definedName name="FE_Maq_Equip">'FE-Maq e Equip'!$B$4:$I$13</definedName>
    <definedName name="Pot_Equip" localSheetId="6">'[1]FE - Maq e Equip'!$B$4:$B$11</definedName>
    <definedName name="Pot_Equip">'FE-Maq e Equip'!$B$4:$B$13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1" i="9" l="1"/>
  <c r="E5" i="32" s="1"/>
  <c r="F5" i="32" s="1"/>
  <c r="I5" i="24" l="1"/>
  <c r="J5" i="24"/>
  <c r="K5" i="24"/>
  <c r="L5" i="24"/>
  <c r="H5" i="24"/>
  <c r="H5" i="32" l="1"/>
  <c r="J5" i="32" l="1"/>
  <c r="J6" i="32" s="1"/>
  <c r="D6" i="28" s="1"/>
  <c r="I5" i="32"/>
  <c r="H6" i="32" l="1"/>
  <c r="B6" i="28" s="1"/>
  <c r="I6" i="32"/>
  <c r="C6" i="28" s="1"/>
  <c r="C16" i="27" l="1"/>
  <c r="C14" i="27"/>
  <c r="C12" i="27"/>
  <c r="K12" i="27" s="1"/>
  <c r="L13" i="27" l="1"/>
  <c r="L14" i="27"/>
  <c r="L15" i="27"/>
  <c r="L16" i="27"/>
  <c r="L17" i="27"/>
  <c r="L12" i="27"/>
  <c r="K13" i="27"/>
  <c r="K14" i="27"/>
  <c r="K15" i="27"/>
  <c r="K16" i="27"/>
  <c r="K17" i="27"/>
  <c r="J13" i="27"/>
  <c r="J14" i="27"/>
  <c r="J15" i="27"/>
  <c r="J16" i="27"/>
  <c r="J17" i="27"/>
  <c r="J12" i="27"/>
  <c r="B1" i="27"/>
  <c r="H16" i="26" l="1"/>
  <c r="B2" i="27" s="1"/>
  <c r="H15" i="26"/>
  <c r="B3" i="27" s="1"/>
  <c r="G5" i="24" l="1"/>
  <c r="F5" i="24"/>
  <c r="B5" i="24"/>
  <c r="A5" i="24"/>
  <c r="N6" i="9"/>
  <c r="N7" i="9"/>
  <c r="N8" i="9"/>
  <c r="N9" i="9"/>
  <c r="N10" i="9"/>
  <c r="B4" i="27" l="1"/>
  <c r="B5" i="27"/>
  <c r="F13" i="27" s="1"/>
  <c r="N13" i="27" s="1"/>
  <c r="F12" i="27"/>
  <c r="N11" i="9"/>
  <c r="S5" i="24"/>
  <c r="S6" i="24" s="1"/>
  <c r="H4" i="28" s="1"/>
  <c r="H7" i="28" s="1"/>
  <c r="P5" i="24"/>
  <c r="P6" i="24" s="1"/>
  <c r="E4" i="28" s="1"/>
  <c r="E7" i="28" s="1"/>
  <c r="R5" i="24"/>
  <c r="R6" i="24" s="1"/>
  <c r="G4" i="28" s="1"/>
  <c r="G7" i="28" s="1"/>
  <c r="M5" i="24"/>
  <c r="M6" i="24" s="1"/>
  <c r="B4" i="28" s="1"/>
  <c r="Q5" i="24"/>
  <c r="Q6" i="24" s="1"/>
  <c r="F4" i="28" s="1"/>
  <c r="F7" i="28" s="1"/>
  <c r="O13" i="27" l="1"/>
  <c r="M13" i="27"/>
  <c r="F15" i="27"/>
  <c r="F17" i="27" s="1"/>
  <c r="O12" i="27"/>
  <c r="F14" i="27"/>
  <c r="M12" i="27"/>
  <c r="N12" i="27"/>
  <c r="N5" i="24"/>
  <c r="N6" i="24" s="1"/>
  <c r="C4" i="28" s="1"/>
  <c r="O5" i="24"/>
  <c r="O6" i="24" s="1"/>
  <c r="D4" i="28" s="1"/>
  <c r="F13" i="6"/>
  <c r="N15" i="27" l="1"/>
  <c r="M15" i="27"/>
  <c r="O15" i="27"/>
  <c r="M17" i="27"/>
  <c r="N17" i="27"/>
  <c r="O17" i="27"/>
  <c r="F16" i="27"/>
  <c r="M14" i="27"/>
  <c r="O14" i="27"/>
  <c r="N14" i="27"/>
  <c r="F21" i="6"/>
  <c r="F20" i="6"/>
  <c r="F14" i="6"/>
  <c r="F18" i="6"/>
  <c r="F17" i="6"/>
  <c r="F15" i="6"/>
  <c r="F16" i="6"/>
  <c r="F19" i="6"/>
  <c r="O16" i="27" l="1"/>
  <c r="O18" i="27" s="1"/>
  <c r="D3" i="28" s="1"/>
  <c r="D7" i="28" s="1"/>
  <c r="N16" i="27"/>
  <c r="N18" i="27" s="1"/>
  <c r="C3" i="28" s="1"/>
  <c r="C7" i="28" s="1"/>
  <c r="M16" i="27"/>
  <c r="M18" i="27" s="1"/>
  <c r="B3" i="28" s="1"/>
  <c r="B7" i="28" s="1"/>
  <c r="G17" i="6"/>
  <c r="H17" i="6" s="1"/>
  <c r="J17" i="6" s="1"/>
  <c r="G13" i="6"/>
  <c r="H13" i="6" s="1"/>
  <c r="J13" i="6" s="1"/>
  <c r="G20" i="6"/>
  <c r="H20" i="6" s="1"/>
  <c r="J20" i="6" s="1"/>
  <c r="G18" i="6"/>
  <c r="H18" i="6" s="1"/>
  <c r="J18" i="6" s="1"/>
  <c r="G16" i="6"/>
  <c r="H16" i="6" s="1"/>
  <c r="J16" i="6" s="1"/>
  <c r="G15" i="6"/>
  <c r="H15" i="6" s="1"/>
  <c r="J15" i="6" s="1"/>
  <c r="G14" i="6"/>
  <c r="H14" i="6" s="1"/>
  <c r="J14" i="6" s="1"/>
  <c r="G21" i="6"/>
  <c r="H21" i="6" s="1"/>
  <c r="J21" i="6" s="1"/>
  <c r="G19" i="6"/>
  <c r="H19" i="6" s="1"/>
  <c r="J19" i="6" s="1"/>
</calcChain>
</file>

<file path=xl/comments1.xml><?xml version="1.0" encoding="utf-8"?>
<comments xmlns="http://schemas.openxmlformats.org/spreadsheetml/2006/main">
  <authors>
    <author>Andrielly Moutinho Knupp</author>
    <author>Gabriel Aarão Gonçalves</author>
  </authors>
  <commentList>
    <comment ref="A6" authorId="0" shapeId="0">
      <text>
        <r>
          <rPr>
            <b/>
            <sz val="9"/>
            <color indexed="81"/>
            <rFont val="Segoe UI"/>
            <family val="2"/>
          </rPr>
          <t>Rating A</t>
        </r>
        <r>
          <rPr>
            <sz val="9"/>
            <color indexed="81"/>
            <rFont val="Segoe UI"/>
            <family val="2"/>
          </rPr>
          <t xml:space="preserve">
</t>
        </r>
      </text>
    </comment>
    <comment ref="H15" authorId="1" shapeId="0">
      <text>
        <r>
          <rPr>
            <sz val="9"/>
            <color indexed="81"/>
            <rFont val="Segoe UI"/>
            <family val="2"/>
          </rPr>
          <t xml:space="preserve">Fonte: https://repositorio.unesp.br/bitstream/handle/11449/90740/menossi_rt_me_ilha.pdf?sequence
</t>
        </r>
      </text>
    </comment>
    <comment ref="H16" authorId="1" shapeId="0">
      <text>
        <r>
          <rPr>
            <sz val="9"/>
            <color indexed="81"/>
            <rFont val="Segoe UI"/>
            <family val="2"/>
          </rPr>
          <t>Fonte: https://repositorio.unesp.br/bitstream/handle/11449/90740/menossi_rt_me_ilha.pdf?sequence</t>
        </r>
      </text>
    </comment>
    <comment ref="H17" authorId="1" shapeId="0">
      <text>
        <r>
          <rPr>
            <sz val="9"/>
            <color indexed="81"/>
            <rFont val="Segoe UI"/>
            <family val="2"/>
          </rPr>
          <t xml:space="preserve">Densidade obtida na tese: https://repositorio.ufsc.br/xmlui/handle/123456789/135251
</t>
        </r>
      </text>
    </comment>
  </commentList>
</comments>
</file>

<file path=xl/comments2.xml><?xml version="1.0" encoding="utf-8"?>
<comments xmlns="http://schemas.openxmlformats.org/spreadsheetml/2006/main">
  <authors>
    <author>Gabriel Aarão Gonçalves</author>
  </authors>
  <commentList>
    <comment ref="A4" authorId="0" shapeId="0">
      <text>
        <r>
          <rPr>
            <sz val="9"/>
            <color indexed="81"/>
            <rFont val="Segoe UI"/>
            <family val="2"/>
          </rPr>
          <t>Ano 2014</t>
        </r>
      </text>
    </comment>
    <comment ref="A12" authorId="0" shapeId="0">
      <text>
        <r>
          <rPr>
            <sz val="9"/>
            <color indexed="81"/>
            <rFont val="Segoe UI"/>
            <family val="2"/>
          </rPr>
          <t xml:space="preserve">Ano 2007
</t>
        </r>
      </text>
    </comment>
  </commentList>
</comments>
</file>

<file path=xl/comments3.xml><?xml version="1.0" encoding="utf-8"?>
<comments xmlns="http://schemas.openxmlformats.org/spreadsheetml/2006/main">
  <authors>
    <author>Gabriel Aarão Gonçalves</author>
  </authors>
  <commentList>
    <comment ref="H14" authorId="0" shapeId="0">
      <text>
        <r>
          <rPr>
            <sz val="9"/>
            <color indexed="81"/>
            <rFont val="Segoe UI"/>
            <family val="2"/>
          </rPr>
          <t xml:space="preserve">Horas trabalhadas não informada pela empresa. Portanto, foi considerado que as horas trabalhadas são equivalente ao período de funcionamento da empresa (8 horas)
</t>
        </r>
      </text>
    </comment>
    <comment ref="A34" authorId="0" shapeId="0">
      <text>
        <r>
          <rPr>
            <sz val="9"/>
            <color indexed="81"/>
            <rFont val="Segoe UI"/>
            <family val="2"/>
          </rPr>
          <t>Temperatura de trabalho não fornecida pela empresa. Portanto, foi considerado o valor de 35ºC, temperatura média de trabalho do filtro de mangas da empresa Granito Concreto Vila Velha, que utiliza o filtro de mangas com a mesma finalidade que a Topmix</t>
        </r>
        <r>
          <rPr>
            <sz val="9"/>
            <color indexed="81"/>
            <rFont val="Segoe UI"/>
            <family val="2"/>
          </rPr>
          <t xml:space="preserve">
</t>
        </r>
      </text>
    </comment>
  </commentList>
</comments>
</file>

<file path=xl/comments4.xml><?xml version="1.0" encoding="utf-8"?>
<comments xmlns="http://schemas.openxmlformats.org/spreadsheetml/2006/main">
  <authors>
    <author>Gabriel Aarão Gonçalves</author>
    <author>Andrielly Moutinho Knupp</author>
  </authors>
  <commentList>
    <comment ref="G3" authorId="0" shapeId="0">
      <text>
        <r>
          <rPr>
            <sz val="9"/>
            <color indexed="81"/>
            <rFont val="Segoe UI"/>
            <family val="2"/>
          </rPr>
          <t>Horas trabalhadas não informada pela empresa. Portanto, foi considerado que as horas trabalhadas são equivalente ao período de funcionamento da empresa (8 horas)</t>
        </r>
      </text>
    </comment>
    <comment ref="J4" authorId="1" shapeId="0">
      <text>
        <r>
          <rPr>
            <sz val="9"/>
            <color indexed="81"/>
            <rFont val="Segoe UI"/>
            <family val="2"/>
          </rPr>
          <t>Devido à inexistência de fator para SO2, foi considerado fator de SOx para SO2.</t>
        </r>
      </text>
    </comment>
    <comment ref="L4" authorId="1" shapeId="0">
      <text>
        <r>
          <rPr>
            <sz val="9"/>
            <color indexed="81"/>
            <rFont val="Segoe UI"/>
            <family val="2"/>
          </rPr>
          <t>Devido à inexistência de fator para COV, foi considerado o fator de emissão de ROG. Pois, a maioria dos componentes de ROG são COV (https://www.arb.ca.gov/ei/speciate/voc_rog_dfn_1_09.pdf).</t>
        </r>
      </text>
    </comment>
    <comment ref="N4" authorId="1" shapeId="0">
      <text>
        <r>
          <rPr>
            <sz val="9"/>
            <color indexed="81"/>
            <rFont val="Segoe UI"/>
            <family val="2"/>
          </rPr>
          <t>Devido à inexistência de fator para PM10, foi considerado PM10 = PM.</t>
        </r>
      </text>
    </comment>
    <comment ref="O4" authorId="1" shapeId="0">
      <text>
        <r>
          <rPr>
            <sz val="9"/>
            <color indexed="81"/>
            <rFont val="Segoe UI"/>
            <family val="2"/>
          </rPr>
          <t>Devido à inexistência de fator para PM2.5, foi considerado PM2.5 = PM.</t>
        </r>
      </text>
    </comment>
    <comment ref="Q4" authorId="1" shapeId="0">
      <text>
        <r>
          <rPr>
            <sz val="9"/>
            <color indexed="81"/>
            <rFont val="Segoe UI"/>
            <family val="2"/>
          </rPr>
          <t>Devido à inexistência de fator para SO2, foi considerado fator de SOx para SO2.</t>
        </r>
      </text>
    </comment>
    <comment ref="S4" authorId="1" shapeId="0">
      <text>
        <r>
          <rPr>
            <sz val="9"/>
            <color indexed="81"/>
            <rFont val="Segoe UI"/>
            <family val="2"/>
          </rPr>
          <t>Devido à inexistência de fator para COV, foi considerado o fator de emissão de ROG. Pois, a maioria dos componentes de ROG são COV (https://www.arb.ca.gov/ei/speciate/voc_rog_dfn_1_09.pdf).</t>
        </r>
      </text>
    </comment>
  </commentList>
</comments>
</file>

<file path=xl/comments5.xml><?xml version="1.0" encoding="utf-8"?>
<comments xmlns="http://schemas.openxmlformats.org/spreadsheetml/2006/main">
  <authors>
    <author>Gabriel Aarão Gonçalves</author>
  </authors>
  <commentList>
    <comment ref="I4" authorId="0" shapeId="0">
      <text>
        <r>
          <rPr>
            <sz val="9"/>
            <color indexed="81"/>
            <rFont val="Segoe UI"/>
            <family val="2"/>
          </rPr>
          <t xml:space="preserve">Devido a ausência de informações, a taxa de emissão para o PM10 foi relacionada com a distribuição de tamanho de partículas, de acordo com o Apêndice B.2 da AP-42. 
Fonte: AP-42 (1986) - GENERALIZED PARTICLE SIZE DISTRIBUTIONS: https://www3.epa.gov/ttn/chief/ap42/appendix/appb-2.pdf
</t>
        </r>
      </text>
    </comment>
    <comment ref="J4" authorId="0" shapeId="0">
      <text>
        <r>
          <rPr>
            <sz val="9"/>
            <color indexed="81"/>
            <rFont val="Segoe UI"/>
            <family val="2"/>
          </rPr>
          <t xml:space="preserve">Devido a ausência de informações, a taxa de emissão para o PM2,5 foi relacionada com a distribuição de tamanho de partículas, de acordo com o Apêndice B.2 da AP-42. 
Fonte: AP-42 (1986) - GENERALIZED PARTICLE SIZE DISTRIBUTIONS: https://www3.epa.gov/ttn/chief/ap42/appendix/appb-2.pdf
</t>
        </r>
      </text>
    </comment>
    <comment ref="A5" authorId="0" shapeId="0">
      <text>
        <r>
          <rPr>
            <sz val="9"/>
            <color indexed="81"/>
            <rFont val="Segoe UI"/>
            <family val="2"/>
          </rPr>
          <t xml:space="preserve">Não há chaminé no filtro de mangas
</t>
        </r>
      </text>
    </comment>
    <comment ref="B5" authorId="0" shapeId="0">
      <text>
        <r>
          <rPr>
            <sz val="9"/>
            <color indexed="81"/>
            <rFont val="Segoe UI"/>
            <family val="2"/>
          </rPr>
          <t xml:space="preserve">Ausência da coordenada do local. Portanto, foi considerada a média da coordenada da latitude dos silos.  </t>
        </r>
      </text>
    </comment>
    <comment ref="C5" authorId="0" shapeId="0">
      <text>
        <r>
          <rPr>
            <sz val="9"/>
            <color indexed="81"/>
            <rFont val="Segoe UI"/>
            <family val="2"/>
          </rPr>
          <t xml:space="preserve">Ausência da coordenada do local. Portanto, foi considerada a média da coordenada da latitude dos silos.  
</t>
        </r>
      </text>
    </comment>
    <comment ref="E5" authorId="0" shapeId="0">
      <text>
        <r>
          <rPr>
            <sz val="9"/>
            <color indexed="81"/>
            <rFont val="Segoe UI"/>
            <family val="2"/>
          </rPr>
          <t xml:space="preserve">Informação da vazão do filtro de mangas não fornecida pelo empreendimento. Portanto, foi considerado o valor médio da capacidade volumétrica do filtro de mangas dos empreendimento que produzem concreto, pois tais empreendimentos utilizam o filtro de mangas para a mesma finalidade que a Topmix
</t>
        </r>
      </text>
    </comment>
    <comment ref="G5" authorId="0" shapeId="0">
      <text>
        <r>
          <rPr>
            <sz val="9"/>
            <color indexed="81"/>
            <rFont val="Segoe UI"/>
            <family val="2"/>
          </rPr>
          <t xml:space="preserve">A concentração típica de saída do filtro de mangas é menor que 50mg/Nm³. Portanto, considerou-se o valor de 50mg/Nm³.
Fonte: USEPA - https://www3.epa.gov/ttn/catc/cica/files/ff-pulse.pdf
</t>
        </r>
      </text>
    </comment>
  </commentList>
</comments>
</file>

<file path=xl/comments6.xml><?xml version="1.0" encoding="utf-8"?>
<comments xmlns="http://schemas.openxmlformats.org/spreadsheetml/2006/main">
  <authors>
    <author>Gabriel Aarão Gonçalves</author>
  </authors>
  <commentList>
    <comment ref="A6" authorId="0" shapeId="0">
      <text>
        <r>
          <rPr>
            <sz val="9"/>
            <color indexed="81"/>
            <rFont val="Segoe UI"/>
            <family val="2"/>
          </rPr>
          <t xml:space="preserve">Velocidade média do ano de 2015 da Estação Aeroporto
</t>
        </r>
      </text>
    </comment>
    <comment ref="C12" authorId="0" shapeId="0">
      <text>
        <r>
          <rPr>
            <sz val="9"/>
            <color indexed="81"/>
            <rFont val="Segoe UI"/>
            <family val="2"/>
          </rPr>
          <t xml:space="preserve">Foi considerado a umidade da mistura de areia e do pó de FGP equivalente a umidade da areia
</t>
        </r>
      </text>
    </comment>
    <comment ref="G12" authorId="0" shapeId="0">
      <text>
        <r>
          <rPr>
            <sz val="9"/>
            <color indexed="81"/>
            <rFont val="Segoe UI"/>
            <family val="2"/>
          </rPr>
          <t>Foiu considerada as coordenadas centrais</t>
        </r>
      </text>
    </comment>
    <comment ref="H12" authorId="0" shapeId="0">
      <text>
        <r>
          <rPr>
            <sz val="9"/>
            <color indexed="81"/>
            <rFont val="Segoe UI"/>
            <family val="2"/>
          </rPr>
          <t>Foiu considerada as coordenadas centrais</t>
        </r>
      </text>
    </comment>
    <comment ref="I12" authorId="0" shapeId="0">
      <text>
        <r>
          <rPr>
            <sz val="9"/>
            <color indexed="81"/>
            <rFont val="Segoe UI"/>
            <family val="2"/>
          </rPr>
          <t xml:space="preserve">Considerado um valor médio </t>
        </r>
        <r>
          <rPr>
            <sz val="9"/>
            <color indexed="81"/>
            <rFont val="Segoe UI"/>
            <family val="2"/>
          </rPr>
          <t xml:space="preserve">
</t>
        </r>
      </text>
    </comment>
    <comment ref="C13" authorId="0" shapeId="0">
      <text>
        <r>
          <rPr>
            <sz val="9"/>
            <color indexed="81"/>
            <rFont val="Segoe UI"/>
            <family val="2"/>
          </rPr>
          <t xml:space="preserve">USEPA (2003) Background Information for Revised AP-42 Section 11.19.2, Crushed Stone Processing
and Pulverized Mineral Processing:
The targeted moisture contents of the raw material (granite) during the uncontrolled  runs were &lt;1.5 percent. Assim, foi considerado o teor de umidade de 1%.
</t>
        </r>
      </text>
    </comment>
    <comment ref="I13" authorId="0" shapeId="0">
      <text>
        <r>
          <rPr>
            <sz val="9"/>
            <color indexed="81"/>
            <rFont val="Segoe UI"/>
            <family val="2"/>
          </rPr>
          <t xml:space="preserve">Considerado um valor médio </t>
        </r>
        <r>
          <rPr>
            <sz val="9"/>
            <color indexed="81"/>
            <rFont val="Segoe UI"/>
            <family val="2"/>
          </rPr>
          <t xml:space="preserve">
</t>
        </r>
      </text>
    </comment>
    <comment ref="C14" authorId="0" shapeId="0">
      <text>
        <r>
          <rPr>
            <sz val="9"/>
            <color indexed="81"/>
            <rFont val="Segoe UI"/>
            <family val="2"/>
          </rPr>
          <t xml:space="preserve">Foi considerado a umidade da mistura de areia e do pó de FGP equivalente a umidade da areia
</t>
        </r>
      </text>
    </comment>
    <comment ref="E14" authorId="0" shapeId="0">
      <text>
        <r>
          <rPr>
            <sz val="9"/>
            <color indexed="81"/>
            <rFont val="Segoe UI"/>
            <family val="2"/>
          </rPr>
          <t>Valor observado no
WRAP (2006)</t>
        </r>
        <r>
          <rPr>
            <sz val="9"/>
            <color indexed="81"/>
            <rFont val="Segoe UI"/>
            <family val="2"/>
          </rPr>
          <t xml:space="preserve">
</t>
        </r>
      </text>
    </comment>
    <comment ref="I14" authorId="0" shapeId="0">
      <text>
        <r>
          <rPr>
            <sz val="9"/>
            <color indexed="81"/>
            <rFont val="Segoe UI"/>
            <family val="2"/>
          </rPr>
          <t xml:space="preserve">Considerado um valor médio 
</t>
        </r>
      </text>
    </comment>
    <comment ref="C15" authorId="0" shapeId="0">
      <text>
        <r>
          <rPr>
            <sz val="9"/>
            <color indexed="81"/>
            <rFont val="Segoe UI"/>
            <family val="2"/>
          </rPr>
          <t xml:space="preserve">USEPA (2003) Background Information for Revised AP-42 Section 11.19.2, Crushed Stone Processing
and Pulverized Mineral Processing:
The targeted moisture contents of the raw material (granite) during the uncontrolled  runs were &lt;1.5 percent. Assim, foi considerado o teor de umidade de 1%.
</t>
        </r>
      </text>
    </comment>
    <comment ref="E15" authorId="0" shapeId="0">
      <text>
        <r>
          <rPr>
            <sz val="9"/>
            <color indexed="81"/>
            <rFont val="Segoe UI"/>
            <family val="2"/>
          </rPr>
          <t>Valor observado no
WRAP (2006)</t>
        </r>
        <r>
          <rPr>
            <sz val="9"/>
            <color indexed="81"/>
            <rFont val="Segoe UI"/>
            <family val="2"/>
          </rPr>
          <t xml:space="preserve">
</t>
        </r>
      </text>
    </comment>
    <comment ref="I15" authorId="0" shapeId="0">
      <text>
        <r>
          <rPr>
            <sz val="9"/>
            <color indexed="81"/>
            <rFont val="Segoe UI"/>
            <family val="2"/>
          </rPr>
          <t xml:space="preserve">Considerado um valor médio 
</t>
        </r>
      </text>
    </comment>
    <comment ref="C16" authorId="0" shapeId="0">
      <text>
        <r>
          <rPr>
            <sz val="9"/>
            <color indexed="81"/>
            <rFont val="Segoe UI"/>
            <family val="2"/>
          </rPr>
          <t xml:space="preserve">Foi considerado a umidade da mistura de areia e do pó de FGP equivalente a umidade da areia
</t>
        </r>
      </text>
    </comment>
    <comment ref="E16" authorId="0" shapeId="0">
      <text>
        <r>
          <rPr>
            <sz val="9"/>
            <color indexed="81"/>
            <rFont val="Segoe UI"/>
            <family val="2"/>
          </rPr>
          <t>Valor observado no
WRAP (2006)</t>
        </r>
        <r>
          <rPr>
            <sz val="9"/>
            <color indexed="81"/>
            <rFont val="Segoe UI"/>
            <family val="2"/>
          </rPr>
          <t xml:space="preserve">
</t>
        </r>
      </text>
    </comment>
    <comment ref="I16" authorId="0" shapeId="0">
      <text>
        <r>
          <rPr>
            <sz val="9"/>
            <color indexed="81"/>
            <rFont val="Segoe UI"/>
            <family val="2"/>
          </rPr>
          <t xml:space="preserve">Considerado um valor médio </t>
        </r>
        <r>
          <rPr>
            <sz val="9"/>
            <color indexed="81"/>
            <rFont val="Segoe UI"/>
            <family val="2"/>
          </rPr>
          <t xml:space="preserve">
</t>
        </r>
      </text>
    </comment>
    <comment ref="C17" authorId="0" shapeId="0">
      <text>
        <r>
          <rPr>
            <sz val="9"/>
            <color indexed="81"/>
            <rFont val="Segoe UI"/>
            <family val="2"/>
          </rPr>
          <t xml:space="preserve">USEPA (2003) Background Information for Revised AP-42 Section 11.19.2, Crushed Stone Processing
and Pulverized Mineral Processing:
The targeted moisture contents of the raw material (granite) during the uncontrolled  runs were &lt;1.5 percent. Assim, foi considerado o teor de umidade de 1%.
</t>
        </r>
      </text>
    </comment>
    <comment ref="E17" authorId="0" shapeId="0">
      <text>
        <r>
          <rPr>
            <sz val="9"/>
            <color indexed="81"/>
            <rFont val="Segoe UI"/>
            <family val="2"/>
          </rPr>
          <t>Valor observado no
WRAP (2006)</t>
        </r>
        <r>
          <rPr>
            <sz val="9"/>
            <color indexed="81"/>
            <rFont val="Segoe UI"/>
            <family val="2"/>
          </rPr>
          <t xml:space="preserve">
</t>
        </r>
      </text>
    </comment>
    <comment ref="I17" authorId="0" shapeId="0">
      <text>
        <r>
          <rPr>
            <sz val="9"/>
            <color indexed="81"/>
            <rFont val="Segoe UI"/>
            <family val="2"/>
          </rPr>
          <t xml:space="preserve">Considerado um valor médio </t>
        </r>
        <r>
          <rPr>
            <sz val="9"/>
            <color indexed="81"/>
            <rFont val="Segoe UI"/>
            <family val="2"/>
          </rPr>
          <t xml:space="preserve">
</t>
        </r>
      </text>
    </comment>
  </commentList>
</comments>
</file>

<file path=xl/sharedStrings.xml><?xml version="1.0" encoding="utf-8"?>
<sst xmlns="http://schemas.openxmlformats.org/spreadsheetml/2006/main" count="263" uniqueCount="197">
  <si>
    <t>Fonte Emissora</t>
  </si>
  <si>
    <t>Taxa de Emissão [kg/h]</t>
  </si>
  <si>
    <t>PM</t>
  </si>
  <si>
    <r>
      <t>PM</t>
    </r>
    <r>
      <rPr>
        <b/>
        <vertAlign val="subscript"/>
        <sz val="8"/>
        <color theme="0"/>
        <rFont val="Arial"/>
        <family val="2"/>
      </rPr>
      <t>10</t>
    </r>
  </si>
  <si>
    <t>CO</t>
  </si>
  <si>
    <r>
      <t>NO</t>
    </r>
    <r>
      <rPr>
        <b/>
        <vertAlign val="subscript"/>
        <sz val="8"/>
        <color theme="0"/>
        <rFont val="Arial"/>
        <family val="2"/>
      </rPr>
      <t>X</t>
    </r>
  </si>
  <si>
    <r>
      <t>SO</t>
    </r>
    <r>
      <rPr>
        <b/>
        <vertAlign val="subscript"/>
        <sz val="8"/>
        <color theme="0"/>
        <rFont val="Arial"/>
        <family val="2"/>
      </rPr>
      <t>2</t>
    </r>
  </si>
  <si>
    <t>Chaminé do Secador de Borra</t>
  </si>
  <si>
    <t>Chaminé do Silo de Borra Úmida</t>
  </si>
  <si>
    <t>Chaminé da Caldeira Bremmer</t>
  </si>
  <si>
    <t>Chaminé do Multiciclone da Torre I</t>
  </si>
  <si>
    <t>Chaminé do Multiciclone da Torre II</t>
  </si>
  <si>
    <t>Chaminé do Torrador I</t>
  </si>
  <si>
    <t>Chaminé do Torrador II</t>
  </si>
  <si>
    <t>Chaminé do Gerador I</t>
  </si>
  <si>
    <t>Chaminé do Gerador II</t>
  </si>
  <si>
    <t>Equação Geral:</t>
  </si>
  <si>
    <t>Conversão ppm para mg/m³:</t>
  </si>
  <si>
    <t>NO2</t>
  </si>
  <si>
    <t>NO</t>
  </si>
  <si>
    <t>O3</t>
  </si>
  <si>
    <t>H2S</t>
  </si>
  <si>
    <t>SO2</t>
  </si>
  <si>
    <t>HCl</t>
  </si>
  <si>
    <t>HF</t>
  </si>
  <si>
    <t>C3H8</t>
  </si>
  <si>
    <t>Benzeno</t>
  </si>
  <si>
    <t>CO2</t>
  </si>
  <si>
    <t>Concentração CO [ppm]</t>
  </si>
  <si>
    <t>Pressão [atm]</t>
  </si>
  <si>
    <t>Concentração CO [mg/m³]</t>
  </si>
  <si>
    <t xml:space="preserve">Temperatura [K] </t>
  </si>
  <si>
    <t xml:space="preserve">Temperatura [ºC] </t>
  </si>
  <si>
    <t>Fonte</t>
  </si>
  <si>
    <r>
      <t>Onde:
MW (g/mol) - massa molar
P (atm) - pressão do gás
P</t>
    </r>
    <r>
      <rPr>
        <vertAlign val="subscript"/>
        <sz val="8"/>
        <color theme="1"/>
        <rFont val="Arial"/>
        <family val="2"/>
      </rPr>
      <t>0</t>
    </r>
    <r>
      <rPr>
        <sz val="8"/>
        <color theme="1"/>
        <rFont val="Arial"/>
        <family val="2"/>
      </rPr>
      <t xml:space="preserve"> - 1 atm (CNTP)
T (K) - temperatura do gás 
T</t>
    </r>
    <r>
      <rPr>
        <vertAlign val="subscript"/>
        <sz val="8"/>
        <color theme="1"/>
        <rFont val="Arial"/>
        <family val="2"/>
      </rPr>
      <t>0</t>
    </r>
    <r>
      <rPr>
        <sz val="8"/>
        <color theme="1"/>
        <rFont val="Arial"/>
        <family val="2"/>
      </rPr>
      <t xml:space="preserve"> - 298,15 K (25 ºC) (CNTP) </t>
    </r>
  </si>
  <si>
    <t>Massa Molar - MW [g/mol]</t>
  </si>
  <si>
    <t>Total</t>
  </si>
  <si>
    <t>Quantidade</t>
  </si>
  <si>
    <t>Potência [hp]</t>
  </si>
  <si>
    <t>Equipamento [hp]</t>
  </si>
  <si>
    <t>Horas/dia</t>
  </si>
  <si>
    <r>
      <t>PM</t>
    </r>
    <r>
      <rPr>
        <b/>
        <vertAlign val="subscript"/>
        <sz val="8"/>
        <color theme="0"/>
        <rFont val="Arial"/>
        <family val="2"/>
      </rPr>
      <t>2.5</t>
    </r>
  </si>
  <si>
    <t xml:space="preserve">
</t>
  </si>
  <si>
    <t>Fonte: AQMD (2016) - http://www.aqmd.gov/home/regulations/ceqa/air-quality-analysis-handbook/off-road-mobile-source-emission-factors</t>
  </si>
  <si>
    <t>Equipment</t>
  </si>
  <si>
    <t>MaxHP</t>
  </si>
  <si>
    <t>PM [kg/h]</t>
  </si>
  <si>
    <r>
      <t>NO</t>
    </r>
    <r>
      <rPr>
        <vertAlign val="subscript"/>
        <sz val="8"/>
        <rFont val="Arial"/>
        <family val="2"/>
      </rPr>
      <t>X</t>
    </r>
    <r>
      <rPr>
        <sz val="8"/>
        <rFont val="Arial"/>
        <family val="2"/>
      </rPr>
      <t xml:space="preserve"> [kg/h]</t>
    </r>
  </si>
  <si>
    <r>
      <t>SO</t>
    </r>
    <r>
      <rPr>
        <vertAlign val="subscript"/>
        <sz val="8"/>
        <rFont val="Arial"/>
        <family val="2"/>
      </rPr>
      <t>X</t>
    </r>
    <r>
      <rPr>
        <sz val="8"/>
        <rFont val="Arial"/>
        <family val="2"/>
      </rPr>
      <t xml:space="preserve"> [kg/h]</t>
    </r>
  </si>
  <si>
    <t>CO [kg/h]</t>
  </si>
  <si>
    <t>ROG [kg/h]</t>
  </si>
  <si>
    <r>
      <t>CO</t>
    </r>
    <r>
      <rPr>
        <vertAlign val="subscript"/>
        <sz val="8"/>
        <rFont val="Arial"/>
        <family val="2"/>
      </rPr>
      <t xml:space="preserve">2 </t>
    </r>
    <r>
      <rPr>
        <sz val="8"/>
        <rFont val="Arial"/>
        <family val="2"/>
      </rPr>
      <t>[kg/h]</t>
    </r>
  </si>
  <si>
    <r>
      <t>CH</t>
    </r>
    <r>
      <rPr>
        <vertAlign val="subscript"/>
        <sz val="8"/>
        <rFont val="Arial"/>
        <family val="2"/>
      </rPr>
      <t>4</t>
    </r>
    <r>
      <rPr>
        <sz val="8"/>
        <rFont val="Arial"/>
        <family val="2"/>
      </rPr>
      <t xml:space="preserve"> [kg/h]</t>
    </r>
  </si>
  <si>
    <t>Rubber Tired Loaders
(Pá Carregadeira)</t>
  </si>
  <si>
    <t>Rubber Tired Loaders - 25</t>
  </si>
  <si>
    <t>Rubber Tired Loaders - 50</t>
  </si>
  <si>
    <t>Rubber Tired Loaders - 120</t>
  </si>
  <si>
    <t>Rubber Tired Loaders - 175</t>
  </si>
  <si>
    <t>Rubber Tired Loaders - 250</t>
  </si>
  <si>
    <t>Rubber Tired Loaders - 500</t>
  </si>
  <si>
    <t>Rubber Tired Loaders - 750</t>
  </si>
  <si>
    <t>Rubber Tired Loaders - 1000</t>
  </si>
  <si>
    <t>Conversão de kw para hp</t>
  </si>
  <si>
    <t>-</t>
  </si>
  <si>
    <t>Ano de fabricação considerado:</t>
  </si>
  <si>
    <t>Fonte: Informações enviadas pelo empreendimento através dos Ofícios IEMA N° 110/2017</t>
  </si>
  <si>
    <t>Areia Natural de rio (m³)</t>
  </si>
  <si>
    <t>Brita 0 de Gnaisse (m³)</t>
  </si>
  <si>
    <t>Brita 1 de Gnaisse (m³)</t>
  </si>
  <si>
    <t xml:space="preserve">Janeiro </t>
  </si>
  <si>
    <t>Fevereiro</t>
  </si>
  <si>
    <t>Março</t>
  </si>
  <si>
    <t>Abril</t>
  </si>
  <si>
    <t>Maio</t>
  </si>
  <si>
    <t>Junho</t>
  </si>
  <si>
    <t>Julho</t>
  </si>
  <si>
    <t>Agosto</t>
  </si>
  <si>
    <t>Setembro</t>
  </si>
  <si>
    <t>Outubro</t>
  </si>
  <si>
    <t>Novembro</t>
  </si>
  <si>
    <t>Dezembro</t>
  </si>
  <si>
    <t>Areia Natural Leide Monte (m³)</t>
  </si>
  <si>
    <t>Pó de FGD (kg)</t>
  </si>
  <si>
    <t>Entrada de Materiais (2015) - Serra</t>
  </si>
  <si>
    <t>Mês</t>
  </si>
  <si>
    <t>Medidas de controle</t>
  </si>
  <si>
    <t>Enclausuramento do sistema de carregamento e das correias de alimentação do silo de mistura</t>
  </si>
  <si>
    <t>Lavagem do pátio realizada duas vezes ao dia</t>
  </si>
  <si>
    <t>Funcionamento - Serra:  07 às 11 e 12 às 16 (horas):</t>
  </si>
  <si>
    <t>Filtro de mangas no silo</t>
  </si>
  <si>
    <t>Máquinas e Equipamentos</t>
  </si>
  <si>
    <t>Pá Carregadeira</t>
  </si>
  <si>
    <t>Equipamento</t>
  </si>
  <si>
    <t>Modelo</t>
  </si>
  <si>
    <t>KOMATSU - WA200-5</t>
  </si>
  <si>
    <t>Ano</t>
  </si>
  <si>
    <t>Mod.</t>
  </si>
  <si>
    <t>Tráfego Interno</t>
  </si>
  <si>
    <t>X</t>
  </si>
  <si>
    <t>Potência (hp)</t>
  </si>
  <si>
    <t>Cement and Mortar Mixers
(Betoneira)</t>
  </si>
  <si>
    <t>Cement and Mortar Mixers - 15</t>
  </si>
  <si>
    <t>Cement and Mortar Mixers - 25</t>
  </si>
  <si>
    <t>Ver comentário na coluna Equipment</t>
  </si>
  <si>
    <t>Horas Trabalhadas (h/dia)</t>
  </si>
  <si>
    <t>Referências: AP-42 (USEPA, 2006) - https://www3.epa.gov/ttn/chief/ap42/ch13/final/c13s0204.pdf</t>
  </si>
  <si>
    <t>Aerodynamic Particle Size Multiplier (k) For Equation 1</t>
  </si>
  <si>
    <t xml:space="preserve">Table 13.2.4-1. TYPICAL SILT AND MOISTURE CONTENTS OF MATERIALS AT VARIOUS INDUSTRIES </t>
  </si>
  <si>
    <t xml:space="preserve">PM </t>
  </si>
  <si>
    <t>&lt; 30 µm</t>
  </si>
  <si>
    <t>&lt; 15 µm</t>
  </si>
  <si>
    <t>&lt; 10 µm</t>
  </si>
  <si>
    <t>&lt; 5 µm</t>
  </si>
  <si>
    <t>&lt; 2.5 µm</t>
  </si>
  <si>
    <t>Industry</t>
  </si>
  <si>
    <t>Material</t>
  </si>
  <si>
    <t>Silt Content (%)</t>
  </si>
  <si>
    <t>Moisture Content (%)</t>
  </si>
  <si>
    <t>Range</t>
  </si>
  <si>
    <t>Mean</t>
  </si>
  <si>
    <t>Slag</t>
  </si>
  <si>
    <t>Onde:
E - emissão
k - particle size multiplier (dimensionless)
U - mean wind speed, meters per second (m/s) (miles per hour [mph]) 
M - material moisture content (%)</t>
  </si>
  <si>
    <t>Municipal solid waste landfills</t>
  </si>
  <si>
    <t>Sand</t>
  </si>
  <si>
    <t>3,0 - 4,7</t>
  </si>
  <si>
    <t>2,3 - 4,9</t>
  </si>
  <si>
    <t>Cover</t>
  </si>
  <si>
    <t>5,0 - 16</t>
  </si>
  <si>
    <t>8,9 - 16</t>
  </si>
  <si>
    <t>Clay/dirty mix</t>
  </si>
  <si>
    <t>Clay</t>
  </si>
  <si>
    <t>4,5 - 7,4</t>
  </si>
  <si>
    <t>8,9 - 11</t>
  </si>
  <si>
    <t>Fly ash</t>
  </si>
  <si>
    <t>78 - 81</t>
  </si>
  <si>
    <t>26 - 29</t>
  </si>
  <si>
    <t>Misc. Fill materials</t>
  </si>
  <si>
    <t xml:space="preserve">Funcionamento (horas): </t>
  </si>
  <si>
    <t>Velocidade do Vento (m/s)</t>
  </si>
  <si>
    <t>Umidade do Material [%]</t>
  </si>
  <si>
    <t>Controle</t>
  </si>
  <si>
    <t>Controle [%]</t>
  </si>
  <si>
    <t>Quantidade [t/h]</t>
  </si>
  <si>
    <t>Fator de Emissão [kg/t]</t>
  </si>
  <si>
    <r>
      <t>PM</t>
    </r>
    <r>
      <rPr>
        <b/>
        <vertAlign val="subscript"/>
        <sz val="8"/>
        <color theme="0"/>
        <rFont val="Arial"/>
        <family val="2"/>
      </rPr>
      <t>2,5</t>
    </r>
  </si>
  <si>
    <t>TOTAL</t>
  </si>
  <si>
    <t>Areia</t>
  </si>
  <si>
    <t>Brita</t>
  </si>
  <si>
    <t>Massa específica (kg/m³)</t>
  </si>
  <si>
    <t>Pó calcário FGD</t>
  </si>
  <si>
    <t>Areia e pó de FGD</t>
  </si>
  <si>
    <t>Quantidade Brita (t/h):</t>
  </si>
  <si>
    <t>Enclausuramento</t>
  </si>
  <si>
    <t>Fontes Emissoras</t>
  </si>
  <si>
    <t>Transferências</t>
  </si>
  <si>
    <t>Erosão Eólica</t>
  </si>
  <si>
    <t>TR - Caminhão / Pátio de areia + Pó de FGD</t>
  </si>
  <si>
    <t>TR - Caminhão / Pátio de brita</t>
  </si>
  <si>
    <t>Onde:
E - emissão (lb/dia)
n - número de equipamentos de cada categoria
H - número de horas diárias de operação do equipamento
EF - fator de emissão (lb/h)</t>
  </si>
  <si>
    <t>Conversão de m³ para t (Brita)</t>
  </si>
  <si>
    <t>Conversão de m³ para t (Areia)</t>
  </si>
  <si>
    <t>Quantidade areia + pó de FGD (t/h):</t>
  </si>
  <si>
    <t>Tipo de Controle</t>
  </si>
  <si>
    <t>Vazão do Filtro de Mangas
 [m³/h]</t>
  </si>
  <si>
    <t>Vazão do Filtro de Mangas
 [Nm³/h]</t>
  </si>
  <si>
    <t>Taxa de Emissão
 [kg/h]</t>
  </si>
  <si>
    <t>Filtro de Mangas</t>
  </si>
  <si>
    <t>TR - Pá carregadeira (Areia + Pó de FGD) / Silo</t>
  </si>
  <si>
    <t>TR - Pá carregadeira (Brita) / Silo</t>
  </si>
  <si>
    <t>TR - Mistura Silo (Areia)</t>
  </si>
  <si>
    <t>TR - Mistura Silo (Brita)</t>
  </si>
  <si>
    <t>Concentração
 [mg/Nm³]</t>
  </si>
  <si>
    <t>Fator de Emissão [kg/h]</t>
  </si>
  <si>
    <t>Latitude [⁰]</t>
  </si>
  <si>
    <t>Longitude [⁰]</t>
  </si>
  <si>
    <t>Especificação do Filtro de Mangas de empresas produtoras de concreto</t>
  </si>
  <si>
    <t>Capacidade Máxima Volumétrica (m³/min)</t>
  </si>
  <si>
    <t>Granito Concreto Serra</t>
  </si>
  <si>
    <t>Granito Concreto Vila Velha</t>
  </si>
  <si>
    <t>Concrevit Cariacica (Filtro de Mangas 2)</t>
  </si>
  <si>
    <t>Concrevit Cariacica (Filtro de Mangas 1)</t>
  </si>
  <si>
    <t>Concrevit Vila Velha</t>
  </si>
  <si>
    <t>Média</t>
  </si>
  <si>
    <t xml:space="preserve">Saída do filtro de mangas </t>
  </si>
  <si>
    <t>Saída do Filtro de Mangas</t>
  </si>
  <si>
    <t>Temperatura de Trabalho (ºC)</t>
  </si>
  <si>
    <t>Nota:</t>
  </si>
  <si>
    <t>As emissões provenientes das vias internas de tráfego não foram consideradas pois na maior parte do tempo os veículos trabalham fora da zona do empreendimento. Tais  emissões provenientes do tráfego de veículos em vias já foram contabilizadas no inventário separadamente na estimativa de emissões das vias de tráfego da Região da Grande Vitória.</t>
  </si>
  <si>
    <r>
      <t>PM</t>
    </r>
    <r>
      <rPr>
        <b/>
        <vertAlign val="subscript"/>
        <sz val="8"/>
        <color theme="0"/>
        <rFont val="Arial"/>
        <family val="2"/>
      </rPr>
      <t>10</t>
    </r>
    <r>
      <rPr>
        <b/>
        <sz val="8"/>
        <color theme="0"/>
        <rFont val="Arial"/>
        <family val="2"/>
      </rPr>
      <t xml:space="preserve"> </t>
    </r>
  </si>
  <si>
    <r>
      <t>PM</t>
    </r>
    <r>
      <rPr>
        <b/>
        <vertAlign val="subscript"/>
        <sz val="8"/>
        <color theme="0"/>
        <rFont val="Arial"/>
        <family val="2"/>
      </rPr>
      <t>2,5</t>
    </r>
    <r>
      <rPr>
        <b/>
        <sz val="8"/>
        <color theme="0"/>
        <rFont val="Arial"/>
        <family val="2"/>
      </rPr>
      <t xml:space="preserve"> </t>
    </r>
  </si>
  <si>
    <t>1) As matérias primas consideradas foram os diferentes tipo de cimento, de areia e de brita, pois representam mais de 95% de toda a matéria prima utilizada</t>
  </si>
  <si>
    <t>2) O empreendimento informou que possui 2 pilhas. Portanto, foi considerado que em uma pilha é armazenado brita e a outra pilha é armazenada a areia + o pó de FGD</t>
  </si>
  <si>
    <t>VOC</t>
  </si>
  <si>
    <t>Latitude [º]</t>
  </si>
  <si>
    <t>Longitude [º]</t>
  </si>
  <si>
    <t>Altura [m]</t>
  </si>
  <si>
    <t>"Erosão Eólica" foi calculada na planilha: Memorial_Topmix_Erosao_Eolica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</si>
</sst>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00"/>
    <numFmt numFmtId="165" formatCode="0.000"/>
    <numFmt numFmtId="166" formatCode="0.00000"/>
    <numFmt numFmtId="167" formatCode="#,##0.0000"/>
    <numFmt numFmtId="168" formatCode="0.0"/>
    <numFmt numFmtId="169" formatCode="[&gt;=0.005]\ #,##0.00;[&lt;0.005]&quot;&lt;0,01&quot;"/>
  </numFmts>
  <fonts count="11" x14ac:knownFonts="1">
    <font>
      <sz val="11"/>
      <color theme="1"/>
      <name val="Calibri"/>
      <family val="2"/>
      <scheme val="minor"/>
    </font>
    <font>
      <sz val="8"/>
      <color theme="1"/>
      <name val="Arial"/>
      <family val="2"/>
    </font>
    <font>
      <b/>
      <sz val="8"/>
      <color theme="1"/>
      <name val="Arial"/>
      <family val="2"/>
    </font>
    <font>
      <vertAlign val="subscript"/>
      <sz val="8"/>
      <color theme="1"/>
      <name val="Arial"/>
      <family val="2"/>
    </font>
    <font>
      <sz val="9"/>
      <color indexed="81"/>
      <name val="Segoe UI"/>
      <family val="2"/>
    </font>
    <font>
      <b/>
      <sz val="8"/>
      <color theme="0"/>
      <name val="Arial"/>
      <family val="2"/>
    </font>
    <font>
      <b/>
      <vertAlign val="subscript"/>
      <sz val="8"/>
      <color theme="0"/>
      <name val="Arial"/>
      <family val="2"/>
    </font>
    <font>
      <sz val="8"/>
      <name val="Arial"/>
      <family val="2"/>
    </font>
    <font>
      <b/>
      <i/>
      <sz val="8"/>
      <color theme="1"/>
      <name val="Arial"/>
      <family val="2"/>
    </font>
    <font>
      <vertAlign val="subscript"/>
      <sz val="8"/>
      <name val="Arial"/>
      <family val="2"/>
    </font>
    <font>
      <b/>
      <sz val="9"/>
      <color indexed="81"/>
      <name val="Segoe UI"/>
      <family val="2"/>
    </font>
  </fonts>
  <fills count="5">
    <fill>
      <patternFill patternType="none"/>
    </fill>
    <fill>
      <patternFill patternType="gray125"/>
    </fill>
    <fill>
      <patternFill patternType="solid">
        <fgColor rgb="FF4F81BD"/>
        <bgColor indexed="64"/>
      </patternFill>
    </fill>
    <fill>
      <patternFill patternType="solid">
        <fgColor rgb="FFDCE6F1"/>
        <bgColor indexed="64"/>
      </patternFill>
    </fill>
    <fill>
      <patternFill patternType="solid">
        <fgColor theme="0"/>
        <bgColor indexed="64"/>
      </patternFill>
    </fill>
  </fills>
  <borders count="25">
    <border>
      <left/>
      <right/>
      <top/>
      <bottom/>
      <diagonal/>
    </border>
    <border>
      <left style="thin">
        <color rgb="FFD9D9D9"/>
      </left>
      <right style="thin">
        <color rgb="FFD9D9D9"/>
      </right>
      <top style="thin">
        <color rgb="FFD9D9D9"/>
      </top>
      <bottom style="thin">
        <color rgb="FFD9D9D9"/>
      </bottom>
      <diagonal/>
    </border>
    <border>
      <left style="thin">
        <color theme="0"/>
      </left>
      <right style="thin">
        <color theme="0"/>
      </right>
      <top style="thin">
        <color theme="0"/>
      </top>
      <bottom style="thin">
        <color theme="0"/>
      </bottom>
      <diagonal/>
    </border>
    <border>
      <left style="thin">
        <color rgb="FFD9D9D9"/>
      </left>
      <right/>
      <top/>
      <bottom/>
      <diagonal/>
    </border>
    <border>
      <left/>
      <right style="thin">
        <color rgb="FFD9D9D9"/>
      </right>
      <top style="thin">
        <color rgb="FFD9D9D9"/>
      </top>
      <bottom style="thin">
        <color rgb="FFD9D9D9"/>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style="thin">
        <color rgb="FFD9D9D9"/>
      </left>
      <right/>
      <top/>
      <bottom style="thin">
        <color rgb="FFD9D9D9"/>
      </bottom>
      <diagonal/>
    </border>
    <border>
      <left/>
      <right/>
      <top/>
      <bottom style="thin">
        <color rgb="FFD9D9D9"/>
      </bottom>
      <diagonal/>
    </border>
    <border>
      <left style="thin">
        <color rgb="FFD9D9D9"/>
      </left>
      <right/>
      <top style="thin">
        <color rgb="FFD9D9D9"/>
      </top>
      <bottom/>
      <diagonal/>
    </border>
    <border>
      <left/>
      <right style="thin">
        <color rgb="FFD9D9D9"/>
      </right>
      <top style="thin">
        <color rgb="FFD9D9D9"/>
      </top>
      <bottom/>
      <diagonal/>
    </border>
    <border>
      <left/>
      <right style="thin">
        <color rgb="FFD9D9D9"/>
      </right>
      <top/>
      <bottom/>
      <diagonal/>
    </border>
    <border>
      <left/>
      <right style="thin">
        <color rgb="FFD9D9D9"/>
      </right>
      <top/>
      <bottom style="thin">
        <color rgb="FFD9D9D9"/>
      </bottom>
      <diagonal/>
    </border>
    <border>
      <left/>
      <right/>
      <top style="thin">
        <color rgb="FFD9D9D9"/>
      </top>
      <bottom/>
      <diagonal/>
    </border>
    <border>
      <left style="thin">
        <color theme="0"/>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style="thin">
        <color theme="0"/>
      </left>
      <right style="thin">
        <color theme="0"/>
      </right>
      <top/>
      <bottom style="thin">
        <color theme="0"/>
      </bottom>
      <diagonal/>
    </border>
    <border>
      <left style="thin">
        <color theme="0"/>
      </left>
      <right style="thin">
        <color rgb="FFD9D9D9"/>
      </right>
      <top/>
      <bottom/>
      <diagonal/>
    </border>
    <border>
      <left style="thin">
        <color rgb="FFD9D9D9"/>
      </left>
      <right style="thin">
        <color rgb="FFD9D9D9"/>
      </right>
      <top/>
      <bottom/>
      <diagonal/>
    </border>
    <border>
      <left style="thin">
        <color rgb="FFD9D9D9"/>
      </left>
      <right style="thin">
        <color rgb="FFD9D9D9"/>
      </right>
      <top style="thin">
        <color rgb="FFD9D9D9"/>
      </top>
      <bottom/>
      <diagonal/>
    </border>
    <border>
      <left/>
      <right style="thin">
        <color theme="0"/>
      </right>
      <top/>
      <bottom/>
      <diagonal/>
    </border>
    <border>
      <left/>
      <right style="thin">
        <color theme="0"/>
      </right>
      <top/>
      <bottom style="thin">
        <color theme="0"/>
      </bottom>
      <diagonal/>
    </border>
    <border>
      <left style="thin">
        <color rgb="FFD9D9D9"/>
      </left>
      <right style="thin">
        <color rgb="FFD9D9D9"/>
      </right>
      <top/>
      <bottom style="thin">
        <color rgb="FFD9D9D9"/>
      </bottom>
      <diagonal/>
    </border>
    <border>
      <left style="thin">
        <color rgb="FFDEDAC4"/>
      </left>
      <right style="thin">
        <color rgb="FFDEDAC4"/>
      </right>
      <top style="thin">
        <color rgb="FFDEDAC4"/>
      </top>
      <bottom style="thin">
        <color rgb="FFDEDAC4"/>
      </bottom>
      <diagonal/>
    </border>
  </borders>
  <cellStyleXfs count="2">
    <xf numFmtId="0" fontId="0" fillId="0" borderId="0"/>
    <xf numFmtId="0" fontId="1" fillId="0" borderId="0"/>
  </cellStyleXfs>
  <cellXfs count="126">
    <xf numFmtId="0" fontId="0" fillId="0" borderId="0" xfId="0"/>
    <xf numFmtId="0" fontId="1" fillId="0" borderId="0" xfId="0" applyFont="1"/>
    <xf numFmtId="0" fontId="1" fillId="0" borderId="0" xfId="0" applyFont="1" applyAlignment="1">
      <alignment vertical="center"/>
    </xf>
    <xf numFmtId="0" fontId="1" fillId="0" borderId="0" xfId="0" applyFont="1" applyFill="1" applyAlignment="1">
      <alignment vertical="center"/>
    </xf>
    <xf numFmtId="0" fontId="1" fillId="0" borderId="0" xfId="0" applyFont="1" applyAlignment="1">
      <alignment horizontal="center"/>
    </xf>
    <xf numFmtId="0" fontId="5" fillId="2" borderId="2" xfId="0" applyFont="1" applyFill="1" applyBorder="1" applyAlignment="1">
      <alignment horizontal="center" vertical="center"/>
    </xf>
    <xf numFmtId="3" fontId="1" fillId="0" borderId="0" xfId="0" applyNumberFormat="1" applyFont="1" applyAlignment="1">
      <alignment horizontal="center" vertical="center"/>
    </xf>
    <xf numFmtId="164" fontId="1" fillId="0" borderId="0" xfId="0" applyNumberFormat="1" applyFont="1" applyAlignment="1">
      <alignment horizontal="center" vertical="center"/>
    </xf>
    <xf numFmtId="0" fontId="1" fillId="0" borderId="0" xfId="0" applyFont="1" applyFill="1" applyAlignment="1">
      <alignment horizontal="center" vertical="center"/>
    </xf>
    <xf numFmtId="0" fontId="2" fillId="0" borderId="0" xfId="0" applyFont="1" applyAlignment="1">
      <alignment horizontal="center" vertical="center"/>
    </xf>
    <xf numFmtId="2" fontId="1" fillId="3" borderId="0" xfId="0" applyNumberFormat="1" applyFont="1" applyFill="1" applyAlignment="1">
      <alignment horizontal="center" vertical="center"/>
    </xf>
    <xf numFmtId="4" fontId="1" fillId="0" borderId="0" xfId="0" applyNumberFormat="1" applyFont="1" applyAlignment="1">
      <alignment horizontal="center" vertical="center"/>
    </xf>
    <xf numFmtId="2" fontId="1" fillId="0" borderId="0" xfId="0" applyNumberFormat="1" applyFont="1" applyAlignment="1">
      <alignment horizontal="center" vertical="center"/>
    </xf>
    <xf numFmtId="1" fontId="1" fillId="0" borderId="0" xfId="0" applyNumberFormat="1" applyFont="1"/>
    <xf numFmtId="164" fontId="1" fillId="0" borderId="0" xfId="0" applyNumberFormat="1" applyFont="1"/>
    <xf numFmtId="165" fontId="1" fillId="3" borderId="0" xfId="0" applyNumberFormat="1" applyFont="1" applyFill="1" applyAlignment="1">
      <alignment horizontal="center" vertical="center"/>
    </xf>
    <xf numFmtId="2" fontId="1" fillId="0" borderId="0" xfId="0" applyNumberFormat="1" applyFont="1" applyAlignment="1">
      <alignment horizontal="center"/>
    </xf>
    <xf numFmtId="165" fontId="1" fillId="0" borderId="0" xfId="0" applyNumberFormat="1" applyFont="1" applyAlignment="1">
      <alignment horizontal="center"/>
    </xf>
    <xf numFmtId="166" fontId="7" fillId="0" borderId="0" xfId="0" applyNumberFormat="1" applyFont="1" applyAlignment="1">
      <alignment horizontal="center" vertical="center"/>
    </xf>
    <xf numFmtId="164" fontId="7" fillId="0" borderId="0" xfId="0" applyNumberFormat="1" applyFont="1" applyAlignment="1">
      <alignment horizontal="center" vertical="center"/>
    </xf>
    <xf numFmtId="0" fontId="1" fillId="0" borderId="0" xfId="0" applyFont="1" applyAlignment="1">
      <alignment horizontal="left" wrapText="1"/>
    </xf>
    <xf numFmtId="164" fontId="1" fillId="0" borderId="0" xfId="0" applyNumberFormat="1" applyFont="1" applyAlignment="1">
      <alignment horizontal="center"/>
    </xf>
    <xf numFmtId="164" fontId="0" fillId="0" borderId="0" xfId="0" applyNumberFormat="1"/>
    <xf numFmtId="164" fontId="1" fillId="0" borderId="1" xfId="0" applyNumberFormat="1" applyFont="1" applyFill="1" applyBorder="1" applyAlignment="1">
      <alignment horizontal="center" vertical="center"/>
    </xf>
    <xf numFmtId="167" fontId="1" fillId="0" borderId="0" xfId="0" applyNumberFormat="1" applyFont="1"/>
    <xf numFmtId="0" fontId="1" fillId="3" borderId="1" xfId="0" applyFont="1" applyFill="1" applyBorder="1" applyAlignment="1">
      <alignment horizontal="center" vertical="center"/>
    </xf>
    <xf numFmtId="0" fontId="0" fillId="0" borderId="0" xfId="0" applyAlignment="1">
      <alignment horizontal="center"/>
    </xf>
    <xf numFmtId="0" fontId="5" fillId="2" borderId="1" xfId="0" applyNumberFormat="1" applyFont="1" applyFill="1" applyBorder="1" applyAlignment="1" applyProtection="1">
      <alignment horizontal="center" vertical="center" wrapText="1"/>
    </xf>
    <xf numFmtId="0" fontId="1" fillId="0" borderId="0" xfId="0" applyFont="1" applyAlignment="1">
      <alignment horizontal="center" vertical="center"/>
    </xf>
    <xf numFmtId="0" fontId="7" fillId="0" borderId="0" xfId="0" applyFont="1" applyFill="1" applyAlignment="1">
      <alignment horizontal="center" vertical="center"/>
    </xf>
    <xf numFmtId="0" fontId="0" fillId="0" borderId="0" xfId="0" applyFill="1"/>
    <xf numFmtId="0" fontId="2"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xf numFmtId="0" fontId="1" fillId="0" borderId="1" xfId="0" applyFont="1" applyBorder="1" applyAlignment="1">
      <alignment horizontal="center"/>
    </xf>
    <xf numFmtId="2" fontId="0" fillId="0" borderId="0" xfId="0" applyNumberFormat="1"/>
    <xf numFmtId="0" fontId="1" fillId="0" borderId="1" xfId="0" applyFont="1" applyBorder="1" applyAlignment="1">
      <alignment vertical="center"/>
    </xf>
    <xf numFmtId="0" fontId="7" fillId="0" borderId="0" xfId="0" applyFont="1" applyFill="1" applyAlignment="1">
      <alignment vertical="center"/>
    </xf>
    <xf numFmtId="1" fontId="1" fillId="0" borderId="0" xfId="0" applyNumberFormat="1" applyFont="1" applyAlignment="1">
      <alignment horizontal="center" vertical="center"/>
    </xf>
    <xf numFmtId="168" fontId="1" fillId="0" borderId="0" xfId="0" applyNumberFormat="1" applyFont="1" applyAlignment="1">
      <alignment horizontal="center" vertical="center"/>
    </xf>
    <xf numFmtId="0" fontId="1" fillId="0" borderId="0" xfId="0" applyFont="1" applyFill="1" applyAlignment="1">
      <alignment horizontal="left" vertical="center"/>
    </xf>
    <xf numFmtId="11" fontId="1" fillId="0" borderId="0" xfId="0" applyNumberFormat="1" applyFont="1" applyFill="1" applyAlignment="1">
      <alignment horizontal="center" vertical="center"/>
    </xf>
    <xf numFmtId="167" fontId="1" fillId="0" borderId="0" xfId="0" applyNumberFormat="1" applyFont="1" applyFill="1" applyAlignment="1">
      <alignment horizontal="center" vertical="center"/>
    </xf>
    <xf numFmtId="2" fontId="1" fillId="0" borderId="0" xfId="0" applyNumberFormat="1" applyFont="1" applyFill="1" applyAlignment="1">
      <alignment horizontal="center" vertical="center"/>
    </xf>
    <xf numFmtId="165" fontId="1" fillId="0" borderId="0" xfId="0" applyNumberFormat="1" applyFont="1" applyAlignment="1">
      <alignment horizontal="center" vertical="center"/>
    </xf>
    <xf numFmtId="168" fontId="1" fillId="0" borderId="0" xfId="0" applyNumberFormat="1" applyFont="1" applyAlignment="1">
      <alignment vertical="center"/>
    </xf>
    <xf numFmtId="0" fontId="1" fillId="3" borderId="0" xfId="0" applyFont="1" applyFill="1" applyAlignment="1">
      <alignment horizontal="center" vertical="center"/>
    </xf>
    <xf numFmtId="0" fontId="1" fillId="0" borderId="0" xfId="0" applyFont="1" applyAlignment="1">
      <alignment horizontal="left"/>
    </xf>
    <xf numFmtId="4" fontId="1" fillId="0" borderId="0" xfId="0" applyNumberFormat="1" applyFont="1" applyAlignment="1">
      <alignment horizontal="center"/>
    </xf>
    <xf numFmtId="4" fontId="0" fillId="0" borderId="0" xfId="0" applyNumberFormat="1"/>
    <xf numFmtId="169" fontId="1" fillId="3" borderId="0" xfId="0" applyNumberFormat="1" applyFont="1" applyFill="1" applyAlignment="1">
      <alignment horizontal="center" vertical="center"/>
    </xf>
    <xf numFmtId="11" fontId="1" fillId="0" borderId="0" xfId="0" applyNumberFormat="1" applyFont="1" applyAlignment="1">
      <alignment horizontal="center" vertical="center"/>
    </xf>
    <xf numFmtId="0" fontId="1" fillId="0" borderId="0" xfId="0" applyFont="1" applyAlignment="1">
      <alignment horizontal="center" vertical="center"/>
    </xf>
    <xf numFmtId="4" fontId="1" fillId="0" borderId="0" xfId="0" applyNumberFormat="1" applyFont="1" applyFill="1" applyAlignment="1">
      <alignment horizontal="center"/>
    </xf>
    <xf numFmtId="0" fontId="1" fillId="0" borderId="0" xfId="0" applyFont="1" applyAlignment="1">
      <alignment horizontal="center" vertical="center"/>
    </xf>
    <xf numFmtId="0" fontId="2" fillId="0" borderId="0" xfId="0" applyFont="1" applyAlignment="1"/>
    <xf numFmtId="169" fontId="1" fillId="0" borderId="0" xfId="0" applyNumberFormat="1" applyFont="1" applyFill="1" applyAlignment="1">
      <alignment horizontal="center" vertical="center"/>
    </xf>
    <xf numFmtId="1" fontId="1" fillId="0" borderId="0" xfId="0" applyNumberFormat="1" applyFont="1" applyAlignment="1">
      <alignment horizontal="center"/>
    </xf>
    <xf numFmtId="0" fontId="1" fillId="0" borderId="0" xfId="0" applyFont="1" applyAlignment="1"/>
    <xf numFmtId="1" fontId="1" fillId="0" borderId="0" xfId="0" applyNumberFormat="1" applyFont="1" applyFill="1" applyAlignment="1">
      <alignment horizontal="center" vertical="center"/>
    </xf>
    <xf numFmtId="0" fontId="5" fillId="2" borderId="1" xfId="0" applyFont="1" applyFill="1" applyBorder="1" applyAlignment="1">
      <alignment horizontal="center" vertical="center"/>
    </xf>
    <xf numFmtId="0" fontId="1" fillId="3" borderId="13" xfId="0" applyFont="1" applyFill="1" applyBorder="1" applyAlignment="1">
      <alignment horizontal="center" vertical="center"/>
    </xf>
    <xf numFmtId="0" fontId="1" fillId="0" borderId="1" xfId="0" applyFont="1" applyFill="1" applyBorder="1" applyAlignment="1">
      <alignment horizontal="center" vertical="center"/>
    </xf>
    <xf numFmtId="0" fontId="1" fillId="0" borderId="1" xfId="0" applyFont="1" applyFill="1" applyBorder="1" applyAlignment="1">
      <alignment horizontal="center"/>
    </xf>
    <xf numFmtId="0" fontId="8" fillId="4" borderId="1" xfId="0" applyFont="1" applyFill="1" applyBorder="1" applyAlignment="1">
      <alignment horizontal="center" vertical="center"/>
    </xf>
    <xf numFmtId="0" fontId="1" fillId="4" borderId="1" xfId="0" applyFont="1" applyFill="1" applyBorder="1" applyAlignment="1">
      <alignment horizontal="center"/>
    </xf>
    <xf numFmtId="0" fontId="1" fillId="0" borderId="1" xfId="0" applyFont="1" applyFill="1" applyBorder="1" applyAlignment="1">
      <alignment horizontal="left" vertical="center" wrapText="1"/>
    </xf>
    <xf numFmtId="0" fontId="1" fillId="0" borderId="1" xfId="0" applyFont="1" applyBorder="1" applyAlignment="1">
      <alignment horizontal="left"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13" xfId="0" applyFont="1" applyFill="1" applyBorder="1" applyAlignment="1">
      <alignment horizontal="center" vertical="center"/>
    </xf>
    <xf numFmtId="0" fontId="1" fillId="3" borderId="0" xfId="0" applyFont="1" applyFill="1" applyBorder="1" applyAlignment="1">
      <alignment horizontal="center" vertical="center"/>
    </xf>
    <xf numFmtId="0" fontId="8" fillId="4" borderId="9" xfId="0" applyFont="1" applyFill="1" applyBorder="1" applyAlignment="1">
      <alignment horizontal="center" vertical="center"/>
    </xf>
    <xf numFmtId="0" fontId="8" fillId="4" borderId="3" xfId="0" applyFont="1" applyFill="1" applyBorder="1" applyAlignment="1">
      <alignment horizontal="center" vertical="center"/>
    </xf>
    <xf numFmtId="0" fontId="8" fillId="4" borderId="7" xfId="0" applyFont="1" applyFill="1" applyBorder="1" applyAlignment="1">
      <alignment horizontal="center" vertical="center"/>
    </xf>
    <xf numFmtId="0" fontId="1" fillId="4" borderId="9" xfId="0" applyFont="1" applyFill="1" applyBorder="1" applyAlignment="1">
      <alignment horizontal="center"/>
    </xf>
    <xf numFmtId="0" fontId="1" fillId="4" borderId="13" xfId="0" applyFont="1" applyFill="1" applyBorder="1" applyAlignment="1">
      <alignment horizontal="center"/>
    </xf>
    <xf numFmtId="0" fontId="1" fillId="4" borderId="10" xfId="0" applyFont="1" applyFill="1" applyBorder="1" applyAlignment="1">
      <alignment horizontal="center"/>
    </xf>
    <xf numFmtId="0" fontId="1" fillId="4" borderId="3" xfId="0" applyFont="1" applyFill="1" applyBorder="1" applyAlignment="1">
      <alignment horizontal="center"/>
    </xf>
    <xf numFmtId="0" fontId="1" fillId="4" borderId="0" xfId="0" applyFont="1" applyFill="1" applyBorder="1" applyAlignment="1">
      <alignment horizontal="center"/>
    </xf>
    <xf numFmtId="0" fontId="1" fillId="4" borderId="11" xfId="0" applyFont="1" applyFill="1" applyBorder="1" applyAlignment="1">
      <alignment horizontal="center"/>
    </xf>
    <xf numFmtId="0" fontId="1" fillId="4" borderId="7" xfId="0" applyFont="1" applyFill="1" applyBorder="1" applyAlignment="1">
      <alignment horizontal="center"/>
    </xf>
    <xf numFmtId="0" fontId="1" fillId="4" borderId="8" xfId="0" applyFont="1" applyFill="1" applyBorder="1" applyAlignment="1">
      <alignment horizontal="center"/>
    </xf>
    <xf numFmtId="0" fontId="1" fillId="4" borderId="12" xfId="0" applyFont="1" applyFill="1" applyBorder="1" applyAlignment="1">
      <alignment horizontal="center"/>
    </xf>
    <xf numFmtId="0" fontId="1" fillId="4" borderId="9" xfId="0" applyFont="1" applyFill="1" applyBorder="1" applyAlignment="1">
      <alignment horizontal="left" vertical="center" wrapText="1"/>
    </xf>
    <xf numFmtId="0" fontId="1" fillId="4" borderId="13" xfId="0" applyFont="1" applyFill="1" applyBorder="1" applyAlignment="1">
      <alignment horizontal="left" vertical="center" wrapText="1"/>
    </xf>
    <xf numFmtId="0" fontId="1" fillId="4" borderId="10" xfId="0" applyFont="1" applyFill="1" applyBorder="1" applyAlignment="1">
      <alignment horizontal="left" vertical="center" wrapText="1"/>
    </xf>
    <xf numFmtId="0" fontId="1" fillId="4" borderId="3" xfId="0" applyFont="1" applyFill="1" applyBorder="1" applyAlignment="1">
      <alignment horizontal="left" vertical="center" wrapText="1"/>
    </xf>
    <xf numFmtId="0" fontId="1" fillId="4" borderId="0" xfId="0" applyFont="1" applyFill="1" applyBorder="1" applyAlignment="1">
      <alignment horizontal="left" vertical="center" wrapText="1"/>
    </xf>
    <xf numFmtId="0" fontId="1" fillId="4" borderId="11" xfId="0" applyFont="1" applyFill="1" applyBorder="1" applyAlignment="1">
      <alignment horizontal="left" vertical="center" wrapText="1"/>
    </xf>
    <xf numFmtId="0" fontId="1" fillId="4" borderId="7" xfId="0" applyFont="1" applyFill="1" applyBorder="1" applyAlignment="1">
      <alignment horizontal="left" vertical="center" wrapText="1"/>
    </xf>
    <xf numFmtId="0" fontId="1" fillId="4" borderId="8" xfId="0" applyFont="1" applyFill="1" applyBorder="1" applyAlignment="1">
      <alignment horizontal="left" vertical="center" wrapText="1"/>
    </xf>
    <xf numFmtId="0" fontId="1" fillId="4" borderId="12" xfId="0" applyFont="1" applyFill="1" applyBorder="1" applyAlignment="1">
      <alignment horizontal="left" vertical="center" wrapText="1"/>
    </xf>
    <xf numFmtId="164" fontId="7" fillId="0" borderId="10" xfId="0" applyNumberFormat="1" applyFont="1" applyBorder="1" applyAlignment="1">
      <alignment horizontal="center" vertical="center" wrapText="1"/>
    </xf>
    <xf numFmtId="164" fontId="7" fillId="0" borderId="11" xfId="0" applyNumberFormat="1" applyFont="1" applyBorder="1" applyAlignment="1">
      <alignment horizontal="center" vertical="center" wrapText="1"/>
    </xf>
    <xf numFmtId="0" fontId="7" fillId="0" borderId="0" xfId="0" applyFont="1" applyBorder="1" applyAlignment="1">
      <alignment horizontal="center" vertical="center" wrapText="1"/>
    </xf>
    <xf numFmtId="0" fontId="0" fillId="0" borderId="0" xfId="0" applyAlignment="1">
      <alignment horizontal="center"/>
    </xf>
    <xf numFmtId="0" fontId="1" fillId="3" borderId="20" xfId="0" applyFont="1" applyFill="1" applyBorder="1" applyAlignment="1">
      <alignment horizontal="center" vertical="center"/>
    </xf>
    <xf numFmtId="0" fontId="1" fillId="3" borderId="23" xfId="0" applyFont="1" applyFill="1" applyBorder="1" applyAlignment="1">
      <alignment horizontal="center" vertical="center"/>
    </xf>
    <xf numFmtId="0" fontId="1" fillId="3" borderId="0" xfId="0" applyFont="1" applyFill="1" applyAlignment="1">
      <alignment horizontal="center" vertical="center"/>
    </xf>
    <xf numFmtId="0" fontId="5" fillId="2" borderId="14"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24" xfId="0" applyNumberFormat="1" applyFont="1" applyFill="1" applyBorder="1" applyAlignment="1" applyProtection="1">
      <alignment horizontal="center" vertical="center" wrapText="1"/>
    </xf>
    <xf numFmtId="0" fontId="5" fillId="2" borderId="22" xfId="0" applyFont="1" applyFill="1" applyBorder="1" applyAlignment="1">
      <alignment horizontal="center" vertical="center"/>
    </xf>
    <xf numFmtId="0" fontId="5" fillId="2" borderId="20" xfId="0" applyFont="1" applyFill="1" applyBorder="1" applyAlignment="1">
      <alignment horizontal="center" vertical="center" wrapText="1"/>
    </xf>
    <xf numFmtId="0" fontId="5" fillId="2" borderId="23" xfId="0" applyFont="1" applyFill="1" applyBorder="1" applyAlignment="1">
      <alignment horizontal="center" vertical="center"/>
    </xf>
    <xf numFmtId="0" fontId="5" fillId="2" borderId="3" xfId="0" applyFont="1" applyFill="1" applyBorder="1" applyAlignment="1">
      <alignment horizontal="center" vertical="center" wrapText="1"/>
    </xf>
    <xf numFmtId="0" fontId="5" fillId="2" borderId="0" xfId="0" applyFont="1" applyFill="1" applyBorder="1" applyAlignment="1">
      <alignment horizontal="center" vertical="center"/>
    </xf>
    <xf numFmtId="0" fontId="5" fillId="2" borderId="3" xfId="0" applyFont="1" applyFill="1" applyBorder="1" applyAlignment="1">
      <alignment horizontal="center" vertical="center"/>
    </xf>
    <xf numFmtId="0" fontId="1" fillId="0" borderId="13" xfId="0" applyFont="1" applyFill="1" applyBorder="1" applyAlignment="1">
      <alignment horizontal="center" vertical="center"/>
    </xf>
    <xf numFmtId="0" fontId="1" fillId="0" borderId="0" xfId="0" applyFont="1" applyFill="1" applyAlignment="1">
      <alignment horizontal="center" vertical="center"/>
    </xf>
    <xf numFmtId="0" fontId="5" fillId="2" borderId="20" xfId="0" applyNumberFormat="1" applyFont="1" applyFill="1" applyBorder="1" applyAlignment="1" applyProtection="1">
      <alignment horizontal="center" vertical="center" wrapText="1"/>
    </xf>
    <xf numFmtId="0" fontId="5" fillId="2" borderId="19" xfId="0" applyNumberFormat="1" applyFont="1" applyFill="1" applyBorder="1" applyAlignment="1" applyProtection="1">
      <alignment horizontal="center" vertical="center" wrapText="1"/>
    </xf>
    <xf numFmtId="0" fontId="5" fillId="2" borderId="1" xfId="0" applyNumberFormat="1" applyFont="1" applyFill="1" applyBorder="1" applyAlignment="1" applyProtection="1">
      <alignment horizontal="center" vertical="center" wrapText="1"/>
    </xf>
    <xf numFmtId="0" fontId="5" fillId="2" borderId="18" xfId="0" applyFont="1" applyFill="1" applyBorder="1" applyAlignment="1">
      <alignment horizontal="center" vertical="center"/>
    </xf>
    <xf numFmtId="0" fontId="5" fillId="2" borderId="19" xfId="0" applyFont="1" applyFill="1" applyBorder="1" applyAlignment="1">
      <alignment horizontal="center" vertical="center" wrapText="1"/>
    </xf>
    <xf numFmtId="0" fontId="0" fillId="0" borderId="0" xfId="0" applyAlignment="1">
      <alignment horizontal="left" vertical="center" wrapText="1"/>
    </xf>
    <xf numFmtId="0" fontId="5" fillId="2" borderId="21"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6" xfId="0" applyFont="1" applyFill="1" applyBorder="1" applyAlignment="1">
      <alignment horizontal="center" vertical="center"/>
    </xf>
    <xf numFmtId="0" fontId="1" fillId="4" borderId="4"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cellXfs>
  <cellStyles count="2">
    <cellStyle name="Normal" xfId="0" builtinId="0"/>
    <cellStyle name="Normal 2" xfId="1"/>
  </cellStyles>
  <dxfs count="0"/>
  <tableStyles count="0" defaultTableStyle="TableStyleMedium2" defaultPivotStyle="PivotStyleLight16"/>
  <colors>
    <mruColors>
      <color rgb="FFD9D9D9"/>
      <color rgb="FFDCE6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xdr:col>
      <xdr:colOff>320386</xdr:colOff>
      <xdr:row>5</xdr:row>
      <xdr:rowOff>146771</xdr:rowOff>
    </xdr:from>
    <xdr:ext cx="1609725" cy="673967"/>
    <mc:AlternateContent xmlns:mc="http://schemas.openxmlformats.org/markup-compatibility/2006" xmlns:a14="http://schemas.microsoft.com/office/drawing/2010/main">
      <mc:Choice Requires="a14">
        <xdr:sp macro="" textlink="">
          <xdr:nvSpPr>
            <xdr:cNvPr id="2" name="CaixaDeTexto 1"/>
            <xdr:cNvSpPr txBox="1"/>
          </xdr:nvSpPr>
          <xdr:spPr>
            <a:xfrm>
              <a:off x="1282411" y="1099271"/>
              <a:ext cx="1609725" cy="67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pt-BR" sz="1100" b="0" i="1">
                        <a:latin typeface="Cambria Math" panose="02040503050406030204" pitchFamily="18" charset="0"/>
                      </a:rPr>
                      <m:t>𝐸</m:t>
                    </m:r>
                    <m:r>
                      <a:rPr lang="pt-BR" sz="1100" b="0" i="1">
                        <a:latin typeface="Cambria Math" panose="02040503050406030204" pitchFamily="18" charset="0"/>
                      </a:rPr>
                      <m:t>=</m:t>
                    </m:r>
                    <m:r>
                      <a:rPr lang="pt-BR" sz="1100" b="0" i="1">
                        <a:latin typeface="Cambria Math" panose="02040503050406030204" pitchFamily="18" charset="0"/>
                      </a:rPr>
                      <m:t>𝑘</m:t>
                    </m:r>
                    <m:d>
                      <m:dPr>
                        <m:ctrlPr>
                          <a:rPr lang="pt-BR" sz="1100" b="0" i="1">
                            <a:latin typeface="Cambria Math" panose="02040503050406030204" pitchFamily="18" charset="0"/>
                          </a:rPr>
                        </m:ctrlPr>
                      </m:dPr>
                      <m:e>
                        <m:r>
                          <a:rPr lang="pt-BR" sz="1100" b="0" i="1">
                            <a:latin typeface="Cambria Math" panose="02040503050406030204" pitchFamily="18" charset="0"/>
                          </a:rPr>
                          <m:t>0,0016</m:t>
                        </m:r>
                      </m:e>
                    </m:d>
                    <m:r>
                      <a:rPr lang="pt-BR" sz="1100" b="0" i="1">
                        <a:latin typeface="Cambria Math" panose="02040503050406030204" pitchFamily="18" charset="0"/>
                      </a:rPr>
                      <m:t> </m:t>
                    </m:r>
                    <m:f>
                      <m:fPr>
                        <m:ctrlPr>
                          <a:rPr lang="pt-BR" sz="1100" b="0" i="1">
                            <a:latin typeface="Cambria Math" panose="02040503050406030204" pitchFamily="18" charset="0"/>
                          </a:rPr>
                        </m:ctrlPr>
                      </m:fPr>
                      <m:num>
                        <m:sSup>
                          <m:sSupPr>
                            <m:ctrlPr>
                              <a:rPr lang="pt-BR" sz="1100" b="0" i="1">
                                <a:latin typeface="Cambria Math" panose="02040503050406030204" pitchFamily="18" charset="0"/>
                              </a:rPr>
                            </m:ctrlPr>
                          </m:sSupPr>
                          <m:e>
                            <m:d>
                              <m:dPr>
                                <m:ctrlPr>
                                  <a:rPr lang="pt-BR" sz="1100" b="0" i="1">
                                    <a:latin typeface="Cambria Math" panose="02040503050406030204" pitchFamily="18" charset="0"/>
                                  </a:rPr>
                                </m:ctrlPr>
                              </m:dPr>
                              <m:e>
                                <m:f>
                                  <m:fPr>
                                    <m:ctrlPr>
                                      <a:rPr lang="pt-BR" sz="1100" b="0" i="1">
                                        <a:latin typeface="Cambria Math" panose="02040503050406030204" pitchFamily="18" charset="0"/>
                                      </a:rPr>
                                    </m:ctrlPr>
                                  </m:fPr>
                                  <m:num>
                                    <m:r>
                                      <a:rPr lang="pt-BR" sz="1100" b="0" i="1">
                                        <a:latin typeface="Cambria Math" panose="02040503050406030204" pitchFamily="18" charset="0"/>
                                      </a:rPr>
                                      <m:t>𝑈</m:t>
                                    </m:r>
                                  </m:num>
                                  <m:den>
                                    <m:r>
                                      <a:rPr lang="pt-BR" sz="1100" b="0" i="1">
                                        <a:latin typeface="Cambria Math" panose="02040503050406030204" pitchFamily="18" charset="0"/>
                                      </a:rPr>
                                      <m:t>2,2</m:t>
                                    </m:r>
                                  </m:den>
                                </m:f>
                              </m:e>
                            </m:d>
                          </m:e>
                          <m:sup>
                            <m:r>
                              <a:rPr lang="pt-BR" sz="1100" b="0" i="1">
                                <a:latin typeface="Cambria Math" panose="02040503050406030204" pitchFamily="18" charset="0"/>
                              </a:rPr>
                              <m:t>1,3</m:t>
                            </m:r>
                          </m:sup>
                        </m:sSup>
                      </m:num>
                      <m:den>
                        <m:sSup>
                          <m:sSupPr>
                            <m:ctrlPr>
                              <a:rPr lang="pt-BR" sz="1100" b="0" i="1">
                                <a:latin typeface="Cambria Math" panose="02040503050406030204" pitchFamily="18" charset="0"/>
                              </a:rPr>
                            </m:ctrlPr>
                          </m:sSupPr>
                          <m:e>
                            <m:d>
                              <m:dPr>
                                <m:ctrlPr>
                                  <a:rPr lang="pt-BR" sz="1100" b="0" i="1">
                                    <a:latin typeface="Cambria Math" panose="02040503050406030204" pitchFamily="18" charset="0"/>
                                  </a:rPr>
                                </m:ctrlPr>
                              </m:dPr>
                              <m:e>
                                <m:f>
                                  <m:fPr>
                                    <m:ctrlPr>
                                      <a:rPr lang="pt-BR" sz="1100" b="0" i="1">
                                        <a:latin typeface="Cambria Math" panose="02040503050406030204" pitchFamily="18" charset="0"/>
                                      </a:rPr>
                                    </m:ctrlPr>
                                  </m:fPr>
                                  <m:num>
                                    <m:r>
                                      <a:rPr lang="pt-BR" sz="1100" b="0" i="1">
                                        <a:latin typeface="Cambria Math" panose="02040503050406030204" pitchFamily="18" charset="0"/>
                                      </a:rPr>
                                      <m:t>𝑀</m:t>
                                    </m:r>
                                  </m:num>
                                  <m:den>
                                    <m:r>
                                      <a:rPr lang="pt-BR" sz="1100" b="0" i="1">
                                        <a:latin typeface="Cambria Math" panose="02040503050406030204" pitchFamily="18" charset="0"/>
                                      </a:rPr>
                                      <m:t>2</m:t>
                                    </m:r>
                                  </m:den>
                                </m:f>
                              </m:e>
                            </m:d>
                          </m:e>
                          <m:sup>
                            <m:r>
                              <a:rPr lang="pt-BR" sz="1100" b="0" i="1">
                                <a:latin typeface="Cambria Math" panose="02040503050406030204" pitchFamily="18" charset="0"/>
                              </a:rPr>
                              <m:t>1,4</m:t>
                            </m:r>
                          </m:sup>
                        </m:sSup>
                      </m:den>
                    </m:f>
                  </m:oMath>
                </m:oMathPara>
              </a14:m>
              <a:endParaRPr lang="pt-BR" sz="1100"/>
            </a:p>
          </xdr:txBody>
        </xdr:sp>
      </mc:Choice>
      <mc:Fallback xmlns="">
        <xdr:sp macro="" textlink="">
          <xdr:nvSpPr>
            <xdr:cNvPr id="2" name="CaixaDeTexto 1"/>
            <xdr:cNvSpPr txBox="1"/>
          </xdr:nvSpPr>
          <xdr:spPr>
            <a:xfrm>
              <a:off x="1282411" y="1099271"/>
              <a:ext cx="1609725" cy="67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100" b="0" i="0">
                  <a:latin typeface="Cambria Math" panose="02040503050406030204" pitchFamily="18" charset="0"/>
                </a:rPr>
                <a:t>𝐸=𝑘(0,0016)   (𝑈/2,2)^1,3/(𝑀/2)^1,4 </a:t>
              </a:r>
              <a:endParaRPr lang="pt-BR"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1</xdr:col>
      <xdr:colOff>676275</xdr:colOff>
      <xdr:row>18</xdr:row>
      <xdr:rowOff>14287</xdr:rowOff>
    </xdr:from>
    <xdr:ext cx="1609725" cy="172227"/>
    <mc:AlternateContent xmlns:mc="http://schemas.openxmlformats.org/markup-compatibility/2006" xmlns:a14="http://schemas.microsoft.com/office/drawing/2010/main">
      <mc:Choice Requires="a14">
        <xdr:sp macro="" textlink="">
          <xdr:nvSpPr>
            <xdr:cNvPr id="2" name="CaixaDeTexto 1"/>
            <xdr:cNvSpPr txBox="1"/>
          </xdr:nvSpPr>
          <xdr:spPr>
            <a:xfrm>
              <a:off x="2600325" y="8396287"/>
              <a:ext cx="16097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pt-BR" sz="1100" b="0" i="1">
                        <a:latin typeface="Cambria Math" panose="02040503050406030204" pitchFamily="18" charset="0"/>
                      </a:rPr>
                      <m:t>𝐸</m:t>
                    </m:r>
                    <m:r>
                      <a:rPr lang="pt-BR" sz="1100" b="0" i="1">
                        <a:latin typeface="Cambria Math" panose="02040503050406030204" pitchFamily="18" charset="0"/>
                      </a:rPr>
                      <m:t>=</m:t>
                    </m:r>
                    <m:r>
                      <a:rPr lang="pt-BR" sz="1100" b="0" i="1">
                        <a:latin typeface="Cambria Math" panose="02040503050406030204" pitchFamily="18" charset="0"/>
                      </a:rPr>
                      <m:t>𝑛</m:t>
                    </m:r>
                    <m:r>
                      <a:rPr lang="pt-BR" sz="1100" b="0" i="1">
                        <a:latin typeface="Cambria Math" panose="02040503050406030204" pitchFamily="18" charset="0"/>
                      </a:rPr>
                      <m:t> </m:t>
                    </m:r>
                    <m:r>
                      <a:rPr lang="pt-BR" sz="1100" b="0" i="1">
                        <a:latin typeface="Cambria Math" panose="02040503050406030204" pitchFamily="18" charset="0"/>
                      </a:rPr>
                      <m:t>𝑥</m:t>
                    </m:r>
                    <m:r>
                      <a:rPr lang="pt-BR" sz="1100" b="0" i="1">
                        <a:latin typeface="Cambria Math" panose="02040503050406030204" pitchFamily="18" charset="0"/>
                      </a:rPr>
                      <m:t> </m:t>
                    </m:r>
                    <m:r>
                      <a:rPr lang="pt-BR" sz="1100" b="0" i="1">
                        <a:latin typeface="Cambria Math" panose="02040503050406030204" pitchFamily="18" charset="0"/>
                      </a:rPr>
                      <m:t>𝐻</m:t>
                    </m:r>
                    <m:r>
                      <a:rPr lang="pt-BR" sz="1100" b="0" i="1">
                        <a:latin typeface="Cambria Math" panose="02040503050406030204" pitchFamily="18" charset="0"/>
                      </a:rPr>
                      <m:t> </m:t>
                    </m:r>
                    <m:r>
                      <a:rPr lang="pt-BR" sz="1100" b="0" i="1">
                        <a:latin typeface="Cambria Math" panose="02040503050406030204" pitchFamily="18" charset="0"/>
                      </a:rPr>
                      <m:t>𝑥</m:t>
                    </m:r>
                    <m:r>
                      <a:rPr lang="pt-BR" sz="1100" b="0" i="1">
                        <a:latin typeface="Cambria Math" panose="02040503050406030204" pitchFamily="18" charset="0"/>
                      </a:rPr>
                      <m:t> </m:t>
                    </m:r>
                    <m:r>
                      <a:rPr lang="pt-BR" sz="1100" b="0" i="1">
                        <a:latin typeface="Cambria Math" panose="02040503050406030204" pitchFamily="18" charset="0"/>
                      </a:rPr>
                      <m:t>𝐸𝐹</m:t>
                    </m:r>
                    <m:r>
                      <a:rPr lang="pt-BR" sz="1100" b="0" i="1">
                        <a:latin typeface="Cambria Math" panose="02040503050406030204" pitchFamily="18" charset="0"/>
                      </a:rPr>
                      <m:t> </m:t>
                    </m:r>
                  </m:oMath>
                </m:oMathPara>
              </a14:m>
              <a:endParaRPr lang="pt-BR" sz="1100"/>
            </a:p>
          </xdr:txBody>
        </xdr:sp>
      </mc:Choice>
      <mc:Fallback xmlns="">
        <xdr:sp macro="" textlink="">
          <xdr:nvSpPr>
            <xdr:cNvPr id="2" name="CaixaDeTexto 1"/>
            <xdr:cNvSpPr txBox="1"/>
          </xdr:nvSpPr>
          <xdr:spPr>
            <a:xfrm>
              <a:off x="2600325" y="8396287"/>
              <a:ext cx="16097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100" b="0" i="0">
                  <a:latin typeface="Cambria Math" panose="02040503050406030204" pitchFamily="18" charset="0"/>
                </a:rPr>
                <a:t>𝐸=𝑛 𝑥 𝐻 𝑥 𝐸𝐹 </a:t>
              </a:r>
              <a:endParaRPr lang="pt-BR"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1</xdr:col>
      <xdr:colOff>438150</xdr:colOff>
      <xdr:row>1</xdr:row>
      <xdr:rowOff>119062</xdr:rowOff>
    </xdr:from>
    <xdr:ext cx="2695575" cy="380361"/>
    <mc:AlternateContent xmlns:mc="http://schemas.openxmlformats.org/markup-compatibility/2006" xmlns:a14="http://schemas.microsoft.com/office/drawing/2010/main">
      <mc:Choice Requires="a14">
        <xdr:sp macro="" textlink="">
          <xdr:nvSpPr>
            <xdr:cNvPr id="2" name="CaixaDeTexto 1"/>
            <xdr:cNvSpPr txBox="1"/>
          </xdr:nvSpPr>
          <xdr:spPr>
            <a:xfrm>
              <a:off x="1819275" y="309562"/>
              <a:ext cx="269557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pt-BR" sz="1100" b="0" i="1">
                            <a:latin typeface="Cambria Math" panose="02040503050406030204" pitchFamily="18" charset="0"/>
                          </a:rPr>
                        </m:ctrlPr>
                      </m:fPr>
                      <m:num>
                        <m:r>
                          <a:rPr lang="pt-BR" sz="1100" b="0" i="1">
                            <a:latin typeface="Cambria Math" panose="02040503050406030204" pitchFamily="18" charset="0"/>
                          </a:rPr>
                          <m:t>𝑚𝑔</m:t>
                        </m:r>
                      </m:num>
                      <m:den>
                        <m:sSup>
                          <m:sSupPr>
                            <m:ctrlPr>
                              <a:rPr lang="pt-BR" sz="1100" b="0" i="1">
                                <a:latin typeface="Cambria Math" panose="02040503050406030204" pitchFamily="18" charset="0"/>
                              </a:rPr>
                            </m:ctrlPr>
                          </m:sSupPr>
                          <m:e>
                            <m:r>
                              <a:rPr lang="pt-BR" sz="1100" b="0" i="1">
                                <a:latin typeface="Cambria Math" panose="02040503050406030204" pitchFamily="18" charset="0"/>
                              </a:rPr>
                              <m:t>𝑚</m:t>
                            </m:r>
                          </m:e>
                          <m:sup>
                            <m:r>
                              <a:rPr lang="pt-BR" sz="1100" b="0" i="1">
                                <a:latin typeface="Cambria Math" panose="02040503050406030204" pitchFamily="18" charset="0"/>
                              </a:rPr>
                              <m:t>3</m:t>
                            </m:r>
                          </m:sup>
                        </m:sSup>
                      </m:den>
                    </m:f>
                    <m:r>
                      <a:rPr lang="pt-BR" sz="1100" b="0" i="1">
                        <a:latin typeface="Cambria Math" panose="02040503050406030204" pitchFamily="18" charset="0"/>
                      </a:rPr>
                      <m:t>=</m:t>
                    </m:r>
                    <m:r>
                      <a:rPr lang="pt-BR" sz="1100" b="0" i="1">
                        <a:latin typeface="Cambria Math" panose="02040503050406030204" pitchFamily="18" charset="0"/>
                      </a:rPr>
                      <m:t>𝑝𝑝𝑚</m:t>
                    </m:r>
                    <m:r>
                      <a:rPr lang="pt-BR" sz="1100" b="0" i="1">
                        <a:latin typeface="Cambria Math" panose="02040503050406030204" pitchFamily="18" charset="0"/>
                      </a:rPr>
                      <m:t> . 0,04087 . </m:t>
                    </m:r>
                    <m:r>
                      <a:rPr lang="pt-BR" sz="1100" b="0" i="1">
                        <a:latin typeface="Cambria Math" panose="02040503050406030204" pitchFamily="18" charset="0"/>
                      </a:rPr>
                      <m:t>𝑀𝑊</m:t>
                    </m:r>
                    <m:r>
                      <a:rPr lang="pt-BR" sz="1100" b="0" i="1">
                        <a:latin typeface="Cambria Math" panose="02040503050406030204" pitchFamily="18" charset="0"/>
                      </a:rPr>
                      <m:t> . </m:t>
                    </m:r>
                    <m:d>
                      <m:dPr>
                        <m:begChr m:val="["/>
                        <m:endChr m:val="]"/>
                        <m:ctrlPr>
                          <a:rPr lang="pt-BR" sz="1100" b="0" i="1">
                            <a:latin typeface="Cambria Math" panose="02040503050406030204" pitchFamily="18" charset="0"/>
                          </a:rPr>
                        </m:ctrlPr>
                      </m:dPr>
                      <m:e>
                        <m:d>
                          <m:dPr>
                            <m:ctrlPr>
                              <a:rPr lang="pt-BR" sz="1100" b="0" i="1">
                                <a:latin typeface="Cambria Math" panose="02040503050406030204" pitchFamily="18" charset="0"/>
                              </a:rPr>
                            </m:ctrlPr>
                          </m:dPr>
                          <m:e>
                            <m:f>
                              <m:fPr>
                                <m:ctrlPr>
                                  <a:rPr lang="pt-BR" sz="1100" b="0" i="1">
                                    <a:latin typeface="Cambria Math" panose="02040503050406030204" pitchFamily="18" charset="0"/>
                                  </a:rPr>
                                </m:ctrlPr>
                              </m:fPr>
                              <m:num>
                                <m:r>
                                  <a:rPr lang="pt-BR" sz="1100" b="0" i="1">
                                    <a:latin typeface="Cambria Math" panose="02040503050406030204" pitchFamily="18" charset="0"/>
                                  </a:rPr>
                                  <m:t>𝑃</m:t>
                                </m:r>
                              </m:num>
                              <m:den>
                                <m:sSub>
                                  <m:sSubPr>
                                    <m:ctrlPr>
                                      <a:rPr lang="pt-BR" sz="1100" b="0" i="1">
                                        <a:latin typeface="Cambria Math" panose="02040503050406030204" pitchFamily="18" charset="0"/>
                                      </a:rPr>
                                    </m:ctrlPr>
                                  </m:sSubPr>
                                  <m:e>
                                    <m:r>
                                      <a:rPr lang="pt-BR" sz="1100" b="0" i="1">
                                        <a:latin typeface="Cambria Math" panose="02040503050406030204" pitchFamily="18" charset="0"/>
                                      </a:rPr>
                                      <m:t>𝑃</m:t>
                                    </m:r>
                                  </m:e>
                                  <m:sub>
                                    <m:r>
                                      <a:rPr lang="pt-BR" sz="1100" b="0" i="1">
                                        <a:latin typeface="Cambria Math" panose="02040503050406030204" pitchFamily="18" charset="0"/>
                                      </a:rPr>
                                      <m:t>0</m:t>
                                    </m:r>
                                  </m:sub>
                                </m:sSub>
                              </m:den>
                            </m:f>
                          </m:e>
                        </m:d>
                        <m:r>
                          <a:rPr lang="pt-BR" sz="1100" b="0" i="1">
                            <a:latin typeface="Cambria Math" panose="02040503050406030204" pitchFamily="18" charset="0"/>
                          </a:rPr>
                          <m:t>. </m:t>
                        </m:r>
                        <m:d>
                          <m:dPr>
                            <m:ctrlPr>
                              <a:rPr lang="pt-BR" sz="1100" b="0" i="1">
                                <a:solidFill>
                                  <a:schemeClr val="tx1"/>
                                </a:solidFill>
                                <a:effectLst/>
                                <a:latin typeface="Cambria Math" panose="02040503050406030204" pitchFamily="18" charset="0"/>
                                <a:ea typeface="+mn-ea"/>
                                <a:cs typeface="+mn-cs"/>
                              </a:rPr>
                            </m:ctrlPr>
                          </m:dPr>
                          <m:e>
                            <m:f>
                              <m:fPr>
                                <m:ctrlPr>
                                  <a:rPr lang="pt-BR" sz="1100" b="0" i="1">
                                    <a:solidFill>
                                      <a:schemeClr val="tx1"/>
                                    </a:solidFill>
                                    <a:effectLst/>
                                    <a:latin typeface="Cambria Math" panose="02040503050406030204" pitchFamily="18" charset="0"/>
                                    <a:ea typeface="+mn-ea"/>
                                    <a:cs typeface="+mn-cs"/>
                                  </a:rPr>
                                </m:ctrlPr>
                              </m:fPr>
                              <m:num>
                                <m:sSub>
                                  <m:sSubPr>
                                    <m:ctrlPr>
                                      <a:rPr lang="pt-BR" sz="1100" b="0" i="1">
                                        <a:solidFill>
                                          <a:schemeClr val="tx1"/>
                                        </a:solidFill>
                                        <a:effectLst/>
                                        <a:latin typeface="Cambria Math" panose="02040503050406030204" pitchFamily="18" charset="0"/>
                                        <a:ea typeface="+mn-ea"/>
                                        <a:cs typeface="+mn-cs"/>
                                      </a:rPr>
                                    </m:ctrlPr>
                                  </m:sSubPr>
                                  <m:e>
                                    <m:r>
                                      <a:rPr lang="pt-BR" sz="1100" b="0" i="1">
                                        <a:solidFill>
                                          <a:schemeClr val="tx1"/>
                                        </a:solidFill>
                                        <a:effectLst/>
                                        <a:latin typeface="Cambria Math" panose="02040503050406030204" pitchFamily="18" charset="0"/>
                                        <a:ea typeface="+mn-ea"/>
                                        <a:cs typeface="+mn-cs"/>
                                      </a:rPr>
                                      <m:t>𝑇</m:t>
                                    </m:r>
                                  </m:e>
                                  <m:sub>
                                    <m:r>
                                      <a:rPr lang="pt-BR" sz="1100" b="0" i="1">
                                        <a:solidFill>
                                          <a:schemeClr val="tx1"/>
                                        </a:solidFill>
                                        <a:effectLst/>
                                        <a:latin typeface="Cambria Math" panose="02040503050406030204" pitchFamily="18" charset="0"/>
                                        <a:ea typeface="+mn-ea"/>
                                        <a:cs typeface="+mn-cs"/>
                                      </a:rPr>
                                      <m:t>0</m:t>
                                    </m:r>
                                  </m:sub>
                                </m:sSub>
                              </m:num>
                              <m:den>
                                <m:r>
                                  <a:rPr lang="pt-BR" sz="1100" b="0" i="1">
                                    <a:solidFill>
                                      <a:schemeClr val="tx1"/>
                                    </a:solidFill>
                                    <a:effectLst/>
                                    <a:latin typeface="Cambria Math" panose="02040503050406030204" pitchFamily="18" charset="0"/>
                                    <a:ea typeface="+mn-ea"/>
                                    <a:cs typeface="+mn-cs"/>
                                  </a:rPr>
                                  <m:t>𝑇</m:t>
                                </m:r>
                              </m:den>
                            </m:f>
                          </m:e>
                        </m:d>
                      </m:e>
                    </m:d>
                  </m:oMath>
                </m:oMathPara>
              </a14:m>
              <a:endParaRPr lang="pt-BR" sz="1100"/>
            </a:p>
          </xdr:txBody>
        </xdr:sp>
      </mc:Choice>
      <mc:Fallback xmlns="">
        <xdr:sp macro="" textlink="">
          <xdr:nvSpPr>
            <xdr:cNvPr id="2" name="CaixaDeTexto 1"/>
            <xdr:cNvSpPr txBox="1"/>
          </xdr:nvSpPr>
          <xdr:spPr>
            <a:xfrm>
              <a:off x="1819275" y="309562"/>
              <a:ext cx="269557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100" b="0" i="0">
                  <a:latin typeface="Cambria Math" panose="02040503050406030204" pitchFamily="18" charset="0"/>
                </a:rPr>
                <a:t>𝑚𝑔/𝑚^3 =𝑝𝑝𝑚 . 0,04087 . 𝑀𝑊 . [(𝑃/𝑃_0 ). </a:t>
              </a:r>
              <a:r>
                <a:rPr lang="pt-BR" sz="1100" b="0" i="0">
                  <a:solidFill>
                    <a:schemeClr val="tx1"/>
                  </a:solidFill>
                  <a:effectLst/>
                  <a:latin typeface="+mn-lt"/>
                  <a:ea typeface="+mn-ea"/>
                  <a:cs typeface="+mn-cs"/>
                </a:rPr>
                <a:t>(</a:t>
              </a:r>
              <a:r>
                <a:rPr lang="pt-BR" sz="1100" b="0" i="0">
                  <a:solidFill>
                    <a:schemeClr val="tx1"/>
                  </a:solidFill>
                  <a:effectLst/>
                  <a:latin typeface="Cambria Math" panose="02040503050406030204" pitchFamily="18" charset="0"/>
                  <a:ea typeface="+mn-ea"/>
                  <a:cs typeface="+mn-cs"/>
                </a:rPr>
                <a:t>𝑇_0</a:t>
              </a:r>
              <a:r>
                <a:rPr lang="pt-BR" sz="1100" b="0" i="0">
                  <a:solidFill>
                    <a:schemeClr val="tx1"/>
                  </a:solidFill>
                  <a:effectLst/>
                  <a:latin typeface="+mn-lt"/>
                  <a:ea typeface="+mn-ea"/>
                  <a:cs typeface="+mn-cs"/>
                </a:rPr>
                <a:t>/</a:t>
              </a:r>
              <a:r>
                <a:rPr lang="pt-BR" sz="1100" b="0" i="0">
                  <a:solidFill>
                    <a:schemeClr val="tx1"/>
                  </a:solidFill>
                  <a:effectLst/>
                  <a:latin typeface="Cambria Math" panose="02040503050406030204" pitchFamily="18" charset="0"/>
                  <a:ea typeface="+mn-ea"/>
                  <a:cs typeface="+mn-cs"/>
                </a:rPr>
                <a:t>𝑇</a:t>
              </a:r>
              <a:r>
                <a:rPr lang="pt-BR" sz="1100" b="0" i="0">
                  <a:solidFill>
                    <a:schemeClr val="tx1"/>
                  </a:solidFill>
                  <a:effectLst/>
                  <a:latin typeface="+mn-lt"/>
                  <a:ea typeface="+mn-ea"/>
                  <a:cs typeface="+mn-cs"/>
                </a:rPr>
                <a:t>)</a:t>
              </a:r>
              <a:r>
                <a:rPr lang="pt-BR" sz="1100" b="0" i="0">
                  <a:solidFill>
                    <a:schemeClr val="tx1"/>
                  </a:solidFill>
                  <a:effectLst/>
                  <a:latin typeface="Cambria Math" panose="02040503050406030204" pitchFamily="18" charset="0"/>
                  <a:ea typeface="+mn-ea"/>
                  <a:cs typeface="+mn-cs"/>
                </a:rPr>
                <a:t>]</a:t>
              </a:r>
              <a:endParaRPr lang="pt-BR" sz="1100"/>
            </a:p>
          </xdr:txBody>
        </xdr:sp>
      </mc:Fallback>
    </mc:AlternateContent>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aarao\Desktop\Gabriel\Projetos\Inventario_RGV\Memorial_C&#225;lculo\Empreendimentos_Concreto\Bela%20Vista_Andamento\Memorial_Bela%20Vis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Transferências"/>
      <sheetName val="FE - Maq e Equip"/>
      <sheetName val="Dados"/>
      <sheetName val="Emissão Maq e Equip"/>
      <sheetName val="Emissão Transferências"/>
      <sheetName val="Emissão Chaminés"/>
      <sheetName val="Emissão Vias"/>
      <sheetName val="Resumo"/>
      <sheetName val="ppm to mg.m-3"/>
    </sheetNames>
    <sheetDataSet>
      <sheetData sheetId="0"/>
      <sheetData sheetId="1">
        <row r="4">
          <cell r="B4" t="str">
            <v>Rubber Tired Loaders - 25</v>
          </cell>
          <cell r="C4">
            <v>4.1647481574952775E-3</v>
          </cell>
          <cell r="D4">
            <v>6.5318933034944765E-2</v>
          </cell>
          <cell r="E4">
            <v>9.7431139391112798E-5</v>
          </cell>
          <cell r="F4">
            <v>3.2117661168667613E-2</v>
          </cell>
          <cell r="G4">
            <v>1.0013560541894806E-2</v>
          </cell>
          <cell r="H4">
            <v>7.6789363702976381</v>
          </cell>
          <cell r="I4">
            <v>9.0350737078986789E-4</v>
          </cell>
        </row>
        <row r="5">
          <cell r="B5" t="str">
            <v>Rubber Tired Loaders - 50</v>
          </cell>
          <cell r="C5">
            <v>1.9389461005136124E-2</v>
          </cell>
          <cell r="D5">
            <v>0.15850781980120351</v>
          </cell>
          <cell r="E5">
            <v>1.8265581631205882E-4</v>
          </cell>
          <cell r="F5">
            <v>0.19953638186759515</v>
          </cell>
          <cell r="G5">
            <v>8.7889870552575564E-2</v>
          </cell>
          <cell r="H5">
            <v>14.129238189499569</v>
          </cell>
          <cell r="I5">
            <v>7.9301638618412291E-3</v>
          </cell>
        </row>
        <row r="6">
          <cell r="B6" t="str">
            <v>Rubber Tired Loaders - 120</v>
          </cell>
          <cell r="C6">
            <v>3.5159649405128737E-2</v>
          </cell>
          <cell r="D6">
            <v>0.39013010201093185</v>
          </cell>
          <cell r="E6">
            <v>3.1347091665644508E-4</v>
          </cell>
          <cell r="F6">
            <v>0.2004419223709539</v>
          </cell>
          <cell r="G6">
            <v>6.7138814469940591E-2</v>
          </cell>
          <cell r="H6">
            <v>26.722695910514073</v>
          </cell>
          <cell r="I6">
            <v>6.0578280967871325E-3</v>
          </cell>
        </row>
        <row r="7">
          <cell r="B7" t="str">
            <v>Rubber Tired Loaders - 175</v>
          </cell>
          <cell r="C7">
            <v>3.4873730864910753E-2</v>
          </cell>
          <cell r="D7">
            <v>0.62819014565488085</v>
          </cell>
          <cell r="E7">
            <v>5.4259968788077681E-4</v>
          </cell>
          <cell r="F7">
            <v>0.29143683660988179</v>
          </cell>
          <cell r="G7">
            <v>7.9806989940830519E-2</v>
          </cell>
          <cell r="H7">
            <v>48.223729179933819</v>
          </cell>
          <cell r="I7">
            <v>7.2008552575325378E-3</v>
          </cell>
        </row>
        <row r="8">
          <cell r="B8" t="str">
            <v>Rubber Tired Loaders - 250</v>
          </cell>
          <cell r="C8">
            <v>3.101083119228833E-2</v>
          </cell>
          <cell r="D8">
            <v>0.83698143551687265</v>
          </cell>
          <cell r="E8">
            <v>7.6033040375300068E-4</v>
          </cell>
          <cell r="F8">
            <v>0.22495851814724077</v>
          </cell>
          <cell r="G8">
            <v>8.0781384871570633E-2</v>
          </cell>
          <cell r="H8">
            <v>67.57462749683539</v>
          </cell>
          <cell r="I8">
            <v>7.2887737155482657E-3</v>
          </cell>
        </row>
        <row r="9">
          <cell r="B9" t="str">
            <v>Rubber Tired Loaders - 500</v>
          </cell>
          <cell r="C9">
            <v>4.4312637095619792E-2</v>
          </cell>
          <cell r="D9">
            <v>1.1811178567160983</v>
          </cell>
          <cell r="E9">
            <v>1.0551972934755545E-3</v>
          </cell>
          <cell r="F9">
            <v>0.44023160723795168</v>
          </cell>
          <cell r="G9">
            <v>0.11468313954524458</v>
          </cell>
          <cell r="H9">
            <v>107.50511325477065</v>
          </cell>
          <cell r="I9">
            <v>1.0347677695252593E-2</v>
          </cell>
        </row>
        <row r="10">
          <cell r="B10" t="str">
            <v>Rubber Tired Loaders - 750</v>
          </cell>
          <cell r="C10">
            <v>9.1699292295937748E-2</v>
          </cell>
          <cell r="D10">
            <v>2.4816495823931239</v>
          </cell>
          <cell r="E10">
            <v>2.2143711863278365E-3</v>
          </cell>
          <cell r="F10">
            <v>0.8977989810489746</v>
          </cell>
          <cell r="G10">
            <v>0.2376690359121682</v>
          </cell>
          <cell r="H10">
            <v>220.23193257962103</v>
          </cell>
          <cell r="I10">
            <v>2.1444490325478866E-2</v>
          </cell>
        </row>
        <row r="11">
          <cell r="B11" t="str">
            <v>Rubber Tired Loaders - 1000</v>
          </cell>
          <cell r="C11">
            <v>0.11281698418835924</v>
          </cell>
          <cell r="D11">
            <v>3.6320533542247149</v>
          </cell>
          <cell r="E11">
            <v>2.708513011176045E-3</v>
          </cell>
          <cell r="F11">
            <v>1.2834306373108464</v>
          </cell>
          <cell r="G11">
            <v>0.33188731556128104</v>
          </cell>
          <cell r="H11">
            <v>269.37717766866973</v>
          </cell>
          <cell r="I11">
            <v>2.9945664738985911E-2</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3"/>
  <dimension ref="A1:L37"/>
  <sheetViews>
    <sheetView zoomScaleNormal="100" workbookViewId="0">
      <selection activeCell="F27" sqref="F27"/>
    </sheetView>
  </sheetViews>
  <sheetFormatPr defaultRowHeight="15" x14ac:dyDescent="0.25"/>
  <cols>
    <col min="1" max="1" width="14.42578125" customWidth="1"/>
    <col min="7" max="7" width="26.42578125" bestFit="1" customWidth="1"/>
    <col min="8" max="8" width="20.140625" bestFit="1" customWidth="1"/>
  </cols>
  <sheetData>
    <row r="1" spans="1:12" x14ac:dyDescent="0.25">
      <c r="A1" s="2" t="s">
        <v>105</v>
      </c>
    </row>
    <row r="2" spans="1:12" x14ac:dyDescent="0.25">
      <c r="A2" s="68" t="s">
        <v>106</v>
      </c>
      <c r="B2" s="69"/>
      <c r="C2" s="69"/>
      <c r="D2" s="69"/>
      <c r="E2" s="70"/>
      <c r="G2" s="68" t="s">
        <v>107</v>
      </c>
      <c r="H2" s="69"/>
      <c r="I2" s="69"/>
      <c r="J2" s="69"/>
      <c r="K2" s="69"/>
      <c r="L2" s="69"/>
    </row>
    <row r="3" spans="1:12" x14ac:dyDescent="0.25">
      <c r="A3" s="25" t="s">
        <v>109</v>
      </c>
      <c r="B3" s="25" t="s">
        <v>110</v>
      </c>
      <c r="C3" s="25" t="s">
        <v>111</v>
      </c>
      <c r="D3" s="25" t="s">
        <v>112</v>
      </c>
      <c r="E3" s="25" t="s">
        <v>113</v>
      </c>
      <c r="G3" s="71" t="s">
        <v>114</v>
      </c>
      <c r="H3" s="71" t="s">
        <v>115</v>
      </c>
      <c r="I3" s="68" t="s">
        <v>116</v>
      </c>
      <c r="J3" s="70"/>
      <c r="K3" s="68" t="s">
        <v>117</v>
      </c>
      <c r="L3" s="70"/>
    </row>
    <row r="4" spans="1:12" x14ac:dyDescent="0.25">
      <c r="A4" s="31">
        <v>0.74</v>
      </c>
      <c r="B4" s="32">
        <v>0.48</v>
      </c>
      <c r="C4" s="31">
        <v>0.35</v>
      </c>
      <c r="D4" s="32">
        <v>0.2</v>
      </c>
      <c r="E4" s="31">
        <v>5.2999999999999999E-2</v>
      </c>
      <c r="G4" s="72"/>
      <c r="H4" s="72"/>
      <c r="I4" s="61" t="s">
        <v>118</v>
      </c>
      <c r="J4" s="61" t="s">
        <v>119</v>
      </c>
      <c r="K4" s="61" t="s">
        <v>118</v>
      </c>
      <c r="L4" s="61" t="s">
        <v>119</v>
      </c>
    </row>
    <row r="5" spans="1:12" x14ac:dyDescent="0.25">
      <c r="G5" s="67" t="s">
        <v>122</v>
      </c>
      <c r="H5" s="33" t="s">
        <v>123</v>
      </c>
      <c r="I5" s="34" t="s">
        <v>63</v>
      </c>
      <c r="J5" s="34">
        <v>2.6</v>
      </c>
      <c r="K5" s="34" t="s">
        <v>63</v>
      </c>
      <c r="L5" s="34">
        <v>7.4</v>
      </c>
    </row>
    <row r="6" spans="1:12" ht="15" customHeight="1" x14ac:dyDescent="0.25">
      <c r="A6" s="64" t="s">
        <v>16</v>
      </c>
      <c r="B6" s="65"/>
      <c r="C6" s="65"/>
      <c r="D6" s="65"/>
      <c r="E6" s="65"/>
      <c r="G6" s="67"/>
      <c r="H6" s="33" t="s">
        <v>120</v>
      </c>
      <c r="I6" s="34" t="s">
        <v>124</v>
      </c>
      <c r="J6" s="34">
        <v>3.8</v>
      </c>
      <c r="K6" s="34" t="s">
        <v>125</v>
      </c>
      <c r="L6" s="34">
        <v>3.6</v>
      </c>
    </row>
    <row r="7" spans="1:12" x14ac:dyDescent="0.25">
      <c r="A7" s="64"/>
      <c r="B7" s="65"/>
      <c r="C7" s="65"/>
      <c r="D7" s="65"/>
      <c r="E7" s="65"/>
      <c r="G7" s="67"/>
      <c r="H7" s="33" t="s">
        <v>126</v>
      </c>
      <c r="I7" s="34" t="s">
        <v>127</v>
      </c>
      <c r="J7" s="34">
        <v>9</v>
      </c>
      <c r="K7" s="34" t="s">
        <v>128</v>
      </c>
      <c r="L7" s="34">
        <v>12</v>
      </c>
    </row>
    <row r="8" spans="1:12" x14ac:dyDescent="0.25">
      <c r="A8" s="64"/>
      <c r="B8" s="65"/>
      <c r="C8" s="65"/>
      <c r="D8" s="65"/>
      <c r="E8" s="65"/>
      <c r="G8" s="67"/>
      <c r="H8" s="33" t="s">
        <v>129</v>
      </c>
      <c r="I8" s="34" t="s">
        <v>63</v>
      </c>
      <c r="J8" s="34">
        <v>9.1999999999999993</v>
      </c>
      <c r="K8" s="34" t="s">
        <v>63</v>
      </c>
      <c r="L8" s="34">
        <v>14</v>
      </c>
    </row>
    <row r="9" spans="1:12" ht="15" customHeight="1" x14ac:dyDescent="0.25">
      <c r="A9" s="64"/>
      <c r="B9" s="65"/>
      <c r="C9" s="65"/>
      <c r="D9" s="65"/>
      <c r="E9" s="65"/>
      <c r="G9" s="67"/>
      <c r="H9" s="33" t="s">
        <v>130</v>
      </c>
      <c r="I9" s="34" t="s">
        <v>131</v>
      </c>
      <c r="J9" s="34">
        <v>6</v>
      </c>
      <c r="K9" s="34" t="s">
        <v>132</v>
      </c>
      <c r="L9" s="34">
        <v>10</v>
      </c>
    </row>
    <row r="10" spans="1:12" x14ac:dyDescent="0.25">
      <c r="A10" s="64"/>
      <c r="B10" s="65"/>
      <c r="C10" s="65"/>
      <c r="D10" s="65"/>
      <c r="E10" s="65"/>
      <c r="G10" s="67"/>
      <c r="H10" s="33" t="s">
        <v>133</v>
      </c>
      <c r="I10" s="34" t="s">
        <v>134</v>
      </c>
      <c r="J10" s="34">
        <v>80</v>
      </c>
      <c r="K10" s="34" t="s">
        <v>135</v>
      </c>
      <c r="L10" s="34">
        <v>27</v>
      </c>
    </row>
    <row r="11" spans="1:12" ht="15" customHeight="1" x14ac:dyDescent="0.25">
      <c r="A11" s="64"/>
      <c r="B11" s="66" t="s">
        <v>121</v>
      </c>
      <c r="C11" s="66"/>
      <c r="D11" s="66"/>
      <c r="E11" s="66"/>
      <c r="G11" s="67"/>
      <c r="H11" s="33" t="s">
        <v>136</v>
      </c>
      <c r="I11" s="34" t="s">
        <v>63</v>
      </c>
      <c r="J11" s="34">
        <v>12</v>
      </c>
      <c r="K11" s="34" t="s">
        <v>63</v>
      </c>
      <c r="L11" s="34">
        <v>11</v>
      </c>
    </row>
    <row r="12" spans="1:12" x14ac:dyDescent="0.25">
      <c r="A12" s="64"/>
      <c r="B12" s="66"/>
      <c r="C12" s="66"/>
      <c r="D12" s="66"/>
      <c r="E12" s="66"/>
      <c r="G12" s="36"/>
      <c r="H12" s="33"/>
      <c r="I12" s="34"/>
      <c r="J12" s="34"/>
      <c r="K12" s="34"/>
      <c r="L12" s="34"/>
    </row>
    <row r="13" spans="1:12" x14ac:dyDescent="0.25">
      <c r="A13" s="64"/>
      <c r="B13" s="66"/>
      <c r="C13" s="66"/>
      <c r="D13" s="66"/>
      <c r="E13" s="66"/>
      <c r="G13" s="36"/>
      <c r="H13" s="33"/>
      <c r="I13" s="34"/>
      <c r="J13" s="34"/>
      <c r="K13" s="34"/>
      <c r="L13" s="34"/>
    </row>
    <row r="14" spans="1:12" x14ac:dyDescent="0.25">
      <c r="A14" s="64"/>
      <c r="B14" s="66"/>
      <c r="C14" s="66"/>
      <c r="D14" s="66"/>
      <c r="E14" s="66"/>
      <c r="G14" s="69" t="s">
        <v>148</v>
      </c>
      <c r="H14" s="70"/>
      <c r="I14" s="34"/>
      <c r="J14" s="34"/>
      <c r="K14" s="34"/>
      <c r="L14" s="34"/>
    </row>
    <row r="15" spans="1:12" x14ac:dyDescent="0.25">
      <c r="A15" s="64"/>
      <c r="B15" s="66"/>
      <c r="C15" s="66"/>
      <c r="D15" s="66"/>
      <c r="E15" s="66"/>
      <c r="G15" s="32" t="s">
        <v>146</v>
      </c>
      <c r="H15" s="34">
        <f>1.52*1000</f>
        <v>1520</v>
      </c>
      <c r="I15" s="34"/>
      <c r="J15" s="34"/>
      <c r="K15" s="34"/>
      <c r="L15" s="34"/>
    </row>
    <row r="16" spans="1:12" x14ac:dyDescent="0.25">
      <c r="A16" s="2"/>
      <c r="G16" s="32" t="s">
        <v>147</v>
      </c>
      <c r="H16" s="34">
        <f>1.55*1000</f>
        <v>1550</v>
      </c>
      <c r="I16" s="34"/>
      <c r="J16" s="34"/>
      <c r="K16" s="34"/>
      <c r="L16" s="34"/>
    </row>
    <row r="17" spans="4:12" x14ac:dyDescent="0.25">
      <c r="G17" s="62" t="s">
        <v>149</v>
      </c>
      <c r="H17" s="63">
        <v>2400</v>
      </c>
      <c r="I17" s="34"/>
      <c r="J17" s="34"/>
      <c r="K17" s="34"/>
      <c r="L17" s="34"/>
    </row>
    <row r="18" spans="4:12" x14ac:dyDescent="0.25">
      <c r="G18" s="36"/>
      <c r="H18" s="33"/>
      <c r="I18" s="34"/>
      <c r="J18" s="34"/>
      <c r="K18" s="34"/>
      <c r="L18" s="34"/>
    </row>
    <row r="19" spans="4:12" x14ac:dyDescent="0.25">
      <c r="D19" s="35"/>
      <c r="G19" s="36"/>
      <c r="H19" s="33"/>
      <c r="I19" s="34"/>
      <c r="J19" s="34"/>
      <c r="K19" s="34"/>
      <c r="L19" s="34"/>
    </row>
    <row r="20" spans="4:12" x14ac:dyDescent="0.25">
      <c r="D20" s="35"/>
      <c r="G20" s="36"/>
      <c r="H20" s="33"/>
      <c r="I20" s="34"/>
      <c r="J20" s="34"/>
      <c r="K20" s="34"/>
      <c r="L20" s="34"/>
    </row>
    <row r="21" spans="4:12" x14ac:dyDescent="0.25">
      <c r="G21" s="33"/>
      <c r="H21" s="33"/>
      <c r="I21" s="34"/>
      <c r="J21" s="34"/>
      <c r="K21" s="34"/>
      <c r="L21" s="34"/>
    </row>
    <row r="37" spans="8:8" x14ac:dyDescent="0.25">
      <c r="H37" s="12"/>
    </row>
  </sheetData>
  <sheetProtection password="B056" sheet="1" objects="1" scenarios="1"/>
  <mergeCells count="11">
    <mergeCell ref="A6:A15"/>
    <mergeCell ref="B6:E10"/>
    <mergeCell ref="B11:E15"/>
    <mergeCell ref="G5:G11"/>
    <mergeCell ref="A2:E2"/>
    <mergeCell ref="G2:L2"/>
    <mergeCell ref="G14:H14"/>
    <mergeCell ref="G3:G4"/>
    <mergeCell ref="H3:H4"/>
    <mergeCell ref="I3:J3"/>
    <mergeCell ref="K3:L3"/>
  </mergeCells>
  <pageMargins left="0.511811024" right="0.511811024" top="0.78740157499999996" bottom="0.78740157499999996" header="0.31496062000000002" footer="0.31496062000000002"/>
  <pageSetup paperSize="9" orientation="portrait" horizontalDpi="0" verticalDpi="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5"/>
  <dimension ref="A1:N24"/>
  <sheetViews>
    <sheetView zoomScaleNormal="100" workbookViewId="0">
      <pane xSplit="1" ySplit="3" topLeftCell="B4" activePane="bottomRight" state="frozen"/>
      <selection pane="topRight" activeCell="B1" sqref="B1"/>
      <selection pane="bottomLeft" activeCell="A4" sqref="A4"/>
      <selection pane="bottomRight" activeCell="A3" sqref="A3"/>
    </sheetView>
  </sheetViews>
  <sheetFormatPr defaultRowHeight="15" x14ac:dyDescent="0.25"/>
  <cols>
    <col min="1" max="1" width="34.7109375" customWidth="1"/>
    <col min="2" max="2" width="40.85546875" bestFit="1" customWidth="1"/>
    <col min="3" max="7" width="11.7109375" bestFit="1" customWidth="1"/>
    <col min="8" max="8" width="13.5703125" bestFit="1" customWidth="1"/>
    <col min="9" max="9" width="11.7109375" bestFit="1" customWidth="1"/>
  </cols>
  <sheetData>
    <row r="1" spans="1:14" x14ac:dyDescent="0.25">
      <c r="A1" s="2" t="s">
        <v>43</v>
      </c>
    </row>
    <row r="2" spans="1:14" x14ac:dyDescent="0.25">
      <c r="A2" s="2" t="s">
        <v>64</v>
      </c>
      <c r="B2" s="1" t="s">
        <v>103</v>
      </c>
    </row>
    <row r="3" spans="1:14" x14ac:dyDescent="0.25">
      <c r="A3" s="25" t="s">
        <v>44</v>
      </c>
      <c r="B3" s="25" t="s">
        <v>45</v>
      </c>
      <c r="C3" s="25" t="s">
        <v>46</v>
      </c>
      <c r="D3" s="25" t="s">
        <v>47</v>
      </c>
      <c r="E3" s="25" t="s">
        <v>48</v>
      </c>
      <c r="F3" s="25" t="s">
        <v>49</v>
      </c>
      <c r="G3" s="25" t="s">
        <v>50</v>
      </c>
      <c r="H3" s="25" t="s">
        <v>51</v>
      </c>
      <c r="I3" s="25" t="s">
        <v>52</v>
      </c>
    </row>
    <row r="4" spans="1:14" ht="15" customHeight="1" x14ac:dyDescent="0.25">
      <c r="A4" s="94" t="s">
        <v>53</v>
      </c>
      <c r="B4" s="23" t="s">
        <v>54</v>
      </c>
      <c r="C4" s="21">
        <v>2.2233528158535436E-3</v>
      </c>
      <c r="D4" s="21">
        <v>5.8539360229039702E-2</v>
      </c>
      <c r="E4" s="21">
        <v>9.7431139068082024E-5</v>
      </c>
      <c r="F4" s="21">
        <v>3.1618347598406468E-2</v>
      </c>
      <c r="G4" s="21">
        <v>9.2637287924902129E-3</v>
      </c>
      <c r="H4" s="21">
        <v>7.6789341862403244</v>
      </c>
      <c r="I4" s="21">
        <v>8.358514393264116E-4</v>
      </c>
      <c r="N4" s="22"/>
    </row>
    <row r="5" spans="1:14" x14ac:dyDescent="0.25">
      <c r="A5" s="95"/>
      <c r="B5" s="23" t="s">
        <v>55</v>
      </c>
      <c r="C5" s="21">
        <v>1.2083695673402686E-2</v>
      </c>
      <c r="D5" s="21">
        <v>0.13607601567666322</v>
      </c>
      <c r="E5" s="21">
        <v>1.8265583759563049E-4</v>
      </c>
      <c r="F5" s="21">
        <v>0.16034705741548791</v>
      </c>
      <c r="G5" s="21">
        <v>4.9538353642884558E-2</v>
      </c>
      <c r="H5" s="21">
        <v>14.129244080647961</v>
      </c>
      <c r="I5" s="21">
        <v>4.4697665194494479E-3</v>
      </c>
      <c r="N5" s="22"/>
    </row>
    <row r="6" spans="1:14" x14ac:dyDescent="0.25">
      <c r="A6" s="95"/>
      <c r="B6" s="23" t="s">
        <v>56</v>
      </c>
      <c r="C6" s="21">
        <v>2.1619675428539101E-2</v>
      </c>
      <c r="D6" s="21">
        <v>0.25647513051814463</v>
      </c>
      <c r="E6" s="21">
        <v>3.1347090469172837E-4</v>
      </c>
      <c r="F6" s="21">
        <v>0.18685251273509726</v>
      </c>
      <c r="G6" s="21">
        <v>4.0903091698620768E-2</v>
      </c>
      <c r="H6" s="21">
        <v>26.722694610632029</v>
      </c>
      <c r="I6" s="21">
        <v>3.6906206677267475E-3</v>
      </c>
      <c r="K6" s="22"/>
      <c r="N6" s="22"/>
    </row>
    <row r="7" spans="1:14" x14ac:dyDescent="0.25">
      <c r="A7" s="95"/>
      <c r="B7" s="23" t="s">
        <v>57</v>
      </c>
      <c r="C7" s="21">
        <v>2.2180385599812551E-2</v>
      </c>
      <c r="D7" s="21">
        <v>0.40439388753556149</v>
      </c>
      <c r="E7" s="21">
        <v>5.4259951032711038E-4</v>
      </c>
      <c r="F7" s="21">
        <v>0.28401041327190701</v>
      </c>
      <c r="G7" s="21">
        <v>5.2996557562790335E-2</v>
      </c>
      <c r="H7" s="21">
        <v>48.223706095488367</v>
      </c>
      <c r="I7" s="21">
        <v>4.7817936815297852E-3</v>
      </c>
      <c r="N7" s="22"/>
    </row>
    <row r="8" spans="1:14" x14ac:dyDescent="0.25">
      <c r="A8" s="95"/>
      <c r="B8" s="23" t="s">
        <v>58</v>
      </c>
      <c r="C8" s="21">
        <v>1.7011004371844239E-2</v>
      </c>
      <c r="D8" s="21">
        <v>0.49740930285055612</v>
      </c>
      <c r="E8" s="21">
        <v>7.6033055886779225E-4</v>
      </c>
      <c r="F8" s="21">
        <v>0.16116571509088945</v>
      </c>
      <c r="G8" s="21">
        <v>5.3795848409944981E-2</v>
      </c>
      <c r="H8" s="21">
        <v>67.574632687781914</v>
      </c>
      <c r="I8" s="21">
        <v>4.853911974720522E-3</v>
      </c>
      <c r="N8" s="22"/>
    </row>
    <row r="9" spans="1:14" x14ac:dyDescent="0.25">
      <c r="A9" s="95"/>
      <c r="B9" s="23" t="s">
        <v>59</v>
      </c>
      <c r="C9" s="21">
        <v>2.5111101214543855E-2</v>
      </c>
      <c r="D9" s="21">
        <v>0.70339736639370321</v>
      </c>
      <c r="E9" s="21">
        <v>1.0551975567241465E-3</v>
      </c>
      <c r="F9" s="21">
        <v>0.27602709832415367</v>
      </c>
      <c r="G9" s="21">
        <v>8.0258882496847483E-2</v>
      </c>
      <c r="H9" s="21">
        <v>107.50510910054236</v>
      </c>
      <c r="I9" s="21">
        <v>7.2416314517459359E-3</v>
      </c>
    </row>
    <row r="10" spans="1:14" x14ac:dyDescent="0.25">
      <c r="A10" s="95"/>
      <c r="B10" s="23" t="s">
        <v>60</v>
      </c>
      <c r="C10" s="21">
        <v>5.2285038201683794E-2</v>
      </c>
      <c r="D10" s="21">
        <v>1.4847381048478179</v>
      </c>
      <c r="E10" s="21">
        <v>2.2143709510981319E-3</v>
      </c>
      <c r="F10" s="21">
        <v>0.56471064556935202</v>
      </c>
      <c r="G10" s="21">
        <v>0.16548455454182931</v>
      </c>
      <c r="H10" s="21">
        <v>220.23188406278348</v>
      </c>
      <c r="I10" s="21">
        <v>1.4931407942197919E-2</v>
      </c>
    </row>
    <row r="11" spans="1:14" x14ac:dyDescent="0.25">
      <c r="A11" s="95"/>
      <c r="B11" s="23" t="s">
        <v>61</v>
      </c>
      <c r="C11" s="21">
        <v>7.6488189711981888E-2</v>
      </c>
      <c r="D11" s="21">
        <v>2.5493621116134304</v>
      </c>
      <c r="E11" s="21">
        <v>2.7085117011181313E-3</v>
      </c>
      <c r="F11" s="21">
        <v>0.78697070370190414</v>
      </c>
      <c r="G11" s="21">
        <v>0.22348260528725777</v>
      </c>
      <c r="H11" s="21">
        <v>269.37708825086168</v>
      </c>
      <c r="I11" s="21">
        <v>2.0164477964822226E-2</v>
      </c>
    </row>
    <row r="12" spans="1:14" ht="23.25" customHeight="1" x14ac:dyDescent="0.25">
      <c r="A12" s="96" t="s">
        <v>100</v>
      </c>
      <c r="B12" s="4" t="s">
        <v>101</v>
      </c>
      <c r="C12" s="21">
        <v>1.9057901167207783E-3</v>
      </c>
      <c r="D12" s="21">
        <v>2.704187768102205E-2</v>
      </c>
      <c r="E12" s="21">
        <v>4.460996645009355E-5</v>
      </c>
      <c r="F12" s="21">
        <v>1.8094656025972322E-2</v>
      </c>
      <c r="G12" s="21">
        <v>4.1719900254189677E-3</v>
      </c>
      <c r="H12" s="21">
        <v>2.8668023203014394</v>
      </c>
      <c r="I12" s="21">
        <v>3.7643194658109735E-4</v>
      </c>
    </row>
    <row r="13" spans="1:14" x14ac:dyDescent="0.25">
      <c r="A13" s="96"/>
      <c r="B13" s="4" t="s">
        <v>102</v>
      </c>
      <c r="C13" s="21">
        <v>6.0238908594067346E-3</v>
      </c>
      <c r="D13" s="21">
        <v>7.998108293655809E-2</v>
      </c>
      <c r="E13" s="21">
        <v>1.0103967589983921E-4</v>
      </c>
      <c r="F13" s="21">
        <v>4.915120061456521E-2</v>
      </c>
      <c r="G13" s="21">
        <v>1.9424072256706212E-2</v>
      </c>
      <c r="H13" s="21">
        <v>7.963340704952933</v>
      </c>
      <c r="I13" s="21">
        <v>1.7526031039325704E-3</v>
      </c>
    </row>
    <row r="17" spans="1:5" x14ac:dyDescent="0.25">
      <c r="A17" s="2" t="s">
        <v>43</v>
      </c>
    </row>
    <row r="18" spans="1:5" x14ac:dyDescent="0.25">
      <c r="A18" s="73" t="s">
        <v>16</v>
      </c>
      <c r="B18" s="76"/>
      <c r="C18" s="77"/>
      <c r="D18" s="77"/>
      <c r="E18" s="78"/>
    </row>
    <row r="19" spans="1:5" x14ac:dyDescent="0.25">
      <c r="A19" s="74"/>
      <c r="B19" s="79"/>
      <c r="C19" s="80"/>
      <c r="D19" s="80"/>
      <c r="E19" s="81"/>
    </row>
    <row r="20" spans="1:5" x14ac:dyDescent="0.25">
      <c r="A20" s="74"/>
      <c r="B20" s="82"/>
      <c r="C20" s="83"/>
      <c r="D20" s="83"/>
      <c r="E20" s="84"/>
    </row>
    <row r="21" spans="1:5" x14ac:dyDescent="0.25">
      <c r="A21" s="74"/>
      <c r="B21" s="85" t="s">
        <v>158</v>
      </c>
      <c r="C21" s="86"/>
      <c r="D21" s="86"/>
      <c r="E21" s="87"/>
    </row>
    <row r="22" spans="1:5" x14ac:dyDescent="0.25">
      <c r="A22" s="74"/>
      <c r="B22" s="88"/>
      <c r="C22" s="89"/>
      <c r="D22" s="89"/>
      <c r="E22" s="90"/>
    </row>
    <row r="23" spans="1:5" x14ac:dyDescent="0.25">
      <c r="A23" s="74"/>
      <c r="B23" s="88"/>
      <c r="C23" s="89"/>
      <c r="D23" s="89"/>
      <c r="E23" s="90"/>
    </row>
    <row r="24" spans="1:5" x14ac:dyDescent="0.25">
      <c r="A24" s="75"/>
      <c r="B24" s="91"/>
      <c r="C24" s="92"/>
      <c r="D24" s="92"/>
      <c r="E24" s="93"/>
    </row>
  </sheetData>
  <sheetProtection password="B056" sheet="1" objects="1" scenarios="1"/>
  <mergeCells count="5">
    <mergeCell ref="A18:A24"/>
    <mergeCell ref="B18:E20"/>
    <mergeCell ref="B21:E24"/>
    <mergeCell ref="A4:A11"/>
    <mergeCell ref="A12:A13"/>
  </mergeCells>
  <pageMargins left="0.511811024" right="0.511811024" top="0.78740157499999996" bottom="0.78740157499999996" header="0.31496062000000002" footer="0.31496062000000002"/>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4"/>
  <dimension ref="A1:P62"/>
  <sheetViews>
    <sheetView zoomScale="85" zoomScaleNormal="85" workbookViewId="0">
      <selection activeCell="D21" sqref="D21"/>
    </sheetView>
  </sheetViews>
  <sheetFormatPr defaultRowHeight="15" x14ac:dyDescent="0.25"/>
  <cols>
    <col min="1" max="1" width="53.42578125" customWidth="1"/>
    <col min="2" max="2" width="32.28515625" customWidth="1"/>
    <col min="3" max="3" width="16.85546875" bestFit="1" customWidth="1"/>
    <col min="4" max="4" width="29" customWidth="1"/>
    <col min="5" max="5" width="23.5703125" customWidth="1"/>
    <col min="6" max="6" width="16.85546875" bestFit="1" customWidth="1"/>
    <col min="7" max="7" width="19.42578125" customWidth="1"/>
    <col min="8" max="10" width="18.85546875" customWidth="1"/>
    <col min="11" max="11" width="21" customWidth="1"/>
    <col min="12" max="12" width="17.140625" customWidth="1"/>
    <col min="13" max="13" width="11.28515625" customWidth="1"/>
    <col min="14" max="14" width="14.5703125" bestFit="1" customWidth="1"/>
    <col min="15" max="15" width="12.7109375" bestFit="1" customWidth="1"/>
  </cols>
  <sheetData>
    <row r="1" spans="1:16" x14ac:dyDescent="0.25">
      <c r="A1" s="3" t="s">
        <v>65</v>
      </c>
      <c r="B1" s="1"/>
      <c r="C1" s="1"/>
      <c r="D1" s="1"/>
      <c r="E1" s="1"/>
      <c r="F1" s="1"/>
      <c r="G1" s="1"/>
      <c r="H1" s="1"/>
      <c r="I1" s="1"/>
      <c r="J1" s="1"/>
      <c r="K1" s="1"/>
      <c r="L1" s="1"/>
      <c r="M1" s="1"/>
      <c r="N1" s="1"/>
    </row>
    <row r="2" spans="1:16" x14ac:dyDescent="0.25">
      <c r="A2" s="3"/>
      <c r="B2" s="1"/>
      <c r="C2" s="1"/>
      <c r="D2" s="1"/>
      <c r="E2" s="1"/>
      <c r="F2" s="1"/>
      <c r="G2" s="1"/>
      <c r="H2" s="1"/>
      <c r="I2" s="1"/>
      <c r="J2" s="1"/>
      <c r="K2" s="1"/>
      <c r="L2" s="1"/>
      <c r="M2" s="1"/>
      <c r="N2" s="1"/>
    </row>
    <row r="3" spans="1:16" x14ac:dyDescent="0.25">
      <c r="A3" s="1" t="s">
        <v>88</v>
      </c>
      <c r="B3" s="4">
        <v>8</v>
      </c>
      <c r="C3" s="1"/>
      <c r="D3" s="1"/>
      <c r="E3" s="1"/>
      <c r="F3" s="1"/>
      <c r="G3" s="1"/>
      <c r="H3" s="1"/>
      <c r="I3" s="1"/>
      <c r="J3" s="1"/>
      <c r="K3" s="1"/>
      <c r="L3" s="1"/>
      <c r="M3" s="1"/>
      <c r="N3" s="1"/>
    </row>
    <row r="4" spans="1:16" x14ac:dyDescent="0.25">
      <c r="A4" s="68" t="s">
        <v>83</v>
      </c>
      <c r="B4" s="69"/>
      <c r="C4" s="69"/>
      <c r="D4" s="69"/>
      <c r="E4" s="69"/>
      <c r="F4" s="69"/>
      <c r="G4" s="69"/>
      <c r="H4" s="69"/>
      <c r="I4" s="69"/>
      <c r="J4" s="69"/>
      <c r="K4" s="69"/>
      <c r="L4" s="69"/>
      <c r="M4" s="70"/>
      <c r="N4" s="98" t="s">
        <v>36</v>
      </c>
    </row>
    <row r="5" spans="1:16" x14ac:dyDescent="0.25">
      <c r="A5" s="25" t="s">
        <v>84</v>
      </c>
      <c r="B5" s="25" t="s">
        <v>69</v>
      </c>
      <c r="C5" s="25" t="s">
        <v>70</v>
      </c>
      <c r="D5" s="25" t="s">
        <v>71</v>
      </c>
      <c r="E5" s="25" t="s">
        <v>72</v>
      </c>
      <c r="F5" s="25" t="s">
        <v>73</v>
      </c>
      <c r="G5" s="25" t="s">
        <v>74</v>
      </c>
      <c r="H5" s="25" t="s">
        <v>75</v>
      </c>
      <c r="I5" s="25" t="s">
        <v>76</v>
      </c>
      <c r="J5" s="25" t="s">
        <v>77</v>
      </c>
      <c r="K5" s="25" t="s">
        <v>78</v>
      </c>
      <c r="L5" s="25" t="s">
        <v>79</v>
      </c>
      <c r="M5" s="25" t="s">
        <v>80</v>
      </c>
      <c r="N5" s="99"/>
    </row>
    <row r="6" spans="1:16" x14ac:dyDescent="0.25">
      <c r="A6" s="1" t="s">
        <v>66</v>
      </c>
      <c r="B6" s="4">
        <v>1688.5</v>
      </c>
      <c r="C6" s="4">
        <v>1621.45</v>
      </c>
      <c r="D6" s="4">
        <v>2459.67</v>
      </c>
      <c r="E6" s="48">
        <v>2866.9</v>
      </c>
      <c r="F6" s="48">
        <v>2979.48</v>
      </c>
      <c r="G6" s="48">
        <v>2103.46</v>
      </c>
      <c r="H6" s="48">
        <v>2315.06</v>
      </c>
      <c r="I6" s="48">
        <v>1532.16</v>
      </c>
      <c r="J6" s="48">
        <v>1941.36</v>
      </c>
      <c r="K6" s="48">
        <v>1689.14</v>
      </c>
      <c r="L6" s="48">
        <v>1723.38</v>
      </c>
      <c r="M6" s="48">
        <v>1764.61</v>
      </c>
      <c r="N6" s="53">
        <f t="shared" ref="N6:N10" si="0">SUM(B6:M6)</f>
        <v>24685.170000000002</v>
      </c>
      <c r="P6" s="49"/>
    </row>
    <row r="7" spans="1:16" x14ac:dyDescent="0.25">
      <c r="A7" s="1" t="s">
        <v>81</v>
      </c>
      <c r="B7" s="4">
        <v>0</v>
      </c>
      <c r="C7" s="4">
        <v>500</v>
      </c>
      <c r="D7" s="4">
        <v>50</v>
      </c>
      <c r="E7" s="48">
        <v>425</v>
      </c>
      <c r="F7" s="48">
        <v>200</v>
      </c>
      <c r="G7" s="48">
        <v>380</v>
      </c>
      <c r="H7" s="48">
        <v>308</v>
      </c>
      <c r="I7" s="48">
        <v>280</v>
      </c>
      <c r="J7" s="48">
        <v>220</v>
      </c>
      <c r="K7" s="48">
        <v>200</v>
      </c>
      <c r="L7" s="48">
        <v>200</v>
      </c>
      <c r="M7" s="48">
        <v>0</v>
      </c>
      <c r="N7" s="53">
        <f t="shared" si="0"/>
        <v>2763</v>
      </c>
    </row>
    <row r="8" spans="1:16" x14ac:dyDescent="0.25">
      <c r="A8" s="1" t="s">
        <v>67</v>
      </c>
      <c r="B8" s="4">
        <v>844.13</v>
      </c>
      <c r="C8" s="4">
        <v>505.04</v>
      </c>
      <c r="D8" s="4">
        <v>796.07</v>
      </c>
      <c r="E8" s="48">
        <v>1234.1600000000001</v>
      </c>
      <c r="F8" s="48">
        <v>1091.71</v>
      </c>
      <c r="G8" s="48">
        <v>925.67</v>
      </c>
      <c r="H8" s="48">
        <v>742.79</v>
      </c>
      <c r="I8" s="48">
        <v>601.36</v>
      </c>
      <c r="J8" s="48">
        <v>667.91</v>
      </c>
      <c r="K8" s="48">
        <v>749.24</v>
      </c>
      <c r="L8" s="48">
        <v>719.72</v>
      </c>
      <c r="M8" s="48">
        <v>696.84</v>
      </c>
      <c r="N8" s="53">
        <f t="shared" si="0"/>
        <v>9574.64</v>
      </c>
    </row>
    <row r="9" spans="1:16" x14ac:dyDescent="0.25">
      <c r="A9" s="1" t="s">
        <v>68</v>
      </c>
      <c r="B9" s="4">
        <v>1251.76</v>
      </c>
      <c r="C9" s="4">
        <v>1715.52</v>
      </c>
      <c r="D9" s="4">
        <v>2496.12</v>
      </c>
      <c r="E9" s="48">
        <v>2380.42</v>
      </c>
      <c r="F9" s="48">
        <v>2288.4299999999998</v>
      </c>
      <c r="G9" s="48">
        <v>1901.11</v>
      </c>
      <c r="H9" s="48">
        <v>2017.49</v>
      </c>
      <c r="I9" s="48">
        <v>1570.29</v>
      </c>
      <c r="J9" s="48">
        <v>1861.56</v>
      </c>
      <c r="K9" s="48">
        <v>1484.4</v>
      </c>
      <c r="L9" s="48">
        <v>1726.45</v>
      </c>
      <c r="M9" s="48">
        <v>1333.63</v>
      </c>
      <c r="N9" s="53">
        <f t="shared" si="0"/>
        <v>22027.180000000004</v>
      </c>
    </row>
    <row r="10" spans="1:16" x14ac:dyDescent="0.25">
      <c r="A10" s="1" t="s">
        <v>82</v>
      </c>
      <c r="B10" s="4">
        <v>0</v>
      </c>
      <c r="C10" s="4">
        <v>0</v>
      </c>
      <c r="D10" s="4">
        <v>0</v>
      </c>
      <c r="E10" s="48">
        <v>47240</v>
      </c>
      <c r="F10" s="48">
        <v>106080</v>
      </c>
      <c r="G10" s="48">
        <v>56872</v>
      </c>
      <c r="H10" s="48">
        <v>38790</v>
      </c>
      <c r="I10" s="48">
        <v>78694.009999999995</v>
      </c>
      <c r="J10" s="48">
        <v>57440</v>
      </c>
      <c r="K10" s="48">
        <v>58210.01</v>
      </c>
      <c r="L10" s="48">
        <v>56027</v>
      </c>
      <c r="M10" s="48">
        <v>41460</v>
      </c>
      <c r="N10" s="48">
        <f t="shared" si="0"/>
        <v>540813.02</v>
      </c>
    </row>
    <row r="11" spans="1:16" x14ac:dyDescent="0.25">
      <c r="A11" s="1"/>
      <c r="B11" s="1"/>
      <c r="C11" s="1"/>
      <c r="D11" s="1"/>
      <c r="E11" s="48"/>
      <c r="F11" s="48"/>
      <c r="G11" s="48"/>
      <c r="H11" s="48"/>
      <c r="I11" s="48"/>
      <c r="J11" s="48"/>
      <c r="K11" s="48"/>
      <c r="L11" s="48"/>
      <c r="M11" s="48"/>
      <c r="N11" s="48">
        <f>SUM(N6:N10)</f>
        <v>599863.01</v>
      </c>
    </row>
    <row r="13" spans="1:16" x14ac:dyDescent="0.25">
      <c r="A13" s="68" t="s">
        <v>90</v>
      </c>
      <c r="B13" s="69"/>
      <c r="C13" s="69"/>
      <c r="D13" s="69"/>
      <c r="E13" s="69"/>
      <c r="F13" s="69"/>
      <c r="G13" s="69"/>
      <c r="H13" s="70"/>
    </row>
    <row r="14" spans="1:16" x14ac:dyDescent="0.25">
      <c r="A14" s="4" t="s">
        <v>92</v>
      </c>
      <c r="B14" s="4" t="s">
        <v>93</v>
      </c>
      <c r="C14" s="4" t="s">
        <v>37</v>
      </c>
      <c r="D14" s="4" t="s">
        <v>99</v>
      </c>
      <c r="E14" s="4" t="s">
        <v>95</v>
      </c>
      <c r="F14" s="4" t="s">
        <v>96</v>
      </c>
      <c r="G14" s="4" t="s">
        <v>97</v>
      </c>
      <c r="H14" s="4" t="s">
        <v>104</v>
      </c>
    </row>
    <row r="15" spans="1:16" x14ac:dyDescent="0.25">
      <c r="A15" s="1" t="s">
        <v>91</v>
      </c>
      <c r="B15" s="1" t="s">
        <v>94</v>
      </c>
      <c r="C15" s="4">
        <v>1</v>
      </c>
      <c r="D15" s="4">
        <v>123</v>
      </c>
      <c r="E15" s="4">
        <v>2014</v>
      </c>
      <c r="F15" s="4"/>
      <c r="G15" s="4" t="s">
        <v>98</v>
      </c>
      <c r="H15" s="4">
        <v>8</v>
      </c>
    </row>
    <row r="16" spans="1:16" ht="15" customHeight="1" x14ac:dyDescent="0.25">
      <c r="I16" s="1"/>
      <c r="J16" s="1"/>
      <c r="K16" s="1"/>
      <c r="L16" s="1"/>
      <c r="M16" s="1"/>
      <c r="N16" s="1"/>
    </row>
    <row r="17" spans="1:15" ht="15" customHeight="1" x14ac:dyDescent="0.25"/>
    <row r="18" spans="1:15" ht="15" customHeight="1" x14ac:dyDescent="0.25">
      <c r="A18" s="25" t="s">
        <v>85</v>
      </c>
      <c r="B18" s="55"/>
      <c r="C18" s="55"/>
      <c r="D18" s="55"/>
      <c r="E18" s="55"/>
    </row>
    <row r="19" spans="1:15" x14ac:dyDescent="0.25">
      <c r="A19" s="1" t="s">
        <v>86</v>
      </c>
      <c r="B19" s="1"/>
      <c r="C19" s="1"/>
      <c r="D19" s="1"/>
      <c r="E19" s="1"/>
      <c r="O19" s="49"/>
    </row>
    <row r="20" spans="1:15" x14ac:dyDescent="0.25">
      <c r="A20" s="1" t="s">
        <v>87</v>
      </c>
      <c r="B20" s="1"/>
      <c r="C20" s="1"/>
      <c r="D20" s="1"/>
      <c r="E20" s="1"/>
    </row>
    <row r="21" spans="1:15" x14ac:dyDescent="0.25">
      <c r="A21" s="1" t="s">
        <v>89</v>
      </c>
      <c r="B21" s="1"/>
      <c r="C21" s="1"/>
      <c r="D21" s="1"/>
      <c r="E21" s="1"/>
      <c r="F21" s="1"/>
      <c r="G21" s="1"/>
      <c r="H21" s="1"/>
    </row>
    <row r="23" spans="1:15" x14ac:dyDescent="0.25">
      <c r="B23" s="58"/>
    </row>
    <row r="24" spans="1:15" x14ac:dyDescent="0.25">
      <c r="A24" s="68" t="s">
        <v>166</v>
      </c>
      <c r="B24" s="70"/>
    </row>
    <row r="25" spans="1:15" x14ac:dyDescent="0.25">
      <c r="A25" s="25" t="s">
        <v>175</v>
      </c>
      <c r="B25" s="25" t="s">
        <v>176</v>
      </c>
    </row>
    <row r="26" spans="1:15" x14ac:dyDescent="0.25">
      <c r="A26" s="1" t="s">
        <v>177</v>
      </c>
      <c r="B26" s="4">
        <v>48</v>
      </c>
    </row>
    <row r="27" spans="1:15" x14ac:dyDescent="0.25">
      <c r="A27" s="1" t="s">
        <v>178</v>
      </c>
      <c r="B27" s="4">
        <v>54</v>
      </c>
    </row>
    <row r="28" spans="1:15" x14ac:dyDescent="0.25">
      <c r="A28" s="1" t="s">
        <v>179</v>
      </c>
      <c r="B28" s="4">
        <v>56</v>
      </c>
    </row>
    <row r="29" spans="1:15" x14ac:dyDescent="0.25">
      <c r="A29" s="1" t="s">
        <v>180</v>
      </c>
      <c r="B29" s="4">
        <v>112</v>
      </c>
    </row>
    <row r="30" spans="1:15" x14ac:dyDescent="0.25">
      <c r="A30" s="1" t="s">
        <v>181</v>
      </c>
      <c r="B30" s="4">
        <v>37</v>
      </c>
    </row>
    <row r="31" spans="1:15" x14ac:dyDescent="0.25">
      <c r="A31" s="1" t="s">
        <v>182</v>
      </c>
      <c r="B31" s="57">
        <f>AVERAGE(B26:B30)</f>
        <v>61.4</v>
      </c>
    </row>
    <row r="33" spans="1:1" x14ac:dyDescent="0.25">
      <c r="A33" s="25" t="s">
        <v>185</v>
      </c>
    </row>
    <row r="34" spans="1:1" x14ac:dyDescent="0.25">
      <c r="A34" s="4">
        <v>35</v>
      </c>
    </row>
    <row r="57" spans="1:14" x14ac:dyDescent="0.25">
      <c r="K57" s="1"/>
      <c r="L57" s="1"/>
      <c r="M57" s="1"/>
      <c r="N57" s="1"/>
    </row>
    <row r="58" spans="1:14" x14ac:dyDescent="0.25">
      <c r="I58" s="4"/>
      <c r="J58" s="4"/>
      <c r="K58" s="1"/>
      <c r="L58" s="1"/>
      <c r="M58" s="1"/>
      <c r="N58" s="1"/>
    </row>
    <row r="59" spans="1:14" x14ac:dyDescent="0.25">
      <c r="I59" s="4"/>
      <c r="J59" s="4"/>
      <c r="K59" s="1"/>
      <c r="L59" s="1"/>
      <c r="M59" s="1"/>
      <c r="N59" s="1"/>
    </row>
    <row r="60" spans="1:14" x14ac:dyDescent="0.25">
      <c r="A60" s="1"/>
      <c r="B60" s="1"/>
      <c r="C60" s="1"/>
      <c r="D60" s="1"/>
      <c r="E60" s="1"/>
      <c r="F60" s="4"/>
      <c r="G60" s="4"/>
      <c r="H60" s="4"/>
      <c r="I60" s="4"/>
      <c r="J60" s="4"/>
      <c r="K60" s="1"/>
      <c r="L60" s="1"/>
      <c r="M60" s="1"/>
      <c r="N60" s="1"/>
    </row>
    <row r="61" spans="1:14" x14ac:dyDescent="0.25">
      <c r="A61" s="1"/>
      <c r="B61" s="1"/>
      <c r="C61" s="1"/>
      <c r="D61" s="1"/>
      <c r="E61" s="1"/>
      <c r="F61" s="1"/>
      <c r="G61" s="1"/>
      <c r="H61" s="1"/>
      <c r="I61" s="1"/>
      <c r="J61" s="1"/>
      <c r="K61" s="1"/>
      <c r="L61" s="1"/>
      <c r="M61" s="1"/>
      <c r="N61" s="1"/>
    </row>
    <row r="62" spans="1:14" x14ac:dyDescent="0.25">
      <c r="A62" s="97"/>
      <c r="B62" s="97"/>
      <c r="C62" s="26"/>
    </row>
  </sheetData>
  <sheetProtection password="B056" sheet="1" objects="1" scenarios="1"/>
  <mergeCells count="5">
    <mergeCell ref="A13:H13"/>
    <mergeCell ref="A62:B62"/>
    <mergeCell ref="A4:M4"/>
    <mergeCell ref="N4:N5"/>
    <mergeCell ref="A24:B24"/>
  </mergeCells>
  <pageMargins left="0.511811024" right="0.511811024" top="0.78740157499999996" bottom="0.78740157499999996" header="0.31496062000000002" footer="0.31496062000000002"/>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6"/>
  <dimension ref="A1:S23"/>
  <sheetViews>
    <sheetView topLeftCell="C1" zoomScaleNormal="100" workbookViewId="0">
      <selection activeCell="D3" sqref="D3:E4"/>
    </sheetView>
  </sheetViews>
  <sheetFormatPr defaultRowHeight="15" customHeight="1" x14ac:dyDescent="0.2"/>
  <cols>
    <col min="1" max="1" width="34.85546875" style="1" customWidth="1"/>
    <col min="2" max="2" width="13.7109375" style="1" customWidth="1"/>
    <col min="3" max="3" width="42.28515625" style="1" customWidth="1"/>
    <col min="4" max="7" width="13.7109375" style="1" customWidth="1"/>
    <col min="8" max="12" width="12.28515625" style="1" customWidth="1"/>
    <col min="13" max="18" width="8.7109375" style="1" customWidth="1"/>
    <col min="19" max="19" width="10.42578125" style="1" bestFit="1" customWidth="1"/>
    <col min="20" max="16384" width="9.140625" style="1"/>
  </cols>
  <sheetData>
    <row r="1" spans="1:19" ht="15" customHeight="1" x14ac:dyDescent="0.2">
      <c r="A1" s="1" t="s">
        <v>62</v>
      </c>
      <c r="B1" s="24">
        <v>1.3407</v>
      </c>
    </row>
    <row r="3" spans="1:19" ht="15" customHeight="1" x14ac:dyDescent="0.2">
      <c r="A3" s="101" t="s">
        <v>0</v>
      </c>
      <c r="B3" s="101" t="s">
        <v>38</v>
      </c>
      <c r="C3" s="101" t="s">
        <v>39</v>
      </c>
      <c r="D3" s="105" t="s">
        <v>193</v>
      </c>
      <c r="E3" s="105" t="s">
        <v>194</v>
      </c>
      <c r="F3" s="101" t="s">
        <v>37</v>
      </c>
      <c r="G3" s="101" t="s">
        <v>40</v>
      </c>
      <c r="H3" s="103" t="s">
        <v>172</v>
      </c>
      <c r="I3" s="104"/>
      <c r="J3" s="104"/>
      <c r="K3" s="104"/>
      <c r="L3" s="106"/>
      <c r="M3" s="103" t="s">
        <v>1</v>
      </c>
      <c r="N3" s="104"/>
      <c r="O3" s="104"/>
      <c r="P3" s="104"/>
      <c r="Q3" s="104"/>
      <c r="R3" s="104"/>
      <c r="S3" s="104"/>
    </row>
    <row r="4" spans="1:19" ht="15" customHeight="1" x14ac:dyDescent="0.2">
      <c r="A4" s="102"/>
      <c r="B4" s="102"/>
      <c r="C4" s="102"/>
      <c r="D4" s="105"/>
      <c r="E4" s="105"/>
      <c r="F4" s="102"/>
      <c r="G4" s="102"/>
      <c r="H4" s="5" t="s">
        <v>2</v>
      </c>
      <c r="I4" s="5" t="s">
        <v>5</v>
      </c>
      <c r="J4" s="5" t="s">
        <v>6</v>
      </c>
      <c r="K4" s="5" t="s">
        <v>4</v>
      </c>
      <c r="L4" s="5" t="s">
        <v>192</v>
      </c>
      <c r="M4" s="5" t="s">
        <v>2</v>
      </c>
      <c r="N4" s="5" t="s">
        <v>3</v>
      </c>
      <c r="O4" s="5" t="s">
        <v>41</v>
      </c>
      <c r="P4" s="5" t="s">
        <v>5</v>
      </c>
      <c r="Q4" s="5" t="s">
        <v>6</v>
      </c>
      <c r="R4" s="5" t="s">
        <v>4</v>
      </c>
      <c r="S4" s="5" t="s">
        <v>192</v>
      </c>
    </row>
    <row r="5" spans="1:19" ht="15" customHeight="1" x14ac:dyDescent="0.2">
      <c r="A5" s="4" t="str">
        <f>Dados!A15</f>
        <v>Pá Carregadeira</v>
      </c>
      <c r="B5" s="4">
        <f>Dados!D15</f>
        <v>123</v>
      </c>
      <c r="C5" s="4" t="s">
        <v>57</v>
      </c>
      <c r="D5" s="4">
        <v>-20.193583</v>
      </c>
      <c r="E5" s="4">
        <v>-40.260871999999999</v>
      </c>
      <c r="F5" s="4">
        <f>Dados!C15</f>
        <v>1</v>
      </c>
      <c r="G5" s="4">
        <f>Dados!H15</f>
        <v>8</v>
      </c>
      <c r="H5" s="21">
        <f>(INDEX(FE_Maq_Equip,MATCH($C5,Pot_Equip,0),2))</f>
        <v>2.2180385599812551E-2</v>
      </c>
      <c r="I5" s="21">
        <f>(INDEX(FE_Maq_Equip,MATCH($C5,Pot_Equip,0),3))</f>
        <v>0.40439388753556149</v>
      </c>
      <c r="J5" s="21">
        <f>(INDEX(FE_Maq_Equip,MATCH($C5,Pot_Equip,0),4))</f>
        <v>5.4259951032711038E-4</v>
      </c>
      <c r="K5" s="21">
        <f>(INDEX(FE_Maq_Equip,MATCH($C5,Pot_Equip,0),5))</f>
        <v>0.28401041327190701</v>
      </c>
      <c r="L5" s="21">
        <f>(INDEX(FE_Maq_Equip,MATCH($C5,Pot_Equip,0),6))</f>
        <v>5.2996557562790335E-2</v>
      </c>
      <c r="M5" s="21">
        <f>H5*F5*G5/24</f>
        <v>7.3934618666041839E-3</v>
      </c>
      <c r="N5" s="21">
        <f>M5</f>
        <v>7.3934618666041839E-3</v>
      </c>
      <c r="O5" s="21">
        <f>M5</f>
        <v>7.3934618666041839E-3</v>
      </c>
      <c r="P5" s="21">
        <f>I5*$F$5*$G$5/24</f>
        <v>0.13479796251185383</v>
      </c>
      <c r="Q5" s="21">
        <f t="shared" ref="Q5:S5" si="0">J5*$F$5*$G$5/24</f>
        <v>1.8086650344237013E-4</v>
      </c>
      <c r="R5" s="21">
        <f t="shared" si="0"/>
        <v>9.4670137757302333E-2</v>
      </c>
      <c r="S5" s="21">
        <f t="shared" si="0"/>
        <v>1.7665519187596779E-2</v>
      </c>
    </row>
    <row r="6" spans="1:19" ht="15" customHeight="1" x14ac:dyDescent="0.2">
      <c r="A6" s="100" t="s">
        <v>145</v>
      </c>
      <c r="B6" s="100"/>
      <c r="C6" s="100"/>
      <c r="D6" s="100"/>
      <c r="E6" s="100"/>
      <c r="F6" s="100"/>
      <c r="G6" s="100"/>
      <c r="H6" s="100"/>
      <c r="I6" s="100"/>
      <c r="J6" s="100"/>
      <c r="K6" s="100"/>
      <c r="L6" s="100"/>
      <c r="M6" s="10">
        <f t="shared" ref="M6:S6" si="1">SUM(M5:M5)</f>
        <v>7.3934618666041839E-3</v>
      </c>
      <c r="N6" s="10">
        <f t="shared" si="1"/>
        <v>7.3934618666041839E-3</v>
      </c>
      <c r="O6" s="10">
        <f t="shared" si="1"/>
        <v>7.3934618666041839E-3</v>
      </c>
      <c r="P6" s="15">
        <f t="shared" si="1"/>
        <v>0.13479796251185383</v>
      </c>
      <c r="Q6" s="50">
        <f t="shared" si="1"/>
        <v>1.8086650344237013E-4</v>
      </c>
      <c r="R6" s="10">
        <f t="shared" si="1"/>
        <v>9.4670137757302333E-2</v>
      </c>
      <c r="S6" s="10">
        <f t="shared" si="1"/>
        <v>1.7665519187596779E-2</v>
      </c>
    </row>
    <row r="7" spans="1:19" ht="15" customHeight="1" x14ac:dyDescent="0.2">
      <c r="M7" s="16"/>
      <c r="N7" s="16"/>
      <c r="O7" s="16"/>
      <c r="P7" s="16"/>
      <c r="Q7" s="17"/>
      <c r="R7" s="16"/>
      <c r="S7" s="16"/>
    </row>
    <row r="8" spans="1:19" ht="15" customHeight="1" x14ac:dyDescent="0.2">
      <c r="M8" s="18"/>
      <c r="N8" s="18"/>
      <c r="O8" s="18"/>
      <c r="P8" s="19"/>
      <c r="Q8" s="19"/>
      <c r="R8" s="19"/>
      <c r="S8" s="19"/>
    </row>
    <row r="9" spans="1:19" ht="15" customHeight="1" x14ac:dyDescent="0.2">
      <c r="P9" s="4"/>
      <c r="R9" s="4"/>
    </row>
    <row r="10" spans="1:19" ht="15" customHeight="1" x14ac:dyDescent="0.2">
      <c r="A10" s="20" t="s">
        <v>42</v>
      </c>
      <c r="C10" s="2"/>
      <c r="D10" s="14"/>
      <c r="E10" s="14"/>
      <c r="G10" s="14"/>
      <c r="H10" s="14"/>
      <c r="I10" s="14"/>
      <c r="J10" s="14"/>
      <c r="K10" s="14"/>
      <c r="L10" s="14"/>
      <c r="M10" s="14"/>
      <c r="N10" s="14"/>
      <c r="O10" s="14"/>
      <c r="P10" s="14"/>
      <c r="Q10" s="14"/>
      <c r="R10" s="14"/>
      <c r="S10" s="14"/>
    </row>
    <row r="11" spans="1:19" ht="15" customHeight="1" x14ac:dyDescent="0.2">
      <c r="D11" s="14"/>
      <c r="E11" s="14"/>
      <c r="G11" s="14"/>
      <c r="H11" s="14"/>
      <c r="I11" s="14"/>
      <c r="J11" s="14"/>
      <c r="K11" s="14"/>
      <c r="L11" s="14"/>
      <c r="M11" s="7"/>
      <c r="N11" s="7"/>
      <c r="O11" s="14"/>
      <c r="P11" s="14"/>
      <c r="Q11" s="14"/>
      <c r="R11" s="14"/>
      <c r="S11" s="14"/>
    </row>
    <row r="12" spans="1:19" ht="15" customHeight="1" x14ac:dyDescent="0.2">
      <c r="A12" s="14"/>
      <c r="M12" s="14"/>
      <c r="N12" s="14"/>
      <c r="O12" s="14"/>
      <c r="P12" s="14"/>
      <c r="Q12" s="14"/>
      <c r="R12" s="14"/>
      <c r="S12" s="14"/>
    </row>
    <row r="13" spans="1:19" ht="15" customHeight="1" x14ac:dyDescent="0.2">
      <c r="D13" s="14"/>
      <c r="E13" s="14"/>
      <c r="G13" s="14"/>
      <c r="H13" s="14"/>
      <c r="I13" s="14"/>
      <c r="J13" s="14"/>
      <c r="K13" s="14"/>
      <c r="L13" s="14"/>
      <c r="M13" s="14"/>
      <c r="N13" s="14"/>
      <c r="O13" s="14"/>
      <c r="P13" s="14"/>
      <c r="Q13" s="14"/>
      <c r="R13" s="14"/>
      <c r="S13" s="14"/>
    </row>
    <row r="14" spans="1:19" ht="15" customHeight="1" x14ac:dyDescent="0.2">
      <c r="D14" s="14"/>
      <c r="E14" s="14"/>
      <c r="G14" s="14"/>
      <c r="H14" s="14"/>
      <c r="I14" s="14"/>
      <c r="J14" s="14"/>
      <c r="K14" s="14"/>
      <c r="L14" s="14"/>
      <c r="M14" s="14"/>
      <c r="N14" s="14"/>
      <c r="O14" s="14"/>
      <c r="P14" s="14"/>
      <c r="Q14" s="14"/>
      <c r="R14" s="14"/>
      <c r="S14" s="14"/>
    </row>
    <row r="15" spans="1:19" ht="15" customHeight="1" x14ac:dyDescent="0.2">
      <c r="D15" s="14"/>
      <c r="E15" s="14"/>
      <c r="G15" s="14"/>
      <c r="H15" s="14"/>
      <c r="I15" s="14"/>
      <c r="J15" s="14"/>
      <c r="K15" s="14"/>
      <c r="L15" s="14"/>
      <c r="M15" s="14"/>
      <c r="N15" s="14"/>
      <c r="O15" s="14"/>
      <c r="P15" s="14"/>
      <c r="Q15" s="14"/>
      <c r="R15" s="14"/>
      <c r="S15" s="14"/>
    </row>
    <row r="16" spans="1:19" ht="15" customHeight="1" x14ac:dyDescent="0.2">
      <c r="D16" s="14"/>
      <c r="E16" s="14"/>
      <c r="G16" s="14"/>
      <c r="H16" s="14"/>
      <c r="I16" s="14"/>
      <c r="J16" s="14"/>
      <c r="K16" s="14"/>
      <c r="L16" s="14"/>
      <c r="M16" s="14"/>
      <c r="N16" s="14"/>
      <c r="O16" s="14"/>
      <c r="P16" s="14"/>
      <c r="Q16" s="14"/>
      <c r="R16" s="14"/>
      <c r="S16" s="14"/>
    </row>
    <row r="17" spans="4:19" ht="15" customHeight="1" x14ac:dyDescent="0.2">
      <c r="D17" s="14"/>
      <c r="E17" s="14"/>
      <c r="G17" s="14"/>
      <c r="H17" s="14"/>
      <c r="I17" s="14"/>
      <c r="J17" s="14"/>
      <c r="K17" s="14"/>
      <c r="L17" s="14"/>
      <c r="M17" s="14"/>
      <c r="N17" s="14"/>
      <c r="O17" s="14"/>
      <c r="P17" s="14"/>
      <c r="Q17" s="14"/>
      <c r="R17" s="14"/>
      <c r="S17" s="14"/>
    </row>
    <row r="18" spans="4:19" ht="15" customHeight="1" x14ac:dyDescent="0.2">
      <c r="D18" s="14"/>
      <c r="E18" s="14"/>
      <c r="G18" s="14"/>
      <c r="H18" s="14"/>
      <c r="I18" s="14"/>
      <c r="J18" s="14"/>
      <c r="K18" s="14"/>
      <c r="L18" s="14"/>
      <c r="M18" s="14"/>
      <c r="N18" s="14"/>
      <c r="O18" s="14"/>
      <c r="P18" s="14"/>
      <c r="Q18" s="14"/>
      <c r="R18" s="14"/>
      <c r="S18" s="14"/>
    </row>
    <row r="19" spans="4:19" ht="15" customHeight="1" x14ac:dyDescent="0.2">
      <c r="D19" s="14"/>
      <c r="E19" s="14"/>
      <c r="G19" s="14"/>
      <c r="H19" s="14"/>
      <c r="I19" s="14"/>
      <c r="J19" s="14"/>
      <c r="K19" s="14"/>
      <c r="L19" s="14"/>
      <c r="M19" s="14"/>
      <c r="N19" s="14"/>
      <c r="O19" s="14"/>
      <c r="P19" s="14"/>
      <c r="Q19" s="14"/>
      <c r="R19" s="14"/>
      <c r="S19" s="14"/>
    </row>
    <row r="20" spans="4:19" ht="15" customHeight="1" x14ac:dyDescent="0.2">
      <c r="D20" s="14"/>
      <c r="E20" s="14"/>
      <c r="G20" s="14"/>
      <c r="H20" s="14"/>
      <c r="I20" s="14"/>
      <c r="J20" s="14"/>
      <c r="K20" s="14"/>
      <c r="L20" s="14"/>
      <c r="M20" s="14"/>
      <c r="N20" s="14"/>
      <c r="O20" s="14"/>
      <c r="P20" s="14"/>
      <c r="Q20" s="14"/>
      <c r="R20" s="14"/>
      <c r="S20" s="14"/>
    </row>
    <row r="21" spans="4:19" ht="15" customHeight="1" x14ac:dyDescent="0.2">
      <c r="D21" s="14"/>
      <c r="E21" s="14"/>
      <c r="G21" s="14"/>
      <c r="H21" s="14"/>
      <c r="I21" s="14"/>
      <c r="J21" s="14"/>
      <c r="K21" s="14"/>
      <c r="L21" s="14"/>
      <c r="M21" s="14"/>
      <c r="N21" s="14"/>
      <c r="O21" s="14"/>
      <c r="P21" s="14"/>
      <c r="Q21" s="14"/>
      <c r="R21" s="14"/>
      <c r="S21" s="14"/>
    </row>
    <row r="22" spans="4:19" ht="15" customHeight="1" x14ac:dyDescent="0.2">
      <c r="D22" s="14"/>
      <c r="E22" s="14"/>
      <c r="F22" s="13"/>
      <c r="G22" s="14"/>
      <c r="H22" s="14"/>
      <c r="I22" s="14"/>
      <c r="J22" s="14"/>
      <c r="K22" s="14"/>
      <c r="L22" s="14"/>
      <c r="M22" s="14"/>
      <c r="N22" s="14"/>
      <c r="O22" s="14"/>
      <c r="P22" s="14"/>
      <c r="Q22" s="14"/>
      <c r="R22" s="14"/>
      <c r="S22" s="14"/>
    </row>
    <row r="23" spans="4:19" ht="15" customHeight="1" x14ac:dyDescent="0.2">
      <c r="M23" s="16"/>
      <c r="N23" s="16"/>
      <c r="O23" s="16"/>
      <c r="P23" s="16"/>
      <c r="Q23" s="16"/>
      <c r="R23" s="16"/>
      <c r="S23" s="16"/>
    </row>
  </sheetData>
  <sheetProtection password="B056" sheet="1" objects="1" scenarios="1"/>
  <mergeCells count="10">
    <mergeCell ref="A6:L6"/>
    <mergeCell ref="G3:G4"/>
    <mergeCell ref="M3:S3"/>
    <mergeCell ref="A3:A4"/>
    <mergeCell ref="B3:B4"/>
    <mergeCell ref="C3:C4"/>
    <mergeCell ref="D3:D4"/>
    <mergeCell ref="E3:E4"/>
    <mergeCell ref="F3:F4"/>
    <mergeCell ref="H3:L3"/>
  </mergeCells>
  <pageMargins left="0.511811024" right="0.511811024" top="0.78740157499999996" bottom="0.78740157499999996" header="0.31496062000000002" footer="0.31496062000000002"/>
  <legacyDrawing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'FE-Maq e Equip'!$B$4:$B$13</xm:f>
          </x14:formula1>
          <xm:sqref>C5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9"/>
  <sheetViews>
    <sheetView workbookViewId="0">
      <selection activeCell="H13" sqref="H13"/>
    </sheetView>
  </sheetViews>
  <sheetFormatPr defaultRowHeight="15" x14ac:dyDescent="0.25"/>
  <cols>
    <col min="1" max="1" width="26.85546875" bestFit="1" customWidth="1"/>
    <col min="2" max="2" width="21.7109375" customWidth="1"/>
    <col min="3" max="3" width="19.7109375" customWidth="1"/>
    <col min="4" max="4" width="15.7109375" bestFit="1" customWidth="1"/>
    <col min="5" max="6" width="19.7109375" bestFit="1" customWidth="1"/>
    <col min="7" max="7" width="16.85546875" bestFit="1" customWidth="1"/>
    <col min="8" max="10" width="12.28515625" customWidth="1"/>
  </cols>
  <sheetData>
    <row r="1" spans="1:12" x14ac:dyDescent="0.25">
      <c r="A1" s="1" t="s">
        <v>65</v>
      </c>
      <c r="B1" s="4"/>
      <c r="C1" s="4"/>
      <c r="D1" s="4"/>
      <c r="E1" s="4"/>
      <c r="F1" s="4"/>
      <c r="G1" s="4"/>
      <c r="H1" s="4"/>
      <c r="I1" s="4"/>
      <c r="J1" s="4"/>
      <c r="K1" s="4"/>
      <c r="L1" s="4"/>
    </row>
    <row r="2" spans="1:12" x14ac:dyDescent="0.25">
      <c r="A2" s="4"/>
      <c r="B2" s="4"/>
      <c r="C2" s="4"/>
      <c r="D2" s="4"/>
      <c r="E2" s="4"/>
      <c r="F2" s="4"/>
      <c r="G2" s="4"/>
      <c r="H2" s="4"/>
      <c r="I2" s="4"/>
      <c r="J2" s="4"/>
      <c r="K2" s="4"/>
      <c r="L2" s="4"/>
    </row>
    <row r="3" spans="1:12" ht="21.75" customHeight="1" x14ac:dyDescent="0.25">
      <c r="A3" s="107" t="s">
        <v>0</v>
      </c>
      <c r="B3" s="107" t="s">
        <v>173</v>
      </c>
      <c r="C3" s="107" t="s">
        <v>174</v>
      </c>
      <c r="D3" s="107" t="s">
        <v>162</v>
      </c>
      <c r="E3" s="107" t="s">
        <v>163</v>
      </c>
      <c r="F3" s="107" t="s">
        <v>164</v>
      </c>
      <c r="G3" s="107" t="s">
        <v>171</v>
      </c>
      <c r="H3" s="109" t="s">
        <v>165</v>
      </c>
      <c r="I3" s="110"/>
      <c r="J3" s="110"/>
      <c r="K3" s="4"/>
      <c r="L3" s="4"/>
    </row>
    <row r="4" spans="1:12" ht="19.5" customHeight="1" x14ac:dyDescent="0.25">
      <c r="A4" s="108"/>
      <c r="B4" s="108"/>
      <c r="C4" s="108"/>
      <c r="D4" s="108"/>
      <c r="E4" s="108"/>
      <c r="F4" s="108"/>
      <c r="G4" s="108"/>
      <c r="H4" s="60" t="s">
        <v>108</v>
      </c>
      <c r="I4" s="60" t="s">
        <v>188</v>
      </c>
      <c r="J4" s="60" t="s">
        <v>189</v>
      </c>
      <c r="K4" s="4"/>
      <c r="L4" s="4"/>
    </row>
    <row r="5" spans="1:12" x14ac:dyDescent="0.25">
      <c r="A5" s="54" t="s">
        <v>183</v>
      </c>
      <c r="B5" s="4">
        <v>-20.193642000000001</v>
      </c>
      <c r="C5" s="4">
        <v>-40.261184</v>
      </c>
      <c r="D5" s="54" t="s">
        <v>166</v>
      </c>
      <c r="E5" s="59">
        <f>Dados!B31*60</f>
        <v>3684</v>
      </c>
      <c r="F5" s="44">
        <f>(E5)*(273.15/(Dados!A34+273.15))</f>
        <v>3265.5674184650334</v>
      </c>
      <c r="G5" s="54">
        <v>50</v>
      </c>
      <c r="H5" s="7">
        <f>F5*G5/1000000</f>
        <v>0.16327837092325168</v>
      </c>
      <c r="I5" s="7">
        <f>H5*0.85</f>
        <v>0.13878661528476391</v>
      </c>
      <c r="J5" s="7">
        <f>H5*0.3</f>
        <v>4.8983511276975499E-2</v>
      </c>
      <c r="K5" s="4"/>
      <c r="L5" s="4"/>
    </row>
    <row r="6" spans="1:12" x14ac:dyDescent="0.25">
      <c r="A6" s="100" t="s">
        <v>36</v>
      </c>
      <c r="B6" s="100"/>
      <c r="C6" s="100"/>
      <c r="D6" s="100"/>
      <c r="E6" s="100"/>
      <c r="F6" s="100"/>
      <c r="G6" s="100"/>
      <c r="H6" s="10">
        <f>SUM(H5:H5)</f>
        <v>0.16327837092325168</v>
      </c>
      <c r="I6" s="10">
        <f>SUM(I5:I5)</f>
        <v>0.13878661528476391</v>
      </c>
      <c r="J6" s="50">
        <f>SUM(J5:J5)</f>
        <v>4.8983511276975499E-2</v>
      </c>
      <c r="K6" s="4"/>
      <c r="L6" s="4"/>
    </row>
    <row r="7" spans="1:12" x14ac:dyDescent="0.25">
      <c r="A7" s="4"/>
      <c r="B7" s="4"/>
      <c r="C7" s="4"/>
      <c r="D7" s="4"/>
      <c r="E7" s="4"/>
      <c r="F7" s="4"/>
      <c r="G7" s="4"/>
      <c r="H7" s="4"/>
      <c r="I7" s="4"/>
      <c r="J7" s="4"/>
      <c r="K7" s="4"/>
      <c r="L7" s="4"/>
    </row>
    <row r="8" spans="1:12" x14ac:dyDescent="0.25">
      <c r="A8" s="4"/>
      <c r="B8" s="4"/>
      <c r="C8" s="4"/>
      <c r="D8" s="4"/>
      <c r="E8" s="4"/>
      <c r="F8" s="4"/>
      <c r="G8" s="4"/>
      <c r="H8" s="4"/>
      <c r="I8" s="4"/>
      <c r="J8" s="4"/>
      <c r="K8" s="4"/>
      <c r="L8" s="4"/>
    </row>
    <row r="9" spans="1:12" x14ac:dyDescent="0.25">
      <c r="A9" s="4"/>
      <c r="B9" s="4"/>
      <c r="C9" s="4"/>
      <c r="D9" s="4"/>
      <c r="E9" s="4"/>
      <c r="F9" s="4"/>
      <c r="G9" s="4"/>
      <c r="H9" s="4"/>
      <c r="I9" s="4"/>
      <c r="J9" s="4"/>
      <c r="K9" s="4"/>
      <c r="L9" s="4"/>
    </row>
  </sheetData>
  <sheetProtection password="B056" sheet="1" objects="1" scenarios="1"/>
  <mergeCells count="9">
    <mergeCell ref="G3:G4"/>
    <mergeCell ref="H3:J3"/>
    <mergeCell ref="A6:G6"/>
    <mergeCell ref="A3:A4"/>
    <mergeCell ref="B3:B4"/>
    <mergeCell ref="C3:C4"/>
    <mergeCell ref="D3:D4"/>
    <mergeCell ref="E3:E4"/>
    <mergeCell ref="F3:F4"/>
  </mergeCells>
  <pageMargins left="0.511811024" right="0.511811024" top="0.78740157499999996" bottom="0.78740157499999996" header="0.31496062000000002" footer="0.31496062000000002"/>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7"/>
  <dimension ref="A1:O27"/>
  <sheetViews>
    <sheetView zoomScaleNormal="100" workbookViewId="0">
      <selection activeCell="I24" sqref="I24"/>
    </sheetView>
  </sheetViews>
  <sheetFormatPr defaultRowHeight="15" customHeight="1" x14ac:dyDescent="0.25"/>
  <cols>
    <col min="1" max="1" width="42.5703125" style="2" customWidth="1"/>
    <col min="2" max="3" width="18.28515625" style="2" customWidth="1"/>
    <col min="4" max="5" width="18" style="2" customWidth="1"/>
    <col min="6" max="6" width="18" style="28" customWidth="1"/>
    <col min="7" max="8" width="15.7109375" style="2" customWidth="1"/>
    <col min="9" max="12" width="9.140625" style="28"/>
    <col min="13" max="16384" width="9.140625" style="2"/>
  </cols>
  <sheetData>
    <row r="1" spans="1:15" ht="15" customHeight="1" x14ac:dyDescent="0.25">
      <c r="A1" s="37" t="s">
        <v>137</v>
      </c>
      <c r="B1" s="29">
        <f>Dados!B3</f>
        <v>8</v>
      </c>
      <c r="C1" s="29"/>
    </row>
    <row r="2" spans="1:15" ht="15" customHeight="1" x14ac:dyDescent="0.25">
      <c r="A2" s="37" t="s">
        <v>159</v>
      </c>
      <c r="B2" s="29">
        <f>'FE-Transferências'!H16/1000</f>
        <v>1.55</v>
      </c>
      <c r="C2" s="29"/>
      <c r="F2" s="52"/>
      <c r="I2" s="52"/>
      <c r="J2" s="52"/>
      <c r="K2" s="52"/>
      <c r="L2" s="52"/>
    </row>
    <row r="3" spans="1:15" ht="15" customHeight="1" x14ac:dyDescent="0.25">
      <c r="A3" s="37" t="s">
        <v>160</v>
      </c>
      <c r="B3" s="29">
        <f>'FE-Transferências'!H15/1000</f>
        <v>1.52</v>
      </c>
      <c r="C3" s="29"/>
      <c r="F3" s="52"/>
      <c r="I3" s="52"/>
      <c r="J3" s="52"/>
      <c r="K3" s="52"/>
      <c r="L3" s="52"/>
    </row>
    <row r="4" spans="1:15" ht="15" customHeight="1" x14ac:dyDescent="0.25">
      <c r="A4" s="2" t="s">
        <v>161</v>
      </c>
      <c r="B4" s="12">
        <f>((Dados!N6+Dados!N7)*(B3)+(Dados!N10/1000))/(365*24)</f>
        <v>4.8244328105022838</v>
      </c>
      <c r="C4" s="38"/>
    </row>
    <row r="5" spans="1:15" ht="15" customHeight="1" x14ac:dyDescent="0.25">
      <c r="A5" s="2" t="s">
        <v>151</v>
      </c>
      <c r="B5" s="11">
        <f>(SUM(Dados!N8:N9)*B2)/(365*24)</f>
        <v>5.5916462328767125</v>
      </c>
      <c r="C5" s="38"/>
    </row>
    <row r="6" spans="1:15" ht="15" customHeight="1" x14ac:dyDescent="0.25">
      <c r="A6" s="2" t="s">
        <v>138</v>
      </c>
      <c r="B6" s="39">
        <v>4.2</v>
      </c>
      <c r="C6" s="38"/>
    </row>
    <row r="7" spans="1:15" ht="15" customHeight="1" x14ac:dyDescent="0.25">
      <c r="C7" s="38"/>
    </row>
    <row r="8" spans="1:15" ht="15" customHeight="1" x14ac:dyDescent="0.25">
      <c r="A8"/>
      <c r="B8" s="45"/>
      <c r="C8" s="39"/>
    </row>
    <row r="9" spans="1:15" ht="15" customHeight="1" x14ac:dyDescent="0.25">
      <c r="A9" s="37" t="s">
        <v>65</v>
      </c>
    </row>
    <row r="10" spans="1:15" ht="15" customHeight="1" x14ac:dyDescent="0.25">
      <c r="A10" s="101" t="s">
        <v>0</v>
      </c>
      <c r="B10" s="117" t="s">
        <v>115</v>
      </c>
      <c r="C10" s="118" t="s">
        <v>139</v>
      </c>
      <c r="D10" s="114" t="s">
        <v>140</v>
      </c>
      <c r="E10" s="114" t="s">
        <v>141</v>
      </c>
      <c r="F10" s="114" t="s">
        <v>142</v>
      </c>
      <c r="G10" s="105" t="s">
        <v>193</v>
      </c>
      <c r="H10" s="105" t="s">
        <v>194</v>
      </c>
      <c r="I10" s="116" t="s">
        <v>195</v>
      </c>
      <c r="J10" s="111" t="s">
        <v>143</v>
      </c>
      <c r="K10" s="110"/>
      <c r="L10" s="110"/>
      <c r="M10" s="111" t="s">
        <v>1</v>
      </c>
      <c r="N10" s="110"/>
      <c r="O10" s="110"/>
    </row>
    <row r="11" spans="1:15" ht="15" customHeight="1" x14ac:dyDescent="0.25">
      <c r="A11" s="102"/>
      <c r="B11" s="117"/>
      <c r="C11" s="118"/>
      <c r="D11" s="115"/>
      <c r="E11" s="115"/>
      <c r="F11" s="115"/>
      <c r="G11" s="105"/>
      <c r="H11" s="105"/>
      <c r="I11" s="116"/>
      <c r="J11" s="27" t="s">
        <v>2</v>
      </c>
      <c r="K11" s="27" t="s">
        <v>3</v>
      </c>
      <c r="L11" s="27" t="s">
        <v>144</v>
      </c>
      <c r="M11" s="27" t="s">
        <v>2</v>
      </c>
      <c r="N11" s="27" t="s">
        <v>3</v>
      </c>
      <c r="O11" s="27" t="s">
        <v>144</v>
      </c>
    </row>
    <row r="12" spans="1:15" s="3" customFormat="1" ht="15" customHeight="1" x14ac:dyDescent="0.25">
      <c r="A12" s="40" t="s">
        <v>156</v>
      </c>
      <c r="B12" s="8" t="s">
        <v>150</v>
      </c>
      <c r="C12" s="43">
        <f>'FE-Transferências'!$L$5</f>
        <v>7.4</v>
      </c>
      <c r="D12" s="8" t="s">
        <v>63</v>
      </c>
      <c r="E12" s="8">
        <v>0</v>
      </c>
      <c r="F12" s="43">
        <f>B4</f>
        <v>4.8244328105022838</v>
      </c>
      <c r="G12" s="112">
        <v>-20.193635</v>
      </c>
      <c r="H12" s="112">
        <v>-40.261231000000002</v>
      </c>
      <c r="I12" s="8">
        <v>5</v>
      </c>
      <c r="J12" s="41">
        <f>'FE-Transferências'!$A$4*0.0016*((($B$6/2.2)^1.3)/($C$12/2)^1.4)</f>
        <v>4.3948482222233288E-4</v>
      </c>
      <c r="K12" s="41">
        <f>'FE-Transferências'!$C$4*0.0016*((($B$6/2.2)^1.3)/($C$12/2)^1.4)</f>
        <v>2.0786444294299528E-4</v>
      </c>
      <c r="L12" s="41">
        <f>'FE-Transferências'!$E$4*0.0016*((($B$6/2.2)^1.3)/($C$12/2)^1.4)</f>
        <v>3.1476615645653572E-5</v>
      </c>
      <c r="M12" s="42">
        <f t="shared" ref="M12:M17" si="0">F12*J12*(1-E12/100)</f>
        <v>2.1202649960471859E-3</v>
      </c>
      <c r="N12" s="42">
        <f t="shared" ref="N12:N13" si="1">F12*K12*(1-E12/100)</f>
        <v>1.0028280386709663E-3</v>
      </c>
      <c r="O12" s="42">
        <f t="shared" ref="O12:O13" si="2">F12*L12*(1-E12/100)</f>
        <v>1.5185681728446061E-4</v>
      </c>
    </row>
    <row r="13" spans="1:15" s="3" customFormat="1" ht="15" customHeight="1" x14ac:dyDescent="0.2">
      <c r="A13" s="47" t="s">
        <v>157</v>
      </c>
      <c r="B13" s="4" t="s">
        <v>147</v>
      </c>
      <c r="C13" s="4">
        <v>1</v>
      </c>
      <c r="D13" s="8" t="s">
        <v>63</v>
      </c>
      <c r="E13" s="8">
        <v>0</v>
      </c>
      <c r="F13" s="16">
        <f>B5</f>
        <v>5.5916462328767125</v>
      </c>
      <c r="G13" s="113"/>
      <c r="H13" s="113"/>
      <c r="I13" s="8">
        <v>5</v>
      </c>
      <c r="J13" s="41">
        <f>'FE-Transferências'!$A$4*0.0016*((($B$6/2.2)^1.3)/($C$12/2)^1.4)</f>
        <v>4.3948482222233288E-4</v>
      </c>
      <c r="K13" s="41">
        <f>'FE-Transferências'!$C$4*0.0016*((($B$6/2.2)^1.3)/($C$12/2)^1.4)</f>
        <v>2.0786444294299528E-4</v>
      </c>
      <c r="L13" s="41">
        <f>'FE-Transferências'!$E$4*0.0016*((($B$6/2.2)^1.3)/($C$12/2)^1.4)</f>
        <v>3.1476615645653572E-5</v>
      </c>
      <c r="M13" s="42">
        <f t="shared" si="0"/>
        <v>2.4574436505859993E-3</v>
      </c>
      <c r="N13" s="42">
        <f t="shared" si="1"/>
        <v>1.1623044293312158E-3</v>
      </c>
      <c r="O13" s="42">
        <f t="shared" si="2"/>
        <v>1.7600609929872699E-4</v>
      </c>
    </row>
    <row r="14" spans="1:15" s="3" customFormat="1" ht="15" customHeight="1" x14ac:dyDescent="0.2">
      <c r="A14" s="47" t="s">
        <v>167</v>
      </c>
      <c r="B14" s="4" t="s">
        <v>150</v>
      </c>
      <c r="C14" s="43">
        <f>'FE-Transferências'!$L$5</f>
        <v>7.4</v>
      </c>
      <c r="D14" s="4" t="s">
        <v>152</v>
      </c>
      <c r="E14" s="4">
        <v>70</v>
      </c>
      <c r="F14" s="16">
        <f>F12</f>
        <v>4.8244328105022838</v>
      </c>
      <c r="G14" s="113"/>
      <c r="H14" s="113"/>
      <c r="I14" s="8">
        <v>10</v>
      </c>
      <c r="J14" s="41">
        <f>'FE-Transferências'!$A$4*0.0016*((($B$6/2.2)^1.3)/($C$12/2)^1.4)</f>
        <v>4.3948482222233288E-4</v>
      </c>
      <c r="K14" s="41">
        <f>'FE-Transferências'!$C$4*0.0016*((($B$6/2.2)^1.3)/($C$12/2)^1.4)</f>
        <v>2.0786444294299528E-4</v>
      </c>
      <c r="L14" s="41">
        <f>'FE-Transferências'!$E$4*0.0016*((($B$6/2.2)^1.3)/($C$12/2)^1.4)</f>
        <v>3.1476615645653572E-5</v>
      </c>
      <c r="M14" s="42">
        <f t="shared" si="0"/>
        <v>6.3607949881415589E-4</v>
      </c>
      <c r="N14" s="42">
        <f>F14*K14*(1-E14/100)</f>
        <v>3.0084841160128993E-4</v>
      </c>
      <c r="O14" s="56">
        <f>F14*L14*(1-E14/100)</f>
        <v>4.5557045185338189E-5</v>
      </c>
    </row>
    <row r="15" spans="1:15" s="3" customFormat="1" ht="15" customHeight="1" x14ac:dyDescent="0.2">
      <c r="A15" s="47" t="s">
        <v>168</v>
      </c>
      <c r="B15" s="4" t="s">
        <v>147</v>
      </c>
      <c r="C15" s="4">
        <v>1</v>
      </c>
      <c r="D15" s="4" t="s">
        <v>152</v>
      </c>
      <c r="E15" s="4">
        <v>70</v>
      </c>
      <c r="F15" s="16">
        <f>F13</f>
        <v>5.5916462328767125</v>
      </c>
      <c r="G15" s="113"/>
      <c r="H15" s="113"/>
      <c r="I15" s="8">
        <v>10</v>
      </c>
      <c r="J15" s="41">
        <f>'FE-Transferências'!$A$4*0.0016*((($B$6/2.2)^1.3)/($C$12/2)^1.4)</f>
        <v>4.3948482222233288E-4</v>
      </c>
      <c r="K15" s="41">
        <f>'FE-Transferências'!$C$4*0.0016*((($B$6/2.2)^1.3)/($C$12/2)^1.4)</f>
        <v>2.0786444294299528E-4</v>
      </c>
      <c r="L15" s="41">
        <f>'FE-Transferências'!$E$4*0.0016*((($B$6/2.2)^1.3)/($C$12/2)^1.4)</f>
        <v>3.1476615645653572E-5</v>
      </c>
      <c r="M15" s="42">
        <f t="shared" si="0"/>
        <v>7.3723309517579987E-4</v>
      </c>
      <c r="N15" s="42">
        <f>F15*K15*(1-E15/100)</f>
        <v>3.4869132879936478E-4</v>
      </c>
      <c r="O15" s="42">
        <f>F15*L15*(1-E15/100)</f>
        <v>5.2801829789618106E-5</v>
      </c>
    </row>
    <row r="16" spans="1:15" s="3" customFormat="1" ht="15" customHeight="1" x14ac:dyDescent="0.2">
      <c r="A16" s="47" t="s">
        <v>169</v>
      </c>
      <c r="B16" s="4" t="s">
        <v>150</v>
      </c>
      <c r="C16" s="43">
        <f>'FE-Transferências'!$L$5</f>
        <v>7.4</v>
      </c>
      <c r="D16" s="4" t="s">
        <v>152</v>
      </c>
      <c r="E16" s="4">
        <v>70</v>
      </c>
      <c r="F16" s="16">
        <f>F14</f>
        <v>4.8244328105022838</v>
      </c>
      <c r="G16" s="113"/>
      <c r="H16" s="113"/>
      <c r="I16" s="8">
        <v>5</v>
      </c>
      <c r="J16" s="41">
        <f>'FE-Transferências'!$A$4*0.0016*((($B$6/2.2)^1.3)/($C$12/2)^1.4)</f>
        <v>4.3948482222233288E-4</v>
      </c>
      <c r="K16" s="41">
        <f>'FE-Transferências'!$C$4*0.0016*((($B$6/2.2)^1.3)/($C$12/2)^1.4)</f>
        <v>2.0786444294299528E-4</v>
      </c>
      <c r="L16" s="41">
        <f>'FE-Transferências'!$E$4*0.0016*((($B$6/2.2)^1.3)/($C$12/2)^1.4)</f>
        <v>3.1476615645653572E-5</v>
      </c>
      <c r="M16" s="42">
        <f t="shared" si="0"/>
        <v>6.3607949881415589E-4</v>
      </c>
      <c r="N16" s="42">
        <f>F16*K16*(1-E16/100)</f>
        <v>3.0084841160128993E-4</v>
      </c>
      <c r="O16" s="56">
        <f>F16*L16*(1-E16/100)</f>
        <v>4.5557045185338189E-5</v>
      </c>
    </row>
    <row r="17" spans="1:15" s="3" customFormat="1" ht="15" customHeight="1" x14ac:dyDescent="0.2">
      <c r="A17" s="47" t="s">
        <v>170</v>
      </c>
      <c r="B17" s="4" t="s">
        <v>147</v>
      </c>
      <c r="C17" s="4">
        <v>1</v>
      </c>
      <c r="D17" s="4" t="s">
        <v>152</v>
      </c>
      <c r="E17" s="4">
        <v>70</v>
      </c>
      <c r="F17" s="16">
        <f>F15</f>
        <v>5.5916462328767125</v>
      </c>
      <c r="G17" s="113"/>
      <c r="H17" s="113"/>
      <c r="I17" s="8">
        <v>5</v>
      </c>
      <c r="J17" s="41">
        <f>'FE-Transferências'!$A$4*0.0016*((($B$6/2.2)^1.3)/($C$12/2)^1.4)</f>
        <v>4.3948482222233288E-4</v>
      </c>
      <c r="K17" s="41">
        <f>'FE-Transferências'!$C$4*0.0016*((($B$6/2.2)^1.3)/($C$12/2)^1.4)</f>
        <v>2.0786444294299528E-4</v>
      </c>
      <c r="L17" s="41">
        <f>'FE-Transferências'!$E$4*0.0016*((($B$6/2.2)^1.3)/($C$12/2)^1.4)</f>
        <v>3.1476615645653572E-5</v>
      </c>
      <c r="M17" s="42">
        <f t="shared" si="0"/>
        <v>7.3723309517579987E-4</v>
      </c>
      <c r="N17" s="42">
        <f>F17*K17*(1-E17/100)</f>
        <v>3.4869132879936478E-4</v>
      </c>
      <c r="O17" s="42">
        <f>F17*L17*(1-E17/100)</f>
        <v>5.2801829789618106E-5</v>
      </c>
    </row>
    <row r="18" spans="1:15" ht="15" customHeight="1" x14ac:dyDescent="0.25">
      <c r="A18" s="100" t="s">
        <v>145</v>
      </c>
      <c r="B18" s="100"/>
      <c r="C18" s="100"/>
      <c r="D18" s="100"/>
      <c r="E18" s="100"/>
      <c r="F18" s="100"/>
      <c r="G18" s="100"/>
      <c r="H18" s="100"/>
      <c r="I18" s="100"/>
      <c r="J18" s="100"/>
      <c r="K18" s="100"/>
      <c r="L18" s="100"/>
      <c r="M18" s="10">
        <f>SUM(M12:M17)</f>
        <v>7.3243338346130971E-3</v>
      </c>
      <c r="N18" s="50">
        <f>SUM(N12:N17)</f>
        <v>3.4642119488034915E-3</v>
      </c>
      <c r="O18" s="50">
        <f>SUM(O12:O17)</f>
        <v>5.2458066653310017E-4</v>
      </c>
    </row>
    <row r="19" spans="1:15" ht="15" customHeight="1" x14ac:dyDescent="0.2">
      <c r="A19" s="1" t="s">
        <v>186</v>
      </c>
      <c r="B19" s="1"/>
      <c r="C19" s="1"/>
    </row>
    <row r="20" spans="1:15" ht="15" customHeight="1" x14ac:dyDescent="0.2">
      <c r="A20" s="1" t="s">
        <v>190</v>
      </c>
      <c r="B20" s="1"/>
      <c r="C20" s="1"/>
      <c r="J20" s="51"/>
    </row>
    <row r="21" spans="1:15" ht="15" customHeight="1" x14ac:dyDescent="0.2">
      <c r="A21" s="1" t="s">
        <v>191</v>
      </c>
      <c r="B21" s="1"/>
      <c r="C21" s="1"/>
    </row>
    <row r="22" spans="1:15" ht="15" customHeight="1" x14ac:dyDescent="0.2">
      <c r="A22" s="1"/>
      <c r="B22" s="1"/>
      <c r="C22" s="1"/>
    </row>
    <row r="23" spans="1:15" ht="15" customHeight="1" x14ac:dyDescent="0.2">
      <c r="A23" s="1"/>
      <c r="B23" s="1"/>
      <c r="C23" s="1"/>
    </row>
    <row r="24" spans="1:15" ht="15" customHeight="1" x14ac:dyDescent="0.2">
      <c r="A24" s="1"/>
      <c r="B24" s="1"/>
      <c r="C24" s="1"/>
    </row>
    <row r="25" spans="1:15" ht="15" customHeight="1" x14ac:dyDescent="0.2">
      <c r="A25" s="1"/>
      <c r="B25" s="1"/>
      <c r="C25" s="1"/>
    </row>
    <row r="26" spans="1:15" ht="15" customHeight="1" x14ac:dyDescent="0.2">
      <c r="A26" s="1"/>
      <c r="B26" s="1"/>
      <c r="C26" s="1"/>
    </row>
    <row r="27" spans="1:15" ht="15" customHeight="1" x14ac:dyDescent="0.2">
      <c r="A27" s="1"/>
      <c r="B27" s="1"/>
      <c r="C27" s="1"/>
    </row>
  </sheetData>
  <sheetProtection password="B056" sheet="1" objects="1" scenarios="1"/>
  <mergeCells count="14">
    <mergeCell ref="J10:L10"/>
    <mergeCell ref="A18:L18"/>
    <mergeCell ref="G12:G17"/>
    <mergeCell ref="H12:H17"/>
    <mergeCell ref="M10:O10"/>
    <mergeCell ref="F10:F11"/>
    <mergeCell ref="G10:G11"/>
    <mergeCell ref="H10:H11"/>
    <mergeCell ref="I10:I11"/>
    <mergeCell ref="A10:A11"/>
    <mergeCell ref="B10:B11"/>
    <mergeCell ref="C10:C11"/>
    <mergeCell ref="D10:D11"/>
    <mergeCell ref="E10:E11"/>
  </mergeCells>
  <pageMargins left="0.511811024" right="0.511811024" top="0.78740157499999996" bottom="0.78740157499999996" header="0.31496062000000002" footer="0.31496062000000002"/>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K22" sqref="K22"/>
    </sheetView>
  </sheetViews>
  <sheetFormatPr defaultRowHeight="15" x14ac:dyDescent="0.25"/>
  <sheetData>
    <row r="1" spans="1:8" x14ac:dyDescent="0.25">
      <c r="A1" s="119" t="s">
        <v>187</v>
      </c>
      <c r="B1" s="119"/>
      <c r="C1" s="119"/>
      <c r="D1" s="119"/>
      <c r="E1" s="119"/>
      <c r="F1" s="119"/>
      <c r="G1" s="119"/>
      <c r="H1" s="119"/>
    </row>
    <row r="2" spans="1:8" x14ac:dyDescent="0.25">
      <c r="A2" s="119"/>
      <c r="B2" s="119"/>
      <c r="C2" s="119"/>
      <c r="D2" s="119"/>
      <c r="E2" s="119"/>
      <c r="F2" s="119"/>
      <c r="G2" s="119"/>
      <c r="H2" s="119"/>
    </row>
    <row r="3" spans="1:8" x14ac:dyDescent="0.25">
      <c r="A3" s="119"/>
      <c r="B3" s="119"/>
      <c r="C3" s="119"/>
      <c r="D3" s="119"/>
      <c r="E3" s="119"/>
      <c r="F3" s="119"/>
      <c r="G3" s="119"/>
      <c r="H3" s="119"/>
    </row>
    <row r="4" spans="1:8" x14ac:dyDescent="0.25">
      <c r="A4" s="119"/>
      <c r="B4" s="119"/>
      <c r="C4" s="119"/>
      <c r="D4" s="119"/>
      <c r="E4" s="119"/>
      <c r="F4" s="119"/>
      <c r="G4" s="119"/>
      <c r="H4" s="119"/>
    </row>
    <row r="5" spans="1:8" x14ac:dyDescent="0.25">
      <c r="A5" s="119"/>
      <c r="B5" s="119"/>
      <c r="C5" s="119"/>
      <c r="D5" s="119"/>
      <c r="E5" s="119"/>
      <c r="F5" s="119"/>
      <c r="G5" s="119"/>
      <c r="H5" s="119"/>
    </row>
  </sheetData>
  <sheetProtection password="B056" sheet="1" objects="1" scenarios="1"/>
  <mergeCells count="1">
    <mergeCell ref="A1:H5"/>
  </mergeCell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tabSelected="1" workbookViewId="0">
      <selection activeCell="P16" sqref="P16"/>
    </sheetView>
  </sheetViews>
  <sheetFormatPr defaultRowHeight="15" x14ac:dyDescent="0.25"/>
  <cols>
    <col min="1" max="1" width="21" customWidth="1"/>
  </cols>
  <sheetData>
    <row r="1" spans="1:8" x14ac:dyDescent="0.25">
      <c r="A1" s="120" t="s">
        <v>153</v>
      </c>
      <c r="B1" s="103" t="s">
        <v>1</v>
      </c>
      <c r="C1" s="104"/>
      <c r="D1" s="104"/>
      <c r="E1" s="104"/>
      <c r="F1" s="104"/>
      <c r="G1" s="104"/>
      <c r="H1" s="104"/>
    </row>
    <row r="2" spans="1:8" x14ac:dyDescent="0.25">
      <c r="A2" s="120"/>
      <c r="B2" s="5" t="s">
        <v>2</v>
      </c>
      <c r="C2" s="5" t="s">
        <v>3</v>
      </c>
      <c r="D2" s="5" t="s">
        <v>41</v>
      </c>
      <c r="E2" s="5" t="s">
        <v>5</v>
      </c>
      <c r="F2" s="5" t="s">
        <v>6</v>
      </c>
      <c r="G2" s="5" t="s">
        <v>4</v>
      </c>
      <c r="H2" s="5" t="s">
        <v>192</v>
      </c>
    </row>
    <row r="3" spans="1:8" x14ac:dyDescent="0.25">
      <c r="A3" s="2" t="s">
        <v>154</v>
      </c>
      <c r="B3" s="56">
        <f>'Emissão Transferências'!M18</f>
        <v>7.3243338346130971E-3</v>
      </c>
      <c r="C3" s="56">
        <f>'Emissão Transferências'!N18</f>
        <v>3.4642119488034915E-3</v>
      </c>
      <c r="D3" s="56">
        <f>'Emissão Transferências'!O18</f>
        <v>5.2458066653310017E-4</v>
      </c>
      <c r="E3" s="56" t="s">
        <v>63</v>
      </c>
      <c r="F3" s="56" t="s">
        <v>63</v>
      </c>
      <c r="G3" s="56" t="s">
        <v>63</v>
      </c>
      <c r="H3" s="56" t="s">
        <v>63</v>
      </c>
    </row>
    <row r="4" spans="1:8" x14ac:dyDescent="0.25">
      <c r="A4" s="2" t="s">
        <v>90</v>
      </c>
      <c r="B4" s="56">
        <f>'Emissão Maq e Equip'!M6</f>
        <v>7.3934618666041839E-3</v>
      </c>
      <c r="C4" s="56">
        <f>'Emissão Maq e Equip'!N6</f>
        <v>7.3934618666041839E-3</v>
      </c>
      <c r="D4" s="56">
        <f>'Emissão Maq e Equip'!O6</f>
        <v>7.3934618666041839E-3</v>
      </c>
      <c r="E4" s="56">
        <f>'Emissão Maq e Equip'!P6</f>
        <v>0.13479796251185383</v>
      </c>
      <c r="F4" s="56">
        <f>'Emissão Maq e Equip'!Q6</f>
        <v>1.8086650344237013E-4</v>
      </c>
      <c r="G4" s="56">
        <f>'Emissão Maq e Equip'!R6</f>
        <v>9.4670137757302333E-2</v>
      </c>
      <c r="H4" s="56">
        <f>'Emissão Maq e Equip'!S6</f>
        <v>1.7665519187596779E-2</v>
      </c>
    </row>
    <row r="5" spans="1:8" x14ac:dyDescent="0.25">
      <c r="A5" s="2" t="s">
        <v>155</v>
      </c>
      <c r="B5" s="56">
        <v>3.0499463600657077E-2</v>
      </c>
      <c r="C5" s="56">
        <v>1.5249731800328539E-2</v>
      </c>
      <c r="D5" s="56">
        <v>2.2874597700492808E-3</v>
      </c>
      <c r="E5" s="56" t="s">
        <v>63</v>
      </c>
      <c r="F5" s="56" t="s">
        <v>63</v>
      </c>
      <c r="G5" s="56" t="s">
        <v>63</v>
      </c>
      <c r="H5" s="56" t="s">
        <v>63</v>
      </c>
    </row>
    <row r="6" spans="1:8" s="30" customFormat="1" x14ac:dyDescent="0.25">
      <c r="A6" s="3" t="s">
        <v>184</v>
      </c>
      <c r="B6" s="56">
        <f>'Emissão Saída do Filtro '!H6</f>
        <v>0.16327837092325168</v>
      </c>
      <c r="C6" s="56">
        <f>'Emissão Saída do Filtro '!I6</f>
        <v>0.13878661528476391</v>
      </c>
      <c r="D6" s="56">
        <f>'Emissão Saída do Filtro '!J6</f>
        <v>4.8983511276975499E-2</v>
      </c>
      <c r="E6" s="56" t="s">
        <v>63</v>
      </c>
      <c r="F6" s="56" t="s">
        <v>63</v>
      </c>
      <c r="G6" s="56" t="s">
        <v>63</v>
      </c>
      <c r="H6" s="56" t="s">
        <v>63</v>
      </c>
    </row>
    <row r="7" spans="1:8" x14ac:dyDescent="0.25">
      <c r="A7" s="46" t="s">
        <v>145</v>
      </c>
      <c r="B7" s="50">
        <f>SUM(B3:B6)</f>
        <v>0.20849563022512602</v>
      </c>
      <c r="C7" s="50">
        <f>SUM(C3:C6)</f>
        <v>0.16489402090050012</v>
      </c>
      <c r="D7" s="50">
        <f t="shared" ref="D7:H7" si="0">SUM(D3:D6)</f>
        <v>5.9189013580162063E-2</v>
      </c>
      <c r="E7" s="50">
        <f t="shared" si="0"/>
        <v>0.13479796251185383</v>
      </c>
      <c r="F7" s="50">
        <f t="shared" si="0"/>
        <v>1.8086650344237013E-4</v>
      </c>
      <c r="G7" s="50">
        <f t="shared" si="0"/>
        <v>9.4670137757302333E-2</v>
      </c>
      <c r="H7" s="50">
        <f t="shared" si="0"/>
        <v>1.7665519187596779E-2</v>
      </c>
    </row>
    <row r="9" spans="1:8" x14ac:dyDescent="0.25">
      <c r="A9" s="3" t="s">
        <v>196</v>
      </c>
    </row>
  </sheetData>
  <sheetProtection password="B056" sheet="1" objects="1" scenarios="1"/>
  <mergeCells count="2">
    <mergeCell ref="A1:A2"/>
    <mergeCell ref="B1:H1"/>
  </mergeCells>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8"/>
  <dimension ref="A1:J23"/>
  <sheetViews>
    <sheetView workbookViewId="0">
      <selection activeCell="K6" sqref="K6"/>
    </sheetView>
  </sheetViews>
  <sheetFormatPr defaultRowHeight="15" x14ac:dyDescent="0.25"/>
  <cols>
    <col min="1" max="1" width="18.28515625" customWidth="1"/>
    <col min="5" max="5" width="25" bestFit="1" customWidth="1"/>
    <col min="6" max="6" width="20" bestFit="1" customWidth="1"/>
    <col min="7" max="7" width="15.140625" bestFit="1" customWidth="1"/>
    <col min="8" max="8" width="14.42578125" bestFit="1" customWidth="1"/>
    <col min="9" max="9" width="12.140625" bestFit="1" customWidth="1"/>
    <col min="10" max="10" width="21.7109375" bestFit="1" customWidth="1"/>
  </cols>
  <sheetData>
    <row r="1" spans="1:10" x14ac:dyDescent="0.25">
      <c r="A1" s="121" t="s">
        <v>17</v>
      </c>
      <c r="B1" s="122"/>
      <c r="C1" s="122"/>
      <c r="D1" s="122"/>
      <c r="E1" s="123"/>
    </row>
    <row r="2" spans="1:10" x14ac:dyDescent="0.25">
      <c r="A2" s="73" t="s">
        <v>16</v>
      </c>
      <c r="B2" s="76"/>
      <c r="C2" s="77"/>
      <c r="D2" s="77"/>
      <c r="E2" s="78"/>
    </row>
    <row r="3" spans="1:10" x14ac:dyDescent="0.25">
      <c r="A3" s="74"/>
      <c r="B3" s="79"/>
      <c r="C3" s="80"/>
      <c r="D3" s="80"/>
      <c r="E3" s="81"/>
    </row>
    <row r="4" spans="1:10" x14ac:dyDescent="0.25">
      <c r="A4" s="74"/>
      <c r="B4" s="82"/>
      <c r="C4" s="83"/>
      <c r="D4" s="83"/>
      <c r="E4" s="84"/>
    </row>
    <row r="5" spans="1:10" ht="15" customHeight="1" x14ac:dyDescent="0.25">
      <c r="A5" s="74"/>
      <c r="B5" s="85" t="s">
        <v>34</v>
      </c>
      <c r="C5" s="86"/>
      <c r="D5" s="86"/>
      <c r="E5" s="87"/>
    </row>
    <row r="6" spans="1:10" x14ac:dyDescent="0.25">
      <c r="A6" s="74"/>
      <c r="B6" s="88"/>
      <c r="C6" s="89"/>
      <c r="D6" s="89"/>
      <c r="E6" s="90"/>
    </row>
    <row r="7" spans="1:10" x14ac:dyDescent="0.25">
      <c r="A7" s="74"/>
      <c r="B7" s="88"/>
      <c r="C7" s="89"/>
      <c r="D7" s="89"/>
      <c r="E7" s="90"/>
    </row>
    <row r="8" spans="1:10" x14ac:dyDescent="0.25">
      <c r="A8" s="74"/>
      <c r="B8" s="88"/>
      <c r="C8" s="89"/>
      <c r="D8" s="89"/>
      <c r="E8" s="90"/>
    </row>
    <row r="9" spans="1:10" x14ac:dyDescent="0.25">
      <c r="A9" s="75"/>
      <c r="B9" s="91"/>
      <c r="C9" s="92"/>
      <c r="D9" s="92"/>
      <c r="E9" s="93"/>
    </row>
    <row r="12" spans="1:10" x14ac:dyDescent="0.25">
      <c r="A12" s="125" t="s">
        <v>35</v>
      </c>
      <c r="B12" s="125"/>
      <c r="C12" s="1"/>
      <c r="D12" s="1"/>
      <c r="E12" s="9" t="s">
        <v>33</v>
      </c>
      <c r="F12" s="9" t="s">
        <v>28</v>
      </c>
      <c r="G12" s="9" t="s">
        <v>32</v>
      </c>
      <c r="H12" s="9" t="s">
        <v>31</v>
      </c>
      <c r="I12" s="9" t="s">
        <v>29</v>
      </c>
      <c r="J12" s="9" t="s">
        <v>30</v>
      </c>
    </row>
    <row r="13" spans="1:10" x14ac:dyDescent="0.25">
      <c r="A13" s="2" t="s">
        <v>18</v>
      </c>
      <c r="B13" s="12">
        <v>46.005499999999998</v>
      </c>
      <c r="C13" s="1"/>
      <c r="D13" s="1"/>
      <c r="E13" s="2" t="s">
        <v>12</v>
      </c>
      <c r="F13" s="11" t="e">
        <f>#REF!</f>
        <v>#REF!</v>
      </c>
      <c r="G13" s="6" t="e">
        <f>#REF!</f>
        <v>#REF!</v>
      </c>
      <c r="H13" s="6" t="e">
        <f>G13+273.15</f>
        <v>#REF!</v>
      </c>
      <c r="I13" s="124">
        <v>1</v>
      </c>
      <c r="J13" s="12" t="e">
        <f>F13*0.04087*$B$15*(($I$13/1)*(298.15/H13))</f>
        <v>#REF!</v>
      </c>
    </row>
    <row r="14" spans="1:10" x14ac:dyDescent="0.25">
      <c r="A14" s="2" t="s">
        <v>19</v>
      </c>
      <c r="B14" s="12">
        <v>30.01</v>
      </c>
      <c r="C14" s="1"/>
      <c r="D14" s="1"/>
      <c r="E14" s="2" t="s">
        <v>13</v>
      </c>
      <c r="F14" s="11" t="e">
        <f>#REF!</f>
        <v>#REF!</v>
      </c>
      <c r="G14" s="6" t="e">
        <f>#REF!</f>
        <v>#REF!</v>
      </c>
      <c r="H14" s="6" t="e">
        <f t="shared" ref="H14:H21" si="0">G14+273.15</f>
        <v>#REF!</v>
      </c>
      <c r="I14" s="124"/>
      <c r="J14" s="12" t="e">
        <f t="shared" ref="J14:J21" si="1">F14*0.04087*$B$15*(($I$13/1)*(298.15/H14))</f>
        <v>#REF!</v>
      </c>
    </row>
    <row r="15" spans="1:10" x14ac:dyDescent="0.25">
      <c r="A15" s="2" t="s">
        <v>4</v>
      </c>
      <c r="B15" s="12">
        <v>28.01</v>
      </c>
      <c r="C15" s="1"/>
      <c r="D15" s="1"/>
      <c r="E15" s="2" t="s">
        <v>9</v>
      </c>
      <c r="F15" s="11" t="e">
        <f>#REF!</f>
        <v>#REF!</v>
      </c>
      <c r="G15" s="6" t="e">
        <f>#REF!</f>
        <v>#REF!</v>
      </c>
      <c r="H15" s="6" t="e">
        <f t="shared" si="0"/>
        <v>#REF!</v>
      </c>
      <c r="I15" s="124"/>
      <c r="J15" s="12" t="e">
        <f t="shared" si="1"/>
        <v>#REF!</v>
      </c>
    </row>
    <row r="16" spans="1:10" x14ac:dyDescent="0.25">
      <c r="A16" s="2" t="s">
        <v>20</v>
      </c>
      <c r="B16" s="12">
        <v>48</v>
      </c>
      <c r="C16" s="1"/>
      <c r="D16" s="1"/>
      <c r="E16" s="2" t="s">
        <v>8</v>
      </c>
      <c r="F16" s="11" t="e">
        <f>#REF!</f>
        <v>#REF!</v>
      </c>
      <c r="G16" s="6" t="e">
        <f>#REF!</f>
        <v>#REF!</v>
      </c>
      <c r="H16" s="6" t="e">
        <f t="shared" si="0"/>
        <v>#REF!</v>
      </c>
      <c r="I16" s="124"/>
      <c r="J16" s="12" t="e">
        <f t="shared" si="1"/>
        <v>#REF!</v>
      </c>
    </row>
    <row r="17" spans="1:10" x14ac:dyDescent="0.25">
      <c r="A17" s="2" t="s">
        <v>21</v>
      </c>
      <c r="B17" s="12">
        <v>34.1</v>
      </c>
      <c r="C17" s="1"/>
      <c r="D17" s="1"/>
      <c r="E17" s="2" t="s">
        <v>10</v>
      </c>
      <c r="F17" s="11" t="e">
        <f>#REF!</f>
        <v>#REF!</v>
      </c>
      <c r="G17" s="6" t="e">
        <f>#REF!</f>
        <v>#REF!</v>
      </c>
      <c r="H17" s="6" t="e">
        <f t="shared" si="0"/>
        <v>#REF!</v>
      </c>
      <c r="I17" s="124"/>
      <c r="J17" s="12" t="e">
        <f t="shared" si="1"/>
        <v>#REF!</v>
      </c>
    </row>
    <row r="18" spans="1:10" x14ac:dyDescent="0.25">
      <c r="A18" s="2" t="s">
        <v>22</v>
      </c>
      <c r="B18" s="12">
        <v>64.066000000000003</v>
      </c>
      <c r="C18" s="1"/>
      <c r="D18" s="1"/>
      <c r="E18" s="2" t="s">
        <v>11</v>
      </c>
      <c r="F18" s="11" t="e">
        <f>#REF!</f>
        <v>#REF!</v>
      </c>
      <c r="G18" s="6" t="e">
        <f>#REF!</f>
        <v>#REF!</v>
      </c>
      <c r="H18" s="6" t="e">
        <f t="shared" si="0"/>
        <v>#REF!</v>
      </c>
      <c r="I18" s="124"/>
      <c r="J18" s="12" t="e">
        <f t="shared" si="1"/>
        <v>#REF!</v>
      </c>
    </row>
    <row r="19" spans="1:10" x14ac:dyDescent="0.25">
      <c r="A19" s="2" t="s">
        <v>23</v>
      </c>
      <c r="B19" s="12">
        <v>36.46</v>
      </c>
      <c r="C19" s="1"/>
      <c r="D19" s="1"/>
      <c r="E19" s="3" t="s">
        <v>7</v>
      </c>
      <c r="F19" s="11" t="e">
        <f>#REF!</f>
        <v>#REF!</v>
      </c>
      <c r="G19" s="6" t="e">
        <f>#REF!</f>
        <v>#REF!</v>
      </c>
      <c r="H19" s="6" t="e">
        <f t="shared" si="0"/>
        <v>#REF!</v>
      </c>
      <c r="I19" s="124"/>
      <c r="J19" s="12" t="e">
        <f t="shared" si="1"/>
        <v>#REF!</v>
      </c>
    </row>
    <row r="20" spans="1:10" x14ac:dyDescent="0.25">
      <c r="A20" s="2" t="s">
        <v>24</v>
      </c>
      <c r="B20" s="12">
        <v>20.0063</v>
      </c>
      <c r="C20" s="1"/>
      <c r="D20" s="1"/>
      <c r="E20" s="2" t="s">
        <v>14</v>
      </c>
      <c r="F20" s="11" t="e">
        <f>#REF!</f>
        <v>#REF!</v>
      </c>
      <c r="G20" s="6" t="e">
        <f>#REF!</f>
        <v>#REF!</v>
      </c>
      <c r="H20" s="6" t="e">
        <f t="shared" si="0"/>
        <v>#REF!</v>
      </c>
      <c r="I20" s="124"/>
      <c r="J20" s="12" t="e">
        <f t="shared" si="1"/>
        <v>#REF!</v>
      </c>
    </row>
    <row r="21" spans="1:10" x14ac:dyDescent="0.25">
      <c r="A21" s="2" t="s">
        <v>25</v>
      </c>
      <c r="B21" s="12">
        <v>44.1</v>
      </c>
      <c r="C21" s="1"/>
      <c r="D21" s="1"/>
      <c r="E21" s="2" t="s">
        <v>15</v>
      </c>
      <c r="F21" s="11" t="e">
        <f>#REF!</f>
        <v>#REF!</v>
      </c>
      <c r="G21" s="6" t="e">
        <f>#REF!</f>
        <v>#REF!</v>
      </c>
      <c r="H21" s="6" t="e">
        <f t="shared" si="0"/>
        <v>#REF!</v>
      </c>
      <c r="I21" s="124"/>
      <c r="J21" s="12" t="e">
        <f t="shared" si="1"/>
        <v>#REF!</v>
      </c>
    </row>
    <row r="22" spans="1:10" x14ac:dyDescent="0.25">
      <c r="A22" s="2" t="s">
        <v>26</v>
      </c>
      <c r="B22" s="12">
        <v>78.11</v>
      </c>
      <c r="C22" s="1"/>
      <c r="D22" s="1"/>
      <c r="E22" s="1"/>
      <c r="F22" s="1"/>
      <c r="G22" s="1"/>
      <c r="H22" s="1"/>
      <c r="I22" s="1"/>
    </row>
    <row r="23" spans="1:10" x14ac:dyDescent="0.25">
      <c r="A23" s="2" t="s">
        <v>27</v>
      </c>
      <c r="B23" s="12">
        <v>44.01</v>
      </c>
      <c r="C23" s="1"/>
      <c r="D23" s="1"/>
      <c r="E23" s="1"/>
      <c r="F23" s="1"/>
      <c r="G23" s="1"/>
      <c r="H23" s="1"/>
      <c r="I23" s="1"/>
    </row>
  </sheetData>
  <mergeCells count="6">
    <mergeCell ref="A1:E1"/>
    <mergeCell ref="I13:I21"/>
    <mergeCell ref="A2:A9"/>
    <mergeCell ref="B2:E4"/>
    <mergeCell ref="B5:E9"/>
    <mergeCell ref="A12:B12"/>
  </mergeCells>
  <pageMargins left="0.511811024" right="0.511811024" top="0.78740157499999996" bottom="0.78740157499999996" header="0.31496062000000002" footer="0.31496062000000002"/>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9</vt:i4>
      </vt:variant>
      <vt:variant>
        <vt:lpstr>Intervalos nomeados</vt:lpstr>
      </vt:variant>
      <vt:variant>
        <vt:i4>2</vt:i4>
      </vt:variant>
    </vt:vector>
  </HeadingPairs>
  <TitlesOfParts>
    <vt:vector size="11" baseType="lpstr">
      <vt:lpstr>FE-Transferências</vt:lpstr>
      <vt:lpstr>FE-Maq e Equip</vt:lpstr>
      <vt:lpstr>Dados</vt:lpstr>
      <vt:lpstr>Emissão Maq e Equip</vt:lpstr>
      <vt:lpstr>Emissão Saída do Filtro </vt:lpstr>
      <vt:lpstr>Emissão Transferências</vt:lpstr>
      <vt:lpstr>Emissão Vias</vt:lpstr>
      <vt:lpstr>Resumo</vt:lpstr>
      <vt:lpstr>ppm to mg.m-3</vt:lpstr>
      <vt:lpstr>FE_Maq_Equip</vt:lpstr>
      <vt:lpstr>Pot_Equip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Andrielly Moutinho Knupp</dc:creator>
  <cp:lastModifiedBy>Vanessa Brusco Filete</cp:lastModifiedBy>
  <dcterms:created xsi:type="dcterms:W3CDTF">2016-12-13T12:13:55Z</dcterms:created>
  <dcterms:modified xsi:type="dcterms:W3CDTF">2019-06-06T19:56:35Z</dcterms:modified>
</cp:coreProperties>
</file>