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Transpoterra\"/>
    </mc:Choice>
  </mc:AlternateContent>
  <bookViews>
    <workbookView xWindow="0" yWindow="0" windowWidth="24000" windowHeight="9135" tabRatio="682" activeTab="7"/>
  </bookViews>
  <sheets>
    <sheet name="Dados" sheetId="14" r:id="rId1"/>
    <sheet name="FE-Maq e Equip" sheetId="13" r:id="rId2"/>
    <sheet name="FE-Transf" sheetId="16" r:id="rId3"/>
    <sheet name="FE-Vias" sheetId="18" r:id="rId4"/>
    <sheet name="Emissão Maq e Equip" sheetId="12" r:id="rId5"/>
    <sheet name="Emissão Transferências" sheetId="15" r:id="rId6"/>
    <sheet name="Emissão Vias" sheetId="19" r:id="rId7"/>
    <sheet name="Resumo" sheetId="17" r:id="rId8"/>
    <sheet name="ppm to mg.m-3" sheetId="6" state="hidden" r:id="rId9"/>
  </sheets>
  <definedNames>
    <definedName name="FE_Equipamentos">'FE-Maq e Equip'!$B$4:$I$48</definedName>
    <definedName name="Pot_Equipamentos">'FE-Maq e Equip'!$B$4:$B$48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7" l="1"/>
  <c r="E7" i="17" l="1"/>
  <c r="U3" i="19" l="1"/>
  <c r="T3" i="19"/>
  <c r="S3" i="19"/>
  <c r="R3" i="19"/>
  <c r="Q3" i="19"/>
  <c r="P3" i="19"/>
  <c r="O3" i="19"/>
  <c r="N3" i="19"/>
  <c r="M3" i="19"/>
  <c r="L3" i="19"/>
  <c r="G15" i="18"/>
  <c r="J14" i="18"/>
  <c r="J13" i="18"/>
  <c r="J12" i="18"/>
  <c r="J11" i="18"/>
  <c r="J10" i="18"/>
  <c r="J9" i="18"/>
  <c r="J8" i="18"/>
  <c r="J7" i="18"/>
  <c r="J6" i="18"/>
  <c r="J5" i="18"/>
  <c r="J4" i="18"/>
  <c r="J3" i="18"/>
  <c r="H11" i="12" l="1"/>
  <c r="H10" i="12"/>
  <c r="D7" i="17" l="1"/>
  <c r="C7" i="17"/>
  <c r="G11" i="12" l="1"/>
  <c r="G10" i="12"/>
  <c r="M10" i="12" l="1"/>
  <c r="I10" i="12"/>
  <c r="L10" i="12"/>
  <c r="O10" i="12"/>
  <c r="M11" i="12"/>
  <c r="I11" i="12"/>
  <c r="L11" i="12"/>
  <c r="O11" i="12"/>
  <c r="G9" i="12"/>
  <c r="G8" i="12"/>
  <c r="G7" i="12"/>
  <c r="G6" i="12"/>
  <c r="J10" i="12" l="1"/>
  <c r="K10" i="12"/>
  <c r="J11" i="12"/>
  <c r="K11" i="12"/>
  <c r="D9" i="15"/>
  <c r="F3" i="19" s="1"/>
  <c r="H3" i="19" s="1"/>
  <c r="I3" i="19" s="1"/>
  <c r="D8" i="15"/>
  <c r="D7" i="15"/>
  <c r="D6" i="15"/>
  <c r="F8" i="15"/>
  <c r="G8" i="15"/>
  <c r="H8" i="15"/>
  <c r="F5" i="15"/>
  <c r="G5" i="15"/>
  <c r="H5" i="15"/>
  <c r="K5" i="15" s="1"/>
  <c r="F6" i="15"/>
  <c r="G6" i="15"/>
  <c r="H6" i="15"/>
  <c r="K6" i="15" s="1"/>
  <c r="I5" i="15"/>
  <c r="J5" i="15"/>
  <c r="J6" i="15"/>
  <c r="D5" i="15"/>
  <c r="K8" i="15" l="1"/>
  <c r="W3" i="19"/>
  <c r="W4" i="19" s="1"/>
  <c r="C5" i="17" s="1"/>
  <c r="V3" i="19"/>
  <c r="V4" i="19" s="1"/>
  <c r="B5" i="17" s="1"/>
  <c r="X3" i="19"/>
  <c r="X4" i="19" s="1"/>
  <c r="D5" i="17" s="1"/>
  <c r="Z3" i="19"/>
  <c r="Z4" i="19" s="1"/>
  <c r="F5" i="17" s="1"/>
  <c r="AB3" i="19"/>
  <c r="AB4" i="19" s="1"/>
  <c r="H5" i="17" s="1"/>
  <c r="AA3" i="19"/>
  <c r="AA4" i="19" s="1"/>
  <c r="G5" i="17" s="1"/>
  <c r="Y3" i="19"/>
  <c r="Y4" i="19" s="1"/>
  <c r="E5" i="17" s="1"/>
  <c r="J8" i="15"/>
  <c r="I8" i="15"/>
  <c r="I6" i="15"/>
  <c r="B8" i="14" l="1"/>
  <c r="H9" i="15" l="1"/>
  <c r="H7" i="15"/>
  <c r="K7" i="15" s="1"/>
  <c r="G9" i="15"/>
  <c r="G7" i="15"/>
  <c r="J7" i="15" s="1"/>
  <c r="F9" i="15"/>
  <c r="F7" i="15"/>
  <c r="I7" i="15" s="1"/>
  <c r="G5" i="12"/>
  <c r="J9" i="15" l="1"/>
  <c r="J10" i="15" s="1"/>
  <c r="C3" i="17" s="1"/>
  <c r="I9" i="15"/>
  <c r="I10" i="15" s="1"/>
  <c r="B3" i="17" s="1"/>
  <c r="K9" i="15"/>
  <c r="K10" i="15" s="1"/>
  <c r="D3" i="17" s="1"/>
  <c r="I5" i="12" l="1"/>
  <c r="O9" i="12"/>
  <c r="I8" i="12"/>
  <c r="J8" i="12" s="1"/>
  <c r="L6" i="12"/>
  <c r="L7" i="12"/>
  <c r="M5" i="12"/>
  <c r="N5" i="12" l="1"/>
  <c r="M6" i="12"/>
  <c r="N9" i="12"/>
  <c r="I9" i="12"/>
  <c r="N8" i="12"/>
  <c r="O7" i="12"/>
  <c r="I7" i="12"/>
  <c r="J7" i="12" s="1"/>
  <c r="O5" i="12"/>
  <c r="N6" i="12"/>
  <c r="M9" i="12"/>
  <c r="M8" i="12"/>
  <c r="N7" i="12"/>
  <c r="I6" i="12"/>
  <c r="O6" i="12"/>
  <c r="L9" i="12"/>
  <c r="L8" i="12"/>
  <c r="M7" i="12"/>
  <c r="L5" i="12"/>
  <c r="O8" i="12"/>
  <c r="K8" i="12"/>
  <c r="M12" i="12" l="1"/>
  <c r="F4" i="17" s="1"/>
  <c r="F7" i="17" s="1"/>
  <c r="I12" i="12"/>
  <c r="B4" i="17" s="1"/>
  <c r="B7" i="17" s="1"/>
  <c r="L12" i="12"/>
  <c r="E4" i="17" s="1"/>
  <c r="N12" i="12"/>
  <c r="G4" i="17" s="1"/>
  <c r="O12" i="12"/>
  <c r="H4" i="17" s="1"/>
  <c r="H7" i="17" s="1"/>
  <c r="J6" i="12"/>
  <c r="K7" i="12"/>
  <c r="K6" i="12"/>
  <c r="J9" i="12"/>
  <c r="K9" i="12"/>
  <c r="K5" i="12" l="1"/>
  <c r="K12" i="12" s="1"/>
  <c r="D4" i="17" s="1"/>
  <c r="J5" i="12"/>
  <c r="J12" i="12" s="1"/>
  <c r="C4" i="17" s="1"/>
  <c r="F13" i="6" l="1"/>
  <c r="F21" i="6" l="1"/>
  <c r="F20" i="6"/>
  <c r="F14" i="6"/>
  <c r="F18" i="6"/>
  <c r="F17" i="6"/>
  <c r="F15" i="6"/>
  <c r="F16" i="6"/>
  <c r="F19" i="6"/>
  <c r="G17" i="6" l="1"/>
  <c r="H17" i="6" s="1"/>
  <c r="J17" i="6" s="1"/>
  <c r="G13" i="6"/>
  <c r="H13" i="6" s="1"/>
  <c r="J13" i="6" s="1"/>
  <c r="G20" i="6"/>
  <c r="H20" i="6" s="1"/>
  <c r="J20" i="6" s="1"/>
  <c r="G18" i="6"/>
  <c r="H18" i="6" s="1"/>
  <c r="J18" i="6" s="1"/>
  <c r="G16" i="6"/>
  <c r="H16" i="6" s="1"/>
  <c r="J16" i="6" s="1"/>
  <c r="G15" i="6"/>
  <c r="H15" i="6" s="1"/>
  <c r="J15" i="6" s="1"/>
  <c r="G14" i="6"/>
  <c r="H14" i="6" s="1"/>
  <c r="J14" i="6" s="1"/>
  <c r="G21" i="6"/>
  <c r="H21" i="6" s="1"/>
  <c r="J21" i="6" s="1"/>
  <c r="G19" i="6"/>
  <c r="H19" i="6" s="1"/>
  <c r="J19" i="6" s="1"/>
</calcChain>
</file>

<file path=xl/comments1.xml><?xml version="1.0" encoding="utf-8"?>
<comments xmlns="http://schemas.openxmlformats.org/spreadsheetml/2006/main">
  <authors>
    <author>Alinie Rossi dos Santos</author>
  </authors>
  <commentList>
    <comment ref="A6" authorId="0" shapeId="0">
      <text>
        <r>
          <rPr>
            <sz val="9"/>
            <color indexed="81"/>
            <rFont val="Segoe UI"/>
            <family val="2"/>
          </rPr>
          <t>Fonte: MENOSSI, 2004
https://repositorio.unesp.br/bitstream/handle/11449/90740/menossi_rt_me_ilha.pdf?sequence</t>
        </r>
      </text>
    </comment>
    <comment ref="B8" authorId="0" shapeId="0">
      <text>
        <r>
          <rPr>
            <sz val="9"/>
            <color indexed="81"/>
            <rFont val="Segoe UI"/>
            <family val="2"/>
          </rPr>
          <t>Considerando uma altura de 3 metros das pilhas de disposição da areia no pátio de secagem, e que 1/6 do material que contribui para a formação da área suscetivel a erosão eólica (uma vez que o material não é todo extraído e estocado).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Ano de fabricação das máquinas não fornecida. Portanto, considerou-se o ano de cenário mais conservador (2007)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1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  <author>Gabriel Aarão Gonçalves</author>
  </authors>
  <commentList>
    <comment ref="J4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K4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M4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O4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C8" authorId="1" shapeId="0">
      <text>
        <r>
          <rPr>
            <sz val="9"/>
            <color indexed="81"/>
            <rFont val="Segoe UI"/>
            <family val="2"/>
          </rPr>
          <t xml:space="preserve">Não há fator de emissão para micro tratores. Portanto, foi considerado o fator de emissão de tratores
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</authors>
  <commentList>
    <comment ref="A12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J1" authorId="0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Sand and Gravel Processing - Plant Road
</t>
        </r>
      </text>
    </comment>
    <comment ref="K1" authorId="0" shapeId="0">
      <text>
        <r>
          <rPr>
            <sz val="9"/>
            <color indexed="81"/>
            <rFont val="Segoe UI"/>
            <family val="2"/>
          </rPr>
          <t xml:space="preserve">Considerado caminhão Ford Cargo 1215 -Baseado na ficha técnica do modelo considerado.
</t>
        </r>
      </text>
    </comment>
  </commentList>
</comments>
</file>

<file path=xl/sharedStrings.xml><?xml version="1.0" encoding="utf-8"?>
<sst xmlns="http://schemas.openxmlformats.org/spreadsheetml/2006/main" count="285" uniqueCount="215">
  <si>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</si>
  <si>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</si>
  <si>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</si>
  <si>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</si>
  <si>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</si>
  <si>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</si>
  <si>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</si>
  <si>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Chaminé do Secador de Borra</t>
  </si>
  <si>
    <t>Chaminé do Silo de Borra Úmida</t>
  </si>
  <si>
    <t>Chaminé da Caldeira Bremmer</t>
  </si>
  <si>
    <t>Chaminé do Multiciclone da Torre I</t>
  </si>
  <si>
    <t>Chaminé do Multiciclone da Torre II</t>
  </si>
  <si>
    <t>Chaminé do Torrador I</t>
  </si>
  <si>
    <t>Chaminé do Torrador II</t>
  </si>
  <si>
    <t>Chaminé do Gerador I</t>
  </si>
  <si>
    <t>Chaminé do Gerador II</t>
  </si>
  <si>
    <t>Equação Geral:</t>
  </si>
  <si>
    <t>Conversão ppm para mg/m³:</t>
  </si>
  <si>
    <t>NO2</t>
  </si>
  <si>
    <t>NO</t>
  </si>
  <si>
    <t>O3</t>
  </si>
  <si>
    <t>H2S</t>
  </si>
  <si>
    <t>SO2</t>
  </si>
  <si>
    <t>HCl</t>
  </si>
  <si>
    <t>HF</t>
  </si>
  <si>
    <t>C3H8</t>
  </si>
  <si>
    <t>Benzeno</t>
  </si>
  <si>
    <t>CO2</t>
  </si>
  <si>
    <t>Concentração CO [ppm]</t>
  </si>
  <si>
    <t>Pressão [atm]</t>
  </si>
  <si>
    <t>Concentração CO [mg/m³]</t>
  </si>
  <si>
    <t xml:space="preserve">Temperatura [K] </t>
  </si>
  <si>
    <t xml:space="preserve">Temperatura [ºC] </t>
  </si>
  <si>
    <t>Fonte</t>
  </si>
  <si>
    <r>
      <t>Onde:
MW (g/mol) - massa molar
P (atm) - pressão do gás
P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- 1 atm (CNTP)
T (K) - temperatura do gás 
T</t>
    </r>
    <r>
      <rPr>
        <vertAlign val="subscript"/>
        <sz val="8"/>
        <color theme="1"/>
        <rFont val="Arial"/>
        <family val="2"/>
      </rPr>
      <t>0</t>
    </r>
    <r>
      <rPr>
        <sz val="8"/>
        <color theme="1"/>
        <rFont val="Arial"/>
        <family val="2"/>
      </rPr>
      <t xml:space="preserve"> - 298,15 K (25 ºC) (CNTP) </t>
    </r>
  </si>
  <si>
    <t>Massa Molar - MW [g/mol]</t>
  </si>
  <si>
    <t>Quantidade</t>
  </si>
  <si>
    <t>Potência [hp]</t>
  </si>
  <si>
    <t>Equipamento [hp]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</si>
  <si>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</si>
  <si>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</si>
  <si>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Fonte: AQMD (2016) - http://www.aqmd.gov/home/regulations/ceqa/air-quality-analysis-handbook/off-road-mobile-source-emission-factors</t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</si>
  <si>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</si>
  <si>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</si>
  <si>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</si>
  <si>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</si>
  <si>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</si>
  <si>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</si>
  <si>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</si>
  <si>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</si>
  <si>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</si>
  <si>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Rubber Tired Loaders
(Pá Carregadeira)</t>
  </si>
  <si>
    <t>Rubber Tired Loaders - 25</t>
  </si>
  <si>
    <t>Rubber Tired Loaders - 50</t>
  </si>
  <si>
    <t>Rubber Tired Loaders - 120</t>
  </si>
  <si>
    <t>Rubber Tired Loaders - 175</t>
  </si>
  <si>
    <t>Rubber Tired Loaders - 250</t>
  </si>
  <si>
    <t>Rubber Tired Loaders - 500</t>
  </si>
  <si>
    <t>Rubber Tired Loaders - 750</t>
  </si>
  <si>
    <t>Rubber Tired Loaders - 1000</t>
  </si>
  <si>
    <t>Ano de fabricação considerado:</t>
  </si>
  <si>
    <t>Quantidade de areia extraída (m³/ano)</t>
  </si>
  <si>
    <t>Grupo Gerador Tramontine</t>
  </si>
  <si>
    <t>Moto Bomba Yanmar</t>
  </si>
  <si>
    <t>Gerador Tiyama</t>
  </si>
  <si>
    <t>Generator Sets - 15</t>
  </si>
  <si>
    <t>Generator Sets - 25</t>
  </si>
  <si>
    <t>Generator Sets - 50</t>
  </si>
  <si>
    <t>Generator Sets - 120</t>
  </si>
  <si>
    <t>Generator Sets - 175</t>
  </si>
  <si>
    <t>Generator Sets - 250</t>
  </si>
  <si>
    <t>Generator Sets - 500</t>
  </si>
  <si>
    <t>Generator Sets- 750</t>
  </si>
  <si>
    <t>Generator Sets - 9999</t>
  </si>
  <si>
    <t>Generator Sets
(Geradores)</t>
  </si>
  <si>
    <t>Pumps
(Bombas)</t>
  </si>
  <si>
    <t>Pumps - 15</t>
  </si>
  <si>
    <t>Pumps - 25</t>
  </si>
  <si>
    <t>Pumps - 50</t>
  </si>
  <si>
    <t>Pumps - 120</t>
  </si>
  <si>
    <t>Pumps - 175</t>
  </si>
  <si>
    <t>Pumps - 250</t>
  </si>
  <si>
    <t>Pumps - 500</t>
  </si>
  <si>
    <t>Pumps - 750</t>
  </si>
  <si>
    <t>Pumps - 9999</t>
  </si>
  <si>
    <t>Dumpers/Tenders
(Caminhão basculante)</t>
  </si>
  <si>
    <t>Dumpers/Tenders - 25</t>
  </si>
  <si>
    <t>Rubber Tired Dozers
(Trator de Rodas)</t>
  </si>
  <si>
    <t>Rubber Tired Dozers - 175</t>
  </si>
  <si>
    <t>Rubber Tired Dozers - 250</t>
  </si>
  <si>
    <t>Rubber Tired Dozers - 500</t>
  </si>
  <si>
    <t>Rubber Tired Dozers - 750</t>
  </si>
  <si>
    <t>Rubber Tired Dozers - 1000</t>
  </si>
  <si>
    <t>Other Material Handling Equipment
(Outros Equipamentos de Movimentação de Material)</t>
  </si>
  <si>
    <t>Other Material Handling Equipment - 50</t>
  </si>
  <si>
    <t>Other Material Handling Equipment - 120</t>
  </si>
  <si>
    <t>Other Material Handling Equipment - 175</t>
  </si>
  <si>
    <t>Other Material Handling Equipment - 250</t>
  </si>
  <si>
    <t>Other Material Handling Equipment - 500</t>
  </si>
  <si>
    <t>Other Material Handling Equipment - 9999</t>
  </si>
  <si>
    <t>Horário de Funcionamento</t>
  </si>
  <si>
    <t>07:00 às 16:00</t>
  </si>
  <si>
    <t>Compra/venda</t>
  </si>
  <si>
    <t>Massa específica da areia (t/m³)</t>
  </si>
  <si>
    <t>Onde:
E - emissão (lb/dia)
n - número de equipamentos de cada categoria
H - número de horas diárias de operação do equipamento
EF - fator de emissão (lb/h)</t>
  </si>
  <si>
    <t>Movimentação material [t/h]</t>
  </si>
  <si>
    <t>Umidade do Material [%]</t>
  </si>
  <si>
    <t>Fator de Emissão [kg/t]</t>
  </si>
  <si>
    <t xml:space="preserve">PM 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</si>
  <si>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</si>
  <si>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</si>
  <si>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TR - Car. Caminhão</t>
  </si>
  <si>
    <t>Velocidade do Vento (m/s)</t>
  </si>
  <si>
    <t>Fonte: USEPA (2006) - https://www3.epa.gov/ttn/chief/ap42/ch13/final/c13s0204.pdf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</si>
  <si>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</si>
  <si>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</si>
  <si>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</si>
  <si>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</si>
  <si>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Área de secagem areia (m²)</t>
  </si>
  <si>
    <t>Fontes Emissoras</t>
  </si>
  <si>
    <t>Transferências</t>
  </si>
  <si>
    <t>-</t>
  </si>
  <si>
    <t>Máquinas e Equipamentos</t>
  </si>
  <si>
    <t>Erosão Eólica</t>
  </si>
  <si>
    <t>TR - Car. Caminhão/Pátio Estocagem</t>
  </si>
  <si>
    <t xml:space="preserve">TR - Desc. Caminhão Pátio Estocagem </t>
  </si>
  <si>
    <t>TR - Transf. Silo</t>
  </si>
  <si>
    <t>TR - Transf. Classificador</t>
  </si>
  <si>
    <t>Tractors/Loaders/Backhoes (Trator/Carregadeira/Retroescavadeira)</t>
  </si>
  <si>
    <t>Tractors/Loaders/Backhoes - 25</t>
  </si>
  <si>
    <t>Tractors/Loaders/Backhoes - 50</t>
  </si>
  <si>
    <t>Tractors/Loaders/Backhoes - 120</t>
  </si>
  <si>
    <t>Tractors/Loaders/Backhoes - 175</t>
  </si>
  <si>
    <t>Tractors/Loaders/Backhoes - 250</t>
  </si>
  <si>
    <t>Tractors/Loaders/Backhoes - 500</t>
  </si>
  <si>
    <t>Tractors/Loaders/Backhoes - 750</t>
  </si>
  <si>
    <t>Dragagem</t>
  </si>
  <si>
    <t>NOx</t>
  </si>
  <si>
    <t>Fonte: Entec (2002)</t>
  </si>
  <si>
    <t>HC</t>
  </si>
  <si>
    <t>Pá Carregadeira</t>
  </si>
  <si>
    <t>Micro Trator Yanmar</t>
  </si>
  <si>
    <t>Draga com Flutuante Cemmi 8</t>
  </si>
  <si>
    <t>Draga com Flutuante Cemmi 6</t>
  </si>
  <si>
    <t>Draga Cemmi 8</t>
  </si>
  <si>
    <t>Draga Cemmi 6</t>
  </si>
  <si>
    <t>Consumo combustível dragas (L/h)</t>
  </si>
  <si>
    <t>Consumo Combustível [t/h]</t>
  </si>
  <si>
    <t>http://ec.europa.eu/environment/air/pdf/chapter2_ship_emissions.pdf</t>
  </si>
  <si>
    <t xml:space="preserve">European Comission - Table 2.12. - Fator de Emissão [kg/t de combustível) </t>
  </si>
  <si>
    <t>Densidade do diesel (g/cm³) ou (t/m³)</t>
  </si>
  <si>
    <t>Fonte: USEPA (2006) https://www3.epa.gov/ttn/chief/ap42/ch13/final/c13s0202.pdf</t>
  </si>
  <si>
    <t>Ano 2015</t>
  </si>
  <si>
    <t>AP42 - 13.2.2 Unpaved Roads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</si>
  <si>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</si>
  <si>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</si>
  <si>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</si>
  <si>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</si>
  <si>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</si>
  <si>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Table 13.2.2-2 Constants for Equations 1a and 1b</t>
  </si>
  <si>
    <t>Jan</t>
  </si>
  <si>
    <t>Constant</t>
  </si>
  <si>
    <t>Industrial Roads (Equation 1a)</t>
  </si>
  <si>
    <t>Fev</t>
  </si>
  <si>
    <t>PM2.5</t>
  </si>
  <si>
    <t>PM10</t>
  </si>
  <si>
    <t>PM30</t>
  </si>
  <si>
    <t>Mar</t>
  </si>
  <si>
    <t>k (lb/VMT)</t>
  </si>
  <si>
    <t>Abr</t>
  </si>
  <si>
    <t>a</t>
  </si>
  <si>
    <t>Mai</t>
  </si>
  <si>
    <t>b</t>
  </si>
  <si>
    <t>Jun</t>
  </si>
  <si>
    <t>1 lb/VMT</t>
  </si>
  <si>
    <t>g/VKT</t>
  </si>
  <si>
    <t>Jul</t>
  </si>
  <si>
    <t>Equation</t>
  </si>
  <si>
    <t>Ago</t>
  </si>
  <si>
    <t>Set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</si>
  <si>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</si>
  <si>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</si>
  <si>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</si>
  <si>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</si>
  <si>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</si>
  <si>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</si>
  <si>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</si>
  <si>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</si>
  <si>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</si>
  <si>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</si>
  <si>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</si>
  <si>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HCT</t>
  </si>
  <si>
    <t>Veículos Pesados</t>
  </si>
  <si>
    <t xml:space="preserve">Fonte Emissora </t>
  </si>
  <si>
    <t>Tipo</t>
  </si>
  <si>
    <t>Via Trecho 1</t>
  </si>
  <si>
    <t>Não Pavimentada</t>
  </si>
  <si>
    <t>Vias de Tráfego</t>
  </si>
  <si>
    <t>Fonte: Informações enviadas pelo empreendimento através do Ofício IEMA N° 085/2017</t>
  </si>
  <si>
    <t>Comprimento [m]</t>
  </si>
  <si>
    <t>Quantidade Movimentada [t/h]</t>
  </si>
  <si>
    <t>Capacidade do Caminhão [t]</t>
  </si>
  <si>
    <t>Nº de Caminhões por Hora [h-1]</t>
  </si>
  <si>
    <t>DMT  [km/h]</t>
  </si>
  <si>
    <t>Teor de Silte [%]</t>
  </si>
  <si>
    <t>Peso Médio dos Caminhões [t]</t>
  </si>
  <si>
    <t>Fator de Emissão - Ressuspensão [kg/VKT]</t>
  </si>
  <si>
    <t>Fator de Emissão - Gases Escapamento [kg/km]</t>
  </si>
  <si>
    <t>VOC</t>
  </si>
  <si>
    <t>Nota:</t>
  </si>
  <si>
    <t>Como não foram enviadas informações de vias de tráfego, foi considerada uma via representativa, e calculado o tráfego de caminhões com base na movimentação de material</t>
  </si>
  <si>
    <t>TOTAL</t>
  </si>
  <si>
    <t>Latitude [º]</t>
  </si>
  <si>
    <t>Longitude [º]</t>
  </si>
  <si>
    <t>Nota: "Erosão Eólica" foi calculada na planilha: Erosão Eólica_Transpoterra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</si>
</sst>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0"/>
    <numFmt numFmtId="166" formatCode="#,##0.0"/>
    <numFmt numFmtId="167" formatCode="0.00000"/>
    <numFmt numFmtId="168" formatCode="#,##0.00000"/>
    <numFmt numFmtId="169" formatCode="[&gt;=0.005]\ #,##0.00;[&lt;0.005]&quot;&lt;0,01&quot;"/>
    <numFmt numFmtId="170" formatCode="0.0"/>
  </numFmts>
  <fonts count="15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b/>
      <i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  <font>
      <sz val="8"/>
      <color theme="1"/>
      <name val="Arial 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Fill="1"/>
    <xf numFmtId="164" fontId="1" fillId="0" borderId="0" xfId="0" applyNumberFormat="1" applyFont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ill="1"/>
    <xf numFmtId="0" fontId="9" fillId="0" borderId="0" xfId="0" applyFont="1" applyFill="1" applyAlignment="1"/>
    <xf numFmtId="0" fontId="1" fillId="4" borderId="9" xfId="0" applyFont="1" applyFill="1" applyBorder="1" applyAlignment="1"/>
    <xf numFmtId="0" fontId="1" fillId="4" borderId="3" xfId="0" applyFont="1" applyFill="1" applyBorder="1" applyAlignment="1"/>
    <xf numFmtId="0" fontId="1" fillId="4" borderId="7" xfId="0" applyFont="1" applyFill="1" applyBorder="1" applyAlignment="1"/>
    <xf numFmtId="165" fontId="1" fillId="0" borderId="0" xfId="0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horizontal="center" vertical="center"/>
    </xf>
    <xf numFmtId="166" fontId="1" fillId="0" borderId="18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166" fontId="1" fillId="0" borderId="1" xfId="0" applyNumberFormat="1" applyFont="1" applyFill="1" applyBorder="1" applyAlignment="1">
      <alignment horizontal="center" vertical="center"/>
    </xf>
    <xf numFmtId="169" fontId="1" fillId="3" borderId="0" xfId="0" applyNumberFormat="1" applyFont="1" applyFill="1" applyAlignment="1">
      <alignment horizontal="center" vertical="center"/>
    </xf>
    <xf numFmtId="0" fontId="11" fillId="0" borderId="0" xfId="0" applyFont="1"/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4" borderId="13" xfId="0" applyFont="1" applyFill="1" applyBorder="1" applyAlignment="1"/>
    <xf numFmtId="0" fontId="1" fillId="4" borderId="0" xfId="0" applyFont="1" applyFill="1" applyBorder="1" applyAlignment="1"/>
    <xf numFmtId="0" fontId="1" fillId="4" borderId="8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7" fontId="5" fillId="2" borderId="2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/>
    <xf numFmtId="2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1" fontId="1" fillId="0" borderId="0" xfId="0" applyNumberFormat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 applyFill="1"/>
    <xf numFmtId="1" fontId="1" fillId="0" borderId="0" xfId="0" applyNumberFormat="1" applyFont="1" applyFill="1"/>
    <xf numFmtId="0" fontId="1" fillId="0" borderId="21" xfId="0" applyFont="1" applyFill="1" applyBorder="1" applyAlignment="1">
      <alignment horizontal="center" vertical="top"/>
    </xf>
    <xf numFmtId="0" fontId="9" fillId="0" borderId="0" xfId="0" applyFont="1" applyFill="1" applyAlignment="1">
      <alignment vertical="center"/>
    </xf>
    <xf numFmtId="0" fontId="1" fillId="4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170" fontId="1" fillId="0" borderId="1" xfId="0" applyNumberFormat="1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169" fontId="1" fillId="0" borderId="1" xfId="0" applyNumberFormat="1" applyFont="1" applyFill="1" applyBorder="1" applyAlignment="1">
      <alignment horizontal="center" vertical="center"/>
    </xf>
    <xf numFmtId="169" fontId="1" fillId="0" borderId="0" xfId="0" applyNumberFormat="1" applyFont="1" applyFill="1" applyAlignment="1">
      <alignment horizontal="center" vertical="center"/>
    </xf>
    <xf numFmtId="0" fontId="1" fillId="4" borderId="10" xfId="0" applyFont="1" applyFill="1" applyBorder="1" applyAlignment="1"/>
    <xf numFmtId="0" fontId="1" fillId="4" borderId="11" xfId="0" applyFont="1" applyFill="1" applyBorder="1" applyAlignment="1"/>
    <xf numFmtId="0" fontId="1" fillId="4" borderId="12" xfId="0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4" fontId="1" fillId="0" borderId="0" xfId="0" applyNumberFormat="1" applyFont="1" applyFill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168" fontId="1" fillId="0" borderId="13" xfId="0" applyNumberFormat="1" applyFont="1" applyFill="1" applyBorder="1" applyAlignment="1">
      <alignment horizontal="center" vertical="center"/>
    </xf>
    <xf numFmtId="167" fontId="1" fillId="0" borderId="2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23" xfId="0" applyNumberFormat="1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50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990850" y="3824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2990850" y="38242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(𝑈/2,2)^1,3∕(𝑀/2)^1,4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762000</xdr:colOff>
      <xdr:row>11</xdr:row>
      <xdr:rowOff>1</xdr:rowOff>
    </xdr:to>
    <xdr:sp macro="" textlink="">
      <xdr:nvSpPr>
        <xdr:cNvPr id="2" name="Elipse 1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2486025" y="2019300"/>
          <a:ext cx="1076325" cy="31432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876425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1</xdr:row>
      <xdr:rowOff>119062</xdr:rowOff>
    </xdr:from>
    <xdr:ext cx="269557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819275" y="309562"/>
              <a:ext cx="269557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𝑚𝑔</m:t>
                        </m:r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𝑝𝑝𝑚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0,04087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𝑀𝑊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begChr m:val="["/>
                        <m:endChr m:val="]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𝑃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d>
                          <m:d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den>
                            </m:f>
                          </m:e>
                        </m:d>
                      </m:e>
                    </m:d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819275" y="309562"/>
              <a:ext cx="269557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𝑚𝑔/𝑚^3 =𝑝𝑝𝑚 . 0,04087 . 𝑀𝑊 . [(𝑃/𝑃_0 ). 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𝑇_0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2"/>
  <sheetViews>
    <sheetView zoomScaleNormal="100" workbookViewId="0">
      <selection activeCell="E9" sqref="E9"/>
    </sheetView>
  </sheetViews>
  <sheetFormatPr defaultRowHeight="15"/>
  <cols>
    <col min="1" max="1" width="36.7109375" customWidth="1"/>
    <col min="2" max="2" width="23" customWidth="1"/>
    <col min="5" max="5" width="53" customWidth="1"/>
    <col min="6" max="6" width="12.42578125" customWidth="1"/>
    <col min="8" max="9" width="36.7109375" customWidth="1"/>
    <col min="10" max="10" width="31.7109375" customWidth="1"/>
    <col min="11" max="11" width="26.140625" bestFit="1" customWidth="1"/>
    <col min="12" max="12" width="26.140625" customWidth="1"/>
    <col min="13" max="13" width="26.140625" bestFit="1" customWidth="1"/>
    <col min="14" max="14" width="33.5703125" customWidth="1"/>
    <col min="15" max="15" width="26.140625" bestFit="1" customWidth="1"/>
    <col min="16" max="16" width="32.7109375" bestFit="1" customWidth="1"/>
  </cols>
  <sheetData>
    <row r="1" spans="1:14">
      <c r="A1" s="3" t="s">
        <v>198</v>
      </c>
      <c r="J1" s="3"/>
    </row>
    <row r="2" spans="1:14">
      <c r="A2" s="99" t="s">
        <v>100</v>
      </c>
      <c r="B2" s="29" t="s">
        <v>101</v>
      </c>
    </row>
    <row r="4" spans="1:14">
      <c r="A4" s="108" t="s">
        <v>102</v>
      </c>
      <c r="B4" s="108"/>
    </row>
    <row r="5" spans="1:14">
      <c r="A5" s="2" t="s">
        <v>61</v>
      </c>
      <c r="B5" s="5">
        <v>60000</v>
      </c>
    </row>
    <row r="6" spans="1:14">
      <c r="A6" s="30" t="s">
        <v>103</v>
      </c>
      <c r="B6" s="7">
        <v>1.52</v>
      </c>
    </row>
    <row r="7" spans="1:14">
      <c r="A7" s="28"/>
      <c r="B7" s="7"/>
    </row>
    <row r="8" spans="1:14">
      <c r="A8" s="54" t="s">
        <v>118</v>
      </c>
      <c r="B8" s="60">
        <f>B5/6/3</f>
        <v>3333.3333333333335</v>
      </c>
      <c r="H8" s="33"/>
      <c r="I8" s="33"/>
      <c r="J8" s="33"/>
      <c r="K8" s="33"/>
      <c r="L8" s="33"/>
      <c r="M8" s="33"/>
      <c r="N8" s="33"/>
    </row>
    <row r="9" spans="1:14">
      <c r="A9" s="33"/>
      <c r="B9" s="33"/>
      <c r="H9" s="27"/>
      <c r="I9" s="27"/>
      <c r="J9" s="27"/>
      <c r="K9" s="27"/>
      <c r="L9" s="27"/>
      <c r="M9" s="27"/>
      <c r="N9" s="27"/>
    </row>
    <row r="10" spans="1:14">
      <c r="A10" s="108" t="s">
        <v>146</v>
      </c>
      <c r="B10" s="108"/>
      <c r="H10" s="26"/>
      <c r="I10" s="26"/>
      <c r="J10" s="26"/>
      <c r="K10" s="26"/>
      <c r="L10" s="26"/>
      <c r="M10" s="27"/>
      <c r="N10" s="26"/>
    </row>
    <row r="11" spans="1:14">
      <c r="A11" s="81" t="s">
        <v>144</v>
      </c>
      <c r="B11" s="82">
        <v>16</v>
      </c>
      <c r="H11" s="26"/>
      <c r="I11" s="26"/>
      <c r="J11" s="26"/>
      <c r="K11" s="26"/>
      <c r="L11" s="26"/>
      <c r="M11" s="26"/>
      <c r="N11" s="26"/>
    </row>
    <row r="12" spans="1:14">
      <c r="A12" s="81" t="s">
        <v>145</v>
      </c>
      <c r="B12" s="82">
        <v>10</v>
      </c>
      <c r="H12" s="26"/>
      <c r="I12" s="26"/>
      <c r="J12" s="26"/>
      <c r="K12" s="26"/>
      <c r="L12" s="26"/>
      <c r="M12" s="27"/>
      <c r="N12" s="26"/>
    </row>
    <row r="13" spans="1:14">
      <c r="A13" s="58"/>
      <c r="B13" s="26"/>
      <c r="H13" s="26"/>
      <c r="I13" s="26"/>
      <c r="J13" s="26"/>
      <c r="K13" s="26"/>
      <c r="L13" s="26"/>
      <c r="M13" s="27"/>
      <c r="N13" s="26"/>
    </row>
    <row r="14" spans="1:14">
      <c r="A14" s="21"/>
      <c r="B14" s="21"/>
      <c r="E14" s="25"/>
      <c r="F14" s="17"/>
      <c r="H14" s="26"/>
      <c r="I14" s="26"/>
      <c r="J14" s="26"/>
      <c r="K14" s="26"/>
      <c r="L14" s="26"/>
      <c r="M14" s="27"/>
      <c r="N14" s="26"/>
    </row>
    <row r="15" spans="1:14">
      <c r="E15" s="25"/>
      <c r="F15" s="17"/>
      <c r="H15" s="26"/>
      <c r="I15" s="26"/>
      <c r="J15" s="26"/>
      <c r="K15" s="26"/>
      <c r="L15" s="26"/>
      <c r="M15" s="27"/>
      <c r="N15" s="26"/>
    </row>
    <row r="16" spans="1:14">
      <c r="A16" s="21"/>
      <c r="B16" s="21"/>
      <c r="E16" s="25"/>
      <c r="F16" s="17"/>
      <c r="H16" s="26"/>
      <c r="I16" s="26"/>
      <c r="J16" s="26"/>
      <c r="K16" s="26"/>
      <c r="L16" s="26"/>
      <c r="M16" s="27"/>
      <c r="N16" s="26"/>
    </row>
    <row r="17" spans="1:14">
      <c r="A17" s="21"/>
      <c r="B17" s="21"/>
      <c r="E17" s="25"/>
      <c r="F17" s="17"/>
      <c r="H17" s="26"/>
      <c r="I17" s="26"/>
      <c r="J17" s="26"/>
      <c r="K17" s="26"/>
      <c r="L17" s="26"/>
      <c r="M17" s="27"/>
      <c r="N17" s="26"/>
    </row>
    <row r="18" spans="1:14">
      <c r="A18" s="21"/>
      <c r="B18" s="21"/>
      <c r="E18" s="22"/>
      <c r="F18" s="17"/>
      <c r="J18" s="17"/>
    </row>
    <row r="19" spans="1:14">
      <c r="A19" s="21"/>
      <c r="B19" s="21"/>
      <c r="E19" s="22"/>
      <c r="F19" s="17"/>
    </row>
    <row r="20" spans="1:14">
      <c r="A20" s="21"/>
      <c r="B20" s="21"/>
      <c r="E20" s="22"/>
      <c r="F20" s="21"/>
    </row>
    <row r="21" spans="1:14">
      <c r="A21" s="21"/>
      <c r="B21" s="21"/>
    </row>
    <row r="22" spans="1:14">
      <c r="A22" s="21"/>
      <c r="B22" s="21"/>
    </row>
    <row r="23" spans="1:14">
      <c r="A23" s="21"/>
      <c r="B23" s="21"/>
    </row>
    <row r="24" spans="1:14">
      <c r="A24" s="21"/>
      <c r="B24" s="21"/>
    </row>
    <row r="25" spans="1:14">
      <c r="A25" s="21"/>
      <c r="B25" s="21"/>
      <c r="H25" s="76"/>
      <c r="I25" s="76"/>
    </row>
    <row r="26" spans="1:14">
      <c r="A26" s="21"/>
      <c r="B26" s="21"/>
      <c r="H26" s="27"/>
      <c r="I26" s="27"/>
    </row>
    <row r="27" spans="1:14">
      <c r="A27" s="21"/>
      <c r="B27" s="21"/>
      <c r="H27" s="27"/>
      <c r="I27" s="32"/>
    </row>
    <row r="28" spans="1:14">
      <c r="A28" s="21"/>
      <c r="B28" s="21"/>
    </row>
    <row r="29" spans="1:14">
      <c r="A29" s="24"/>
      <c r="B29" s="24"/>
    </row>
    <row r="30" spans="1:14">
      <c r="A30" s="24"/>
      <c r="B30" s="24"/>
    </row>
    <row r="39" spans="1:1">
      <c r="A39" s="23"/>
    </row>
    <row r="40" spans="1:1">
      <c r="A40" s="23"/>
    </row>
    <row r="54" spans="1:2">
      <c r="A54" s="31"/>
      <c r="B54" s="31"/>
    </row>
    <row r="55" spans="1:2">
      <c r="A55" s="3"/>
      <c r="B55" s="7"/>
    </row>
    <row r="56" spans="1:2">
      <c r="A56" s="32"/>
      <c r="B56" s="32"/>
    </row>
    <row r="57" spans="1:2">
      <c r="A57" s="31"/>
      <c r="B57" s="31"/>
    </row>
    <row r="58" spans="1:2">
      <c r="A58" s="3"/>
      <c r="B58" s="7"/>
    </row>
    <row r="59" spans="1:2">
      <c r="A59" s="28"/>
      <c r="B59" s="7"/>
    </row>
    <row r="60" spans="1:2">
      <c r="A60" s="28"/>
      <c r="B60" s="7"/>
    </row>
    <row r="61" spans="1:2">
      <c r="A61" s="32"/>
      <c r="B61" s="32"/>
    </row>
    <row r="62" spans="1:2">
      <c r="A62" s="32"/>
      <c r="B62" s="32"/>
    </row>
  </sheetData>
  <sheetProtection password="B056" sheet="1" objects="1" scenarios="1"/>
  <mergeCells count="2">
    <mergeCell ref="A4:B4"/>
    <mergeCell ref="A10:B10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"/>
  <sheetViews>
    <sheetView zoomScaleNormal="100" workbookViewId="0">
      <selection activeCell="L6" sqref="L6"/>
    </sheetView>
  </sheetViews>
  <sheetFormatPr defaultRowHeight="15"/>
  <cols>
    <col min="1" max="1" width="34.7109375" customWidth="1"/>
    <col min="2" max="2" width="31" customWidth="1"/>
    <col min="3" max="7" width="11.7109375" bestFit="1" customWidth="1"/>
    <col min="8" max="8" width="13.5703125" bestFit="1" customWidth="1"/>
    <col min="9" max="9" width="11.7109375" bestFit="1" customWidth="1"/>
  </cols>
  <sheetData>
    <row r="1" spans="1:14">
      <c r="A1" s="2" t="s">
        <v>41</v>
      </c>
    </row>
    <row r="2" spans="1:14">
      <c r="A2" s="2" t="s">
        <v>60</v>
      </c>
      <c r="B2" s="100">
        <v>2007</v>
      </c>
    </row>
    <row r="3" spans="1:14">
      <c r="A3" s="16" t="s">
        <v>42</v>
      </c>
      <c r="B3" s="16" t="s">
        <v>43</v>
      </c>
      <c r="C3" s="16" t="s">
        <v>44</v>
      </c>
      <c r="D3" s="16" t="s">
        <v>45</v>
      </c>
      <c r="E3" s="16" t="s">
        <v>46</v>
      </c>
      <c r="F3" s="16" t="s">
        <v>47</v>
      </c>
      <c r="G3" s="16" t="s">
        <v>48</v>
      </c>
      <c r="H3" s="16" t="s">
        <v>49</v>
      </c>
      <c r="I3" s="16" t="s">
        <v>50</v>
      </c>
    </row>
    <row r="4" spans="1:14" ht="15" customHeight="1">
      <c r="A4" s="123" t="s">
        <v>51</v>
      </c>
      <c r="B4" s="65" t="s">
        <v>52</v>
      </c>
      <c r="C4" s="6">
        <v>4.1647481574952775E-3</v>
      </c>
      <c r="D4" s="6">
        <v>6.5318933034944765E-2</v>
      </c>
      <c r="E4" s="6">
        <v>9.7431139391112798E-5</v>
      </c>
      <c r="F4" s="6">
        <v>3.2117661168667613E-2</v>
      </c>
      <c r="G4" s="6">
        <v>1.0013560541894806E-2</v>
      </c>
      <c r="H4" s="6">
        <v>7.6789363702976381</v>
      </c>
      <c r="I4" s="6">
        <v>9.0350737078986789E-4</v>
      </c>
      <c r="N4" s="20"/>
    </row>
    <row r="5" spans="1:14">
      <c r="A5" s="124"/>
      <c r="B5" s="65" t="s">
        <v>53</v>
      </c>
      <c r="C5" s="6">
        <v>1.9389461005136124E-2</v>
      </c>
      <c r="D5" s="6">
        <v>0.15850781980120351</v>
      </c>
      <c r="E5" s="6">
        <v>1.8265581631205882E-4</v>
      </c>
      <c r="F5" s="6">
        <v>0.19953638186759515</v>
      </c>
      <c r="G5" s="6">
        <v>8.7889870552575564E-2</v>
      </c>
      <c r="H5" s="6">
        <v>14.129238189499569</v>
      </c>
      <c r="I5" s="6">
        <v>7.9301638618412291E-3</v>
      </c>
      <c r="N5" s="20"/>
    </row>
    <row r="6" spans="1:14">
      <c r="A6" s="124"/>
      <c r="B6" s="65" t="s">
        <v>54</v>
      </c>
      <c r="C6" s="6">
        <v>3.5159649405128737E-2</v>
      </c>
      <c r="D6" s="6">
        <v>0.39013010201093185</v>
      </c>
      <c r="E6" s="6">
        <v>3.1347091665644508E-4</v>
      </c>
      <c r="F6" s="6">
        <v>0.2004419223709539</v>
      </c>
      <c r="G6" s="6">
        <v>6.7138814469940591E-2</v>
      </c>
      <c r="H6" s="6">
        <v>26.722695910514073</v>
      </c>
      <c r="I6" s="6">
        <v>6.0578280967871325E-3</v>
      </c>
      <c r="K6" s="20"/>
      <c r="N6" s="20"/>
    </row>
    <row r="7" spans="1:14">
      <c r="A7" s="124"/>
      <c r="B7" s="65" t="s">
        <v>55</v>
      </c>
      <c r="C7" s="6">
        <v>3.4873730864910753E-2</v>
      </c>
      <c r="D7" s="6">
        <v>0.62819014565488085</v>
      </c>
      <c r="E7" s="6">
        <v>5.4259968788077681E-4</v>
      </c>
      <c r="F7" s="6">
        <v>0.29143683660988179</v>
      </c>
      <c r="G7" s="6">
        <v>7.9806989940830519E-2</v>
      </c>
      <c r="H7" s="6">
        <v>48.223729179933819</v>
      </c>
      <c r="I7" s="6">
        <v>7.2008552575325378E-3</v>
      </c>
      <c r="N7" s="20"/>
    </row>
    <row r="8" spans="1:14">
      <c r="A8" s="124"/>
      <c r="B8" s="65" t="s">
        <v>56</v>
      </c>
      <c r="C8" s="6">
        <v>3.101083119228833E-2</v>
      </c>
      <c r="D8" s="6">
        <v>0.83698143551687265</v>
      </c>
      <c r="E8" s="6">
        <v>7.6033040375300068E-4</v>
      </c>
      <c r="F8" s="6">
        <v>0.22495851814724077</v>
      </c>
      <c r="G8" s="6">
        <v>8.0781384871570633E-2</v>
      </c>
      <c r="H8" s="6">
        <v>67.57462749683539</v>
      </c>
      <c r="I8" s="6">
        <v>7.2887737155482657E-3</v>
      </c>
      <c r="N8" s="20"/>
    </row>
    <row r="9" spans="1:14">
      <c r="A9" s="124"/>
      <c r="B9" s="65" t="s">
        <v>57</v>
      </c>
      <c r="C9" s="6">
        <v>4.4312637095619792E-2</v>
      </c>
      <c r="D9" s="6">
        <v>1.1811178567160983</v>
      </c>
      <c r="E9" s="6">
        <v>1.0551972934755545E-3</v>
      </c>
      <c r="F9" s="6">
        <v>0.44023160723795168</v>
      </c>
      <c r="G9" s="6">
        <v>0.11468313954524458</v>
      </c>
      <c r="H9" s="6">
        <v>107.50511325477065</v>
      </c>
      <c r="I9" s="6">
        <v>1.0347677695252593E-2</v>
      </c>
    </row>
    <row r="10" spans="1:14">
      <c r="A10" s="124"/>
      <c r="B10" s="65" t="s">
        <v>58</v>
      </c>
      <c r="C10" s="6">
        <v>9.1699292295937748E-2</v>
      </c>
      <c r="D10" s="6">
        <v>2.4816495823931239</v>
      </c>
      <c r="E10" s="6">
        <v>2.2143711863278365E-3</v>
      </c>
      <c r="F10" s="6">
        <v>0.8977989810489746</v>
      </c>
      <c r="G10" s="6">
        <v>0.2376690359121682</v>
      </c>
      <c r="H10" s="6">
        <v>220.23193257962103</v>
      </c>
      <c r="I10" s="6">
        <v>2.1444490325478866E-2</v>
      </c>
    </row>
    <row r="11" spans="1:14">
      <c r="A11" s="124"/>
      <c r="B11" s="65" t="s">
        <v>59</v>
      </c>
      <c r="C11" s="6">
        <v>0.11281698418835924</v>
      </c>
      <c r="D11" s="6">
        <v>3.6320533542247149</v>
      </c>
      <c r="E11" s="6">
        <v>2.708513011176045E-3</v>
      </c>
      <c r="F11" s="6">
        <v>1.2834306373108464</v>
      </c>
      <c r="G11" s="6">
        <v>0.33188731556128104</v>
      </c>
      <c r="H11" s="6">
        <v>269.37717766866973</v>
      </c>
      <c r="I11" s="6">
        <v>2.9945664738985911E-2</v>
      </c>
    </row>
    <row r="12" spans="1:14">
      <c r="A12" s="125" t="s">
        <v>87</v>
      </c>
      <c r="B12" s="66" t="s">
        <v>88</v>
      </c>
      <c r="C12" s="10">
        <v>5.278357099595464E-2</v>
      </c>
      <c r="D12" s="10">
        <v>0.92760358225567552</v>
      </c>
      <c r="E12" s="10">
        <v>6.6080926962079124E-4</v>
      </c>
      <c r="F12" s="10">
        <v>0.40659105469000634</v>
      </c>
      <c r="G12" s="10">
        <v>0.12300749363356907</v>
      </c>
      <c r="H12" s="10">
        <v>58.729636624212041</v>
      </c>
      <c r="I12" s="10">
        <v>1.1098769037852192E-2</v>
      </c>
    </row>
    <row r="13" spans="1:14">
      <c r="A13" s="125"/>
      <c r="B13" s="66" t="s">
        <v>89</v>
      </c>
      <c r="C13" s="10">
        <v>5.6081246813169373E-2</v>
      </c>
      <c r="D13" s="10">
        <v>1.2702251480918385</v>
      </c>
      <c r="E13" s="10">
        <v>9.3646093527037055E-4</v>
      </c>
      <c r="F13" s="10">
        <v>0.40109800628338671</v>
      </c>
      <c r="G13" s="10">
        <v>0.14237231108970599</v>
      </c>
      <c r="H13" s="10">
        <v>83.228255026870144</v>
      </c>
      <c r="I13" s="10">
        <v>1.2846028717118289E-2</v>
      </c>
    </row>
    <row r="14" spans="1:14">
      <c r="A14" s="125"/>
      <c r="B14" s="66" t="s">
        <v>90</v>
      </c>
      <c r="C14" s="10">
        <v>7.0892273742962392E-2</v>
      </c>
      <c r="D14" s="10">
        <v>1.661526984303543</v>
      </c>
      <c r="E14" s="10">
        <v>1.1792531787875871E-3</v>
      </c>
      <c r="F14" s="10">
        <v>0.96146401849706598</v>
      </c>
      <c r="G14" s="10">
        <v>0.1834571729305812</v>
      </c>
      <c r="H14" s="10">
        <v>120.14407881014115</v>
      </c>
      <c r="I14" s="10">
        <v>1.6553050249294678E-2</v>
      </c>
    </row>
    <row r="15" spans="1:14">
      <c r="A15" s="125"/>
      <c r="B15" s="66" t="s">
        <v>91</v>
      </c>
      <c r="C15" s="10">
        <v>0.10709275594383705</v>
      </c>
      <c r="D15" s="10">
        <v>2.5367703958756724</v>
      </c>
      <c r="E15" s="10">
        <v>1.8187715940785251E-3</v>
      </c>
      <c r="F15" s="10">
        <v>1.4383451455586713</v>
      </c>
      <c r="G15" s="10">
        <v>0.2764031077770393</v>
      </c>
      <c r="H15" s="10">
        <v>180.88727803174402</v>
      </c>
      <c r="I15" s="10">
        <v>2.4939419825061825E-2</v>
      </c>
    </row>
    <row r="16" spans="1:14">
      <c r="A16" s="125"/>
      <c r="B16" s="66" t="s">
        <v>92</v>
      </c>
      <c r="C16" s="10">
        <v>0.15498336978424998</v>
      </c>
      <c r="D16" s="10">
        <v>4.2165355300843803</v>
      </c>
      <c r="E16" s="10">
        <v>2.6994753665937014E-3</v>
      </c>
      <c r="F16" s="10">
        <v>2.2956145470575495</v>
      </c>
      <c r="G16" s="10">
        <v>0.43286227915022846</v>
      </c>
      <c r="H16" s="10">
        <v>268.47834545317983</v>
      </c>
      <c r="I16" s="10">
        <v>3.9056467091148198E-2</v>
      </c>
    </row>
    <row r="17" spans="1:9">
      <c r="A17" s="126" t="s">
        <v>74</v>
      </c>
      <c r="B17" s="59" t="s">
        <v>65</v>
      </c>
      <c r="C17" s="10">
        <v>3.6926586109254163E-3</v>
      </c>
      <c r="D17" s="10">
        <v>5.7937772552941018E-2</v>
      </c>
      <c r="E17" s="10">
        <v>7.2048640935790199E-5</v>
      </c>
      <c r="F17" s="10">
        <v>3.4523800879687649E-2</v>
      </c>
      <c r="G17" s="10">
        <v>8.9842024576061875E-3</v>
      </c>
      <c r="H17" s="10">
        <v>4.6301124316761149</v>
      </c>
      <c r="I17" s="10">
        <v>8.1063027231851909E-4</v>
      </c>
    </row>
    <row r="18" spans="1:9">
      <c r="A18" s="126"/>
      <c r="B18" s="59" t="s">
        <v>66</v>
      </c>
      <c r="C18" s="10">
        <v>5.5940656147336013E-3</v>
      </c>
      <c r="D18" s="10">
        <v>8.1560538851923686E-2</v>
      </c>
      <c r="E18" s="10">
        <v>1.0147273728395267E-4</v>
      </c>
      <c r="F18" s="10">
        <v>5.1706480349411402E-2</v>
      </c>
      <c r="G18" s="10">
        <v>1.5841309640340459E-2</v>
      </c>
      <c r="H18" s="10">
        <v>7.9974693211122325</v>
      </c>
      <c r="I18" s="10">
        <v>1.4293359979540479E-3</v>
      </c>
    </row>
    <row r="19" spans="1:9">
      <c r="A19" s="126"/>
      <c r="B19" s="59" t="s">
        <v>67</v>
      </c>
      <c r="C19" s="10">
        <v>1.4432743203978821E-2</v>
      </c>
      <c r="D19" s="10">
        <v>0.14500783648732038</v>
      </c>
      <c r="E19" s="10">
        <v>1.7956747788923846E-4</v>
      </c>
      <c r="F19" s="10">
        <v>0.13953156388481713</v>
      </c>
      <c r="G19" s="10">
        <v>5.8675793269661713E-2</v>
      </c>
      <c r="H19" s="10">
        <v>13.89034298293819</v>
      </c>
      <c r="I19" s="10">
        <v>5.2942217122732673E-3</v>
      </c>
    </row>
    <row r="20" spans="1:9">
      <c r="A20" s="126"/>
      <c r="B20" s="59" t="s">
        <v>68</v>
      </c>
      <c r="C20" s="10">
        <v>3.5898749736246127E-2</v>
      </c>
      <c r="D20" s="10">
        <v>0.46892281022269755</v>
      </c>
      <c r="E20" s="10">
        <v>4.1475845626583413E-4</v>
      </c>
      <c r="F20" s="10">
        <v>0.235207374494215</v>
      </c>
      <c r="G20" s="10">
        <v>7.4307665174849463E-2</v>
      </c>
      <c r="H20" s="10">
        <v>35.357232282344391</v>
      </c>
      <c r="I20" s="10">
        <v>6.7046630974162283E-3</v>
      </c>
    </row>
    <row r="21" spans="1:9">
      <c r="A21" s="126"/>
      <c r="B21" s="59" t="s">
        <v>69</v>
      </c>
      <c r="C21" s="10">
        <v>3.6057784581995191E-2</v>
      </c>
      <c r="D21" s="10">
        <v>0.76831078984527268</v>
      </c>
      <c r="E21" s="10">
        <v>7.2461811703888694E-4</v>
      </c>
      <c r="F21" s="10">
        <v>0.34330722173093348</v>
      </c>
      <c r="G21" s="10">
        <v>8.8189498683242745E-2</v>
      </c>
      <c r="H21" s="10">
        <v>64.400690772830671</v>
      </c>
      <c r="I21" s="10">
        <v>7.9571946421710827E-3</v>
      </c>
    </row>
    <row r="22" spans="1:9">
      <c r="A22" s="126"/>
      <c r="B22" s="59" t="s">
        <v>70</v>
      </c>
      <c r="C22" s="10">
        <v>3.3436740783689509E-2</v>
      </c>
      <c r="D22" s="10">
        <v>1.0814770363023385</v>
      </c>
      <c r="E22" s="10">
        <v>1.0845591122180037E-3</v>
      </c>
      <c r="F22" s="10">
        <v>0.27096859384387478</v>
      </c>
      <c r="G22" s="10">
        <v>8.9893356403287938E-2</v>
      </c>
      <c r="H22" s="10">
        <v>96.390560235532888</v>
      </c>
      <c r="I22" s="10">
        <v>8.110932439281333E-3</v>
      </c>
    </row>
    <row r="23" spans="1:9">
      <c r="A23" s="126"/>
      <c r="B23" s="59" t="s">
        <v>71</v>
      </c>
      <c r="C23" s="10">
        <v>4.916725602102065E-2</v>
      </c>
      <c r="D23" s="10">
        <v>1.5753556063595919</v>
      </c>
      <c r="E23" s="10">
        <v>1.4997207603602326E-3</v>
      </c>
      <c r="F23" s="10">
        <v>0.50851425898669189</v>
      </c>
      <c r="G23" s="10">
        <v>0.12811176426802257</v>
      </c>
      <c r="H23" s="10">
        <v>152.79377629778219</v>
      </c>
      <c r="I23" s="10">
        <v>1.1559315917913546E-2</v>
      </c>
    </row>
    <row r="24" spans="1:9">
      <c r="A24" s="126"/>
      <c r="B24" s="59" t="s">
        <v>72</v>
      </c>
      <c r="C24" s="10">
        <v>8.0331006988652476E-2</v>
      </c>
      <c r="D24" s="10">
        <v>2.6031456524944865</v>
      </c>
      <c r="E24" s="10">
        <v>2.4800862896320634E-3</v>
      </c>
      <c r="F24" s="10">
        <v>0.82090718167955035</v>
      </c>
      <c r="G24" s="10">
        <v>0.2129801427792555</v>
      </c>
      <c r="H24" s="10">
        <v>246.6587713724044</v>
      </c>
      <c r="I24" s="10">
        <v>1.9216857867893854E-2</v>
      </c>
    </row>
    <row r="25" spans="1:9">
      <c r="A25" s="126"/>
      <c r="B25" s="59" t="s">
        <v>73</v>
      </c>
      <c r="C25" s="10">
        <v>0.18827430617415003</v>
      </c>
      <c r="D25" s="10">
        <v>6.0139017101255101</v>
      </c>
      <c r="E25" s="10">
        <v>4.7824190387846122E-3</v>
      </c>
      <c r="F25" s="10">
        <v>1.9992551729580048</v>
      </c>
      <c r="G25" s="10">
        <v>0.54198223605522999</v>
      </c>
      <c r="H25" s="10">
        <v>475.63882978010457</v>
      </c>
      <c r="I25" s="10">
        <v>4.8902166684796682E-2</v>
      </c>
    </row>
    <row r="26" spans="1:9">
      <c r="A26" s="126" t="s">
        <v>75</v>
      </c>
      <c r="B26" s="59" t="s">
        <v>76</v>
      </c>
      <c r="C26" s="10">
        <v>3.3219944786675695E-3</v>
      </c>
      <c r="D26" s="10">
        <v>4.3276579453665621E-2</v>
      </c>
      <c r="E26" s="10">
        <v>5.239901131436392E-5</v>
      </c>
      <c r="F26" s="10">
        <v>2.5108223748889456E-2</v>
      </c>
      <c r="G26" s="10">
        <v>7.6118482596481234E-3</v>
      </c>
      <c r="H26" s="10">
        <v>3.3673547137013808</v>
      </c>
      <c r="I26" s="10">
        <v>6.8680483489600038E-4</v>
      </c>
    </row>
    <row r="27" spans="1:9">
      <c r="A27" s="126"/>
      <c r="B27" s="59" t="s">
        <v>77</v>
      </c>
      <c r="C27" s="10">
        <v>6.9210902526415739E-3</v>
      </c>
      <c r="D27" s="10">
        <v>9.0145878084226277E-2</v>
      </c>
      <c r="E27" s="10">
        <v>1.1215407468247258E-4</v>
      </c>
      <c r="F27" s="10">
        <v>5.7149275189176861E-2</v>
      </c>
      <c r="G27" s="10">
        <v>2.2999575069753364E-2</v>
      </c>
      <c r="H27" s="10">
        <v>8.8393091272633075</v>
      </c>
      <c r="I27" s="10">
        <v>2.0752149584689662E-3</v>
      </c>
    </row>
    <row r="28" spans="1:9">
      <c r="A28" s="126"/>
      <c r="B28" s="59" t="s">
        <v>78</v>
      </c>
      <c r="C28" s="10">
        <v>1.6836170055316565E-2</v>
      </c>
      <c r="D28" s="10">
        <v>0.16416929755168347</v>
      </c>
      <c r="E28" s="10">
        <v>2.0133315419451227E-4</v>
      </c>
      <c r="F28" s="10">
        <v>0.16425398024375226</v>
      </c>
      <c r="G28" s="10">
        <v>6.9913027184319396E-2</v>
      </c>
      <c r="H28" s="10">
        <v>15.574014163396139</v>
      </c>
      <c r="I28" s="10">
        <v>6.3081420474655247E-3</v>
      </c>
    </row>
    <row r="29" spans="1:9">
      <c r="A29" s="126"/>
      <c r="B29" s="59" t="s">
        <v>79</v>
      </c>
      <c r="C29" s="10">
        <v>3.7289985433865018E-2</v>
      </c>
      <c r="D29" s="10">
        <v>0.47572671015736656</v>
      </c>
      <c r="E29" s="10">
        <v>4.1475859107998426E-4</v>
      </c>
      <c r="F29" s="10">
        <v>0.23881062786058818</v>
      </c>
      <c r="G29" s="10">
        <v>7.6447375647082275E-2</v>
      </c>
      <c r="H29" s="10">
        <v>35.357236800200624</v>
      </c>
      <c r="I29" s="10">
        <v>6.8977223765618566E-3</v>
      </c>
    </row>
    <row r="30" spans="1:9">
      <c r="A30" s="126"/>
      <c r="B30" s="59" t="s">
        <v>80</v>
      </c>
      <c r="C30" s="10">
        <v>3.6997182753797597E-2</v>
      </c>
      <c r="D30" s="10">
        <v>0.76935151763799892</v>
      </c>
      <c r="E30" s="10">
        <v>7.1514602722011088E-4</v>
      </c>
      <c r="F30" s="10">
        <v>0.34400341082430569</v>
      </c>
      <c r="G30" s="10">
        <v>8.9661208751028329E-2</v>
      </c>
      <c r="H30" s="10">
        <v>63.558842151078636</v>
      </c>
      <c r="I30" s="10">
        <v>8.089987280412065E-3</v>
      </c>
    </row>
    <row r="31" spans="1:9">
      <c r="A31" s="126"/>
      <c r="B31" s="59" t="s">
        <v>81</v>
      </c>
      <c r="C31" s="10">
        <v>3.2997229143789407E-2</v>
      </c>
      <c r="D31" s="10">
        <v>1.0399074346993777</v>
      </c>
      <c r="E31" s="10">
        <v>1.0277261182782382E-3</v>
      </c>
      <c r="F31" s="10">
        <v>0.26174584886222352</v>
      </c>
      <c r="G31" s="10">
        <v>8.8051938098986413E-2</v>
      </c>
      <c r="H31" s="10">
        <v>91.339493131874562</v>
      </c>
      <c r="I31" s="10">
        <v>7.9447849062922182E-3</v>
      </c>
    </row>
    <row r="32" spans="1:9">
      <c r="A32" s="126"/>
      <c r="B32" s="59" t="s">
        <v>82</v>
      </c>
      <c r="C32" s="10">
        <v>5.2135245052411829E-2</v>
      </c>
      <c r="D32" s="10">
        <v>1.6325384608937337</v>
      </c>
      <c r="E32" s="10">
        <v>1.5369045392171475E-3</v>
      </c>
      <c r="F32" s="10">
        <v>0.54538398517292153</v>
      </c>
      <c r="G32" s="10">
        <v>0.13526172942668538</v>
      </c>
      <c r="H32" s="10">
        <v>156.5820848953316</v>
      </c>
      <c r="I32" s="10">
        <v>1.2204449683873944E-2</v>
      </c>
    </row>
    <row r="33" spans="1:18">
      <c r="A33" s="126"/>
      <c r="B33" s="59" t="s">
        <v>83</v>
      </c>
      <c r="C33" s="10">
        <v>8.7219598295416104E-2</v>
      </c>
      <c r="D33" s="10">
        <v>2.7624779743507872</v>
      </c>
      <c r="E33" s="10">
        <v>2.6028198901429976E-3</v>
      </c>
      <c r="F33" s="10">
        <v>0.90164199834757175</v>
      </c>
      <c r="G33" s="10">
        <v>0.22990186307195576</v>
      </c>
      <c r="H33" s="10">
        <v>258.86539679707346</v>
      </c>
      <c r="I33" s="10">
        <v>2.074367657422151E-2</v>
      </c>
    </row>
    <row r="34" spans="1:18">
      <c r="A34" s="126"/>
      <c r="B34" s="59" t="s">
        <v>84</v>
      </c>
      <c r="C34" s="10">
        <v>0.24678784106895854</v>
      </c>
      <c r="D34" s="10">
        <v>7.8518716241085382</v>
      </c>
      <c r="E34" s="10">
        <v>6.1790556007776005E-3</v>
      </c>
      <c r="F34" s="10">
        <v>2.6851133032530123</v>
      </c>
      <c r="G34" s="10">
        <v>0.71132932240310853</v>
      </c>
      <c r="H34" s="10">
        <v>614.54237026691249</v>
      </c>
      <c r="I34" s="10">
        <v>6.4182109460467443E-2</v>
      </c>
    </row>
    <row r="35" spans="1:18" ht="22.5">
      <c r="A35" s="55" t="s">
        <v>85</v>
      </c>
      <c r="B35" s="59" t="s">
        <v>86</v>
      </c>
      <c r="C35" s="10">
        <v>2.2016123892677755E-3</v>
      </c>
      <c r="D35" s="10">
        <v>3.2150558012458932E-2</v>
      </c>
      <c r="E35" s="10">
        <v>4.3880095934756829E-5</v>
      </c>
      <c r="F35" s="10">
        <v>1.738615675828642E-2</v>
      </c>
      <c r="G35" s="10">
        <v>6.2094253705011421E-3</v>
      </c>
      <c r="H35" s="10">
        <v>3.4583653605092115</v>
      </c>
      <c r="I35" s="10">
        <v>5.6026641988597063E-4</v>
      </c>
    </row>
    <row r="36" spans="1:18">
      <c r="A36" s="126" t="s">
        <v>128</v>
      </c>
      <c r="B36" s="59" t="s">
        <v>129</v>
      </c>
      <c r="C36" s="6">
        <v>4.2993799041926711E-3</v>
      </c>
      <c r="D36" s="6">
        <v>6.5440289132956825E-2</v>
      </c>
      <c r="E36" s="70">
        <v>9.1296592193091332E-5</v>
      </c>
      <c r="F36" s="70">
        <v>3.3633509942077471E-2</v>
      </c>
      <c r="G36" s="70">
        <v>1.1508485911818236E-2</v>
      </c>
      <c r="H36" s="70">
        <v>7.1954483850413915</v>
      </c>
      <c r="I36" s="70">
        <v>1.0383921111938525E-3</v>
      </c>
    </row>
    <row r="37" spans="1:18">
      <c r="A37" s="126"/>
      <c r="B37" s="59" t="s">
        <v>130</v>
      </c>
      <c r="C37" s="6">
        <v>1.7631358511479581E-2</v>
      </c>
      <c r="D37" s="6">
        <v>0.14903238250667758</v>
      </c>
      <c r="E37" s="70">
        <v>1.7794975038828265E-4</v>
      </c>
      <c r="F37" s="70">
        <v>0.18074283872717251</v>
      </c>
      <c r="G37" s="70">
        <v>7.6387016452257483E-2</v>
      </c>
      <c r="H37" s="70">
        <v>13.76520334369236</v>
      </c>
      <c r="I37" s="70">
        <v>6.8922783063073137E-3</v>
      </c>
      <c r="J37" s="67"/>
      <c r="K37" s="67"/>
      <c r="L37" s="68"/>
      <c r="M37" s="68"/>
      <c r="N37" s="68"/>
      <c r="O37" s="68"/>
      <c r="P37" s="68"/>
      <c r="Q37" s="68"/>
      <c r="R37" s="68"/>
    </row>
    <row r="38" spans="1:18">
      <c r="A38" s="126"/>
      <c r="B38" s="59" t="s">
        <v>131</v>
      </c>
      <c r="C38" s="6">
        <v>2.8793655488323529E-2</v>
      </c>
      <c r="D38" s="6">
        <v>0.31658028839538099</v>
      </c>
      <c r="E38" s="70">
        <v>2.7523798360286437E-4</v>
      </c>
      <c r="F38" s="70">
        <v>0.1700059255667182</v>
      </c>
      <c r="G38" s="70">
        <v>5.3477532985904644E-2</v>
      </c>
      <c r="H38" s="70">
        <v>23.463418200709462</v>
      </c>
      <c r="I38" s="70">
        <v>4.8251907166579257E-3</v>
      </c>
      <c r="J38" s="67"/>
      <c r="K38" s="67"/>
      <c r="L38" s="69"/>
      <c r="M38" s="69"/>
      <c r="N38" s="69"/>
      <c r="O38" s="69"/>
      <c r="P38" s="69"/>
      <c r="Q38" s="69"/>
      <c r="R38" s="69"/>
    </row>
    <row r="39" spans="1:18">
      <c r="A39" s="126"/>
      <c r="B39" s="59" t="s">
        <v>132</v>
      </c>
      <c r="C39" s="6">
        <v>3.0494186982476291E-2</v>
      </c>
      <c r="D39" s="6">
        <v>0.54817627070056141</v>
      </c>
      <c r="E39" s="70">
        <v>5.1744728478251136E-4</v>
      </c>
      <c r="F39" s="70">
        <v>0.26843458796213893</v>
      </c>
      <c r="G39" s="70">
        <v>6.8627539491954881E-2</v>
      </c>
      <c r="H39" s="70">
        <v>45.988295551139728</v>
      </c>
      <c r="I39" s="70">
        <v>6.1921516315141352E-3</v>
      </c>
      <c r="J39" s="67"/>
      <c r="K39" s="67"/>
      <c r="L39" s="69"/>
      <c r="M39" s="69"/>
      <c r="N39" s="69"/>
      <c r="O39" s="69"/>
      <c r="P39" s="69"/>
      <c r="Q39" s="69"/>
      <c r="R39" s="69"/>
    </row>
    <row r="40" spans="1:18">
      <c r="A40" s="126"/>
      <c r="B40" s="59" t="s">
        <v>133</v>
      </c>
      <c r="C40" s="6">
        <v>2.9155253425145213E-2</v>
      </c>
      <c r="D40" s="6">
        <v>0.87589188757724734</v>
      </c>
      <c r="E40" s="70">
        <v>8.7649223561064675E-4</v>
      </c>
      <c r="F40" s="70">
        <v>0.21389105427558991</v>
      </c>
      <c r="G40" s="70">
        <v>7.7732208449766999E-2</v>
      </c>
      <c r="H40" s="70">
        <v>77.8985510740942</v>
      </c>
      <c r="I40" s="70">
        <v>7.0136532927874019E-3</v>
      </c>
      <c r="J40" s="67"/>
      <c r="K40" s="67"/>
      <c r="L40" s="69"/>
      <c r="M40" s="69"/>
      <c r="N40" s="69"/>
      <c r="O40" s="69"/>
      <c r="P40" s="69"/>
      <c r="Q40" s="69"/>
      <c r="R40" s="69"/>
    </row>
    <row r="41" spans="1:18">
      <c r="A41" s="126"/>
      <c r="B41" s="59" t="s">
        <v>134</v>
      </c>
      <c r="C41" s="6">
        <v>5.3371339046329104E-2</v>
      </c>
      <c r="D41" s="6">
        <v>1.5318509433408045</v>
      </c>
      <c r="E41" s="70">
        <v>1.7600242801699612E-3</v>
      </c>
      <c r="F41" s="70">
        <v>0.4661958986283859</v>
      </c>
      <c r="G41" s="70">
        <v>0.13941748462093068</v>
      </c>
      <c r="H41" s="70">
        <v>156.42277258813226</v>
      </c>
      <c r="I41" s="70">
        <v>1.2579415973929685E-2</v>
      </c>
      <c r="J41" s="67"/>
      <c r="K41" s="67"/>
      <c r="L41" s="69"/>
      <c r="M41" s="69"/>
      <c r="N41" s="69"/>
      <c r="O41" s="69"/>
      <c r="P41" s="69"/>
      <c r="Q41" s="69"/>
      <c r="R41" s="69"/>
    </row>
    <row r="42" spans="1:18">
      <c r="A42" s="126"/>
      <c r="B42" s="59" t="s">
        <v>135</v>
      </c>
      <c r="C42" s="6">
        <v>8.1348675299048601E-2</v>
      </c>
      <c r="D42" s="6">
        <v>2.3755791915327618</v>
      </c>
      <c r="E42" s="70">
        <v>2.6400371913497286E-3</v>
      </c>
      <c r="F42" s="70">
        <v>0.69718176828863765</v>
      </c>
      <c r="G42" s="70">
        <v>0.21267820994758979</v>
      </c>
      <c r="H42" s="70">
        <v>234.6341911864601</v>
      </c>
      <c r="I42" s="70">
        <v>1.91896162755213E-2</v>
      </c>
      <c r="J42" s="67"/>
      <c r="K42" s="67"/>
      <c r="L42" s="69"/>
      <c r="M42" s="69"/>
      <c r="N42" s="69"/>
      <c r="O42" s="69"/>
      <c r="P42" s="69"/>
      <c r="Q42" s="69"/>
      <c r="R42" s="69"/>
    </row>
    <row r="43" spans="1:18" ht="15" customHeight="1">
      <c r="A43" s="126" t="s">
        <v>93</v>
      </c>
      <c r="B43" s="25" t="s">
        <v>94</v>
      </c>
      <c r="C43" s="6">
        <v>1.9841716050241015E-2</v>
      </c>
      <c r="D43" s="6">
        <v>0.15752850247118094</v>
      </c>
      <c r="E43" s="6">
        <v>1.7787620436808072E-4</v>
      </c>
      <c r="F43" s="6">
        <v>0.2038960869039867</v>
      </c>
      <c r="G43" s="6">
        <v>9.2260959061397668E-2</v>
      </c>
      <c r="H43" s="6">
        <v>13.759515418605627</v>
      </c>
      <c r="I43" s="6">
        <v>8.3245600617142812E-3</v>
      </c>
      <c r="J43" s="67"/>
      <c r="K43" s="67"/>
      <c r="L43" s="69"/>
      <c r="M43" s="69"/>
      <c r="N43" s="69"/>
      <c r="O43" s="69"/>
      <c r="P43" s="69"/>
      <c r="Q43" s="69"/>
      <c r="R43" s="69"/>
    </row>
    <row r="44" spans="1:18">
      <c r="A44" s="126"/>
      <c r="B44" s="25" t="s">
        <v>95</v>
      </c>
      <c r="C44" s="6">
        <v>3.8461599352128575E-2</v>
      </c>
      <c r="D44" s="6">
        <v>0.41248331701995422</v>
      </c>
      <c r="E44" s="6">
        <v>3.2281233998903292E-4</v>
      </c>
      <c r="F44" s="6">
        <v>0.20984957918876262</v>
      </c>
      <c r="G44" s="6">
        <v>7.3491218858903459E-2</v>
      </c>
      <c r="H44" s="6">
        <v>27.51903417665503</v>
      </c>
      <c r="I44" s="6">
        <v>6.6309958979003346E-3</v>
      </c>
      <c r="J44" s="69"/>
      <c r="K44" s="69"/>
      <c r="L44" s="69"/>
      <c r="M44" s="69"/>
      <c r="N44" s="69"/>
      <c r="O44" s="69"/>
      <c r="P44" s="69"/>
      <c r="Q44" s="69"/>
      <c r="R44" s="69"/>
    </row>
    <row r="45" spans="1:18">
      <c r="A45" s="126"/>
      <c r="B45" s="25" t="s">
        <v>96</v>
      </c>
      <c r="C45" s="6">
        <v>4.2597402129931058E-2</v>
      </c>
      <c r="D45" s="6">
        <v>0.74820572525114315</v>
      </c>
      <c r="E45" s="6">
        <v>6.2304849721926334E-4</v>
      </c>
      <c r="F45" s="6">
        <v>0.33765289406145588</v>
      </c>
      <c r="G45" s="6">
        <v>9.7600603272890024E-2</v>
      </c>
      <c r="H45" s="6">
        <v>55.373652798981219</v>
      </c>
      <c r="I45" s="6">
        <v>8.8063461019665182E-3</v>
      </c>
    </row>
    <row r="46" spans="1:18">
      <c r="A46" s="126"/>
      <c r="B46" s="25" t="s">
        <v>97</v>
      </c>
      <c r="C46" s="6">
        <v>2.9605296979615194E-2</v>
      </c>
      <c r="D46" s="6">
        <v>0.83439762443193499</v>
      </c>
      <c r="E46" s="6">
        <v>7.4010600876192253E-4</v>
      </c>
      <c r="F46" s="6">
        <v>0.2110950115057422</v>
      </c>
      <c r="G46" s="6">
        <v>7.8448181679490941E-2</v>
      </c>
      <c r="H46" s="6">
        <v>65.777168086013901</v>
      </c>
      <c r="I46" s="6">
        <v>7.0782563261786733E-3</v>
      </c>
    </row>
    <row r="47" spans="1:18">
      <c r="A47" s="126"/>
      <c r="B47" s="25" t="s">
        <v>98</v>
      </c>
      <c r="C47" s="6">
        <v>3.5410502376882751E-2</v>
      </c>
      <c r="D47" s="6">
        <v>0.98383871603669448</v>
      </c>
      <c r="E47" s="6">
        <v>8.5314681348751427E-4</v>
      </c>
      <c r="F47" s="6">
        <v>0.34206993851749656</v>
      </c>
      <c r="G47" s="6">
        <v>9.2448648801663938E-2</v>
      </c>
      <c r="H47" s="6">
        <v>86.919862809836957</v>
      </c>
      <c r="I47" s="6">
        <v>8.3414930561952656E-3</v>
      </c>
    </row>
    <row r="48" spans="1:18">
      <c r="A48" s="126"/>
      <c r="B48" s="25" t="s">
        <v>99</v>
      </c>
      <c r="C48" s="6">
        <v>0.14767902362266877</v>
      </c>
      <c r="D48" s="6">
        <v>4.6693247907584778</v>
      </c>
      <c r="E48" s="6">
        <v>3.3005916773398811E-3</v>
      </c>
      <c r="F48" s="6">
        <v>1.664191296968661</v>
      </c>
      <c r="G48" s="6">
        <v>0.43532129718864188</v>
      </c>
      <c r="H48" s="6">
        <v>336.26908796811296</v>
      </c>
      <c r="I48" s="6">
        <v>3.9278339636704053E-2</v>
      </c>
    </row>
    <row r="50" spans="1:6">
      <c r="A50" s="120" t="s">
        <v>16</v>
      </c>
      <c r="B50" s="112"/>
      <c r="C50" s="113"/>
    </row>
    <row r="51" spans="1:6">
      <c r="A51" s="121"/>
      <c r="B51" s="114"/>
      <c r="C51" s="115"/>
    </row>
    <row r="52" spans="1:6">
      <c r="A52" s="121"/>
      <c r="B52" s="114"/>
      <c r="C52" s="115"/>
    </row>
    <row r="53" spans="1:6" ht="15" customHeight="1">
      <c r="A53" s="121"/>
      <c r="B53" s="116" t="s">
        <v>104</v>
      </c>
      <c r="C53" s="117"/>
    </row>
    <row r="54" spans="1:6">
      <c r="A54" s="121"/>
      <c r="B54" s="116"/>
      <c r="C54" s="117"/>
    </row>
    <row r="55" spans="1:6">
      <c r="A55" s="121"/>
      <c r="B55" s="116"/>
      <c r="C55" s="117"/>
    </row>
    <row r="56" spans="1:6" ht="20.25" customHeight="1">
      <c r="A56" s="122"/>
      <c r="B56" s="118"/>
      <c r="C56" s="119"/>
    </row>
    <row r="57" spans="1:6" ht="20.25" customHeight="1">
      <c r="A57" s="83"/>
      <c r="B57" s="77"/>
      <c r="C57" s="77"/>
    </row>
    <row r="58" spans="1:6">
      <c r="A58" s="1" t="s">
        <v>148</v>
      </c>
    </row>
    <row r="59" spans="1:6">
      <c r="A59" s="110" t="s">
        <v>149</v>
      </c>
      <c r="B59" s="111"/>
      <c r="C59" s="111"/>
      <c r="D59" s="111"/>
      <c r="E59" s="111"/>
      <c r="F59" s="46"/>
    </row>
    <row r="60" spans="1:6">
      <c r="A60" s="109" t="s">
        <v>136</v>
      </c>
      <c r="B60" s="71" t="s">
        <v>2</v>
      </c>
      <c r="C60" s="71" t="s">
        <v>137</v>
      </c>
      <c r="D60" s="71" t="s">
        <v>22</v>
      </c>
      <c r="E60" s="71" t="s">
        <v>139</v>
      </c>
    </row>
    <row r="61" spans="1:6">
      <c r="A61" s="109"/>
      <c r="B61" s="72">
        <v>8.4</v>
      </c>
      <c r="C61" s="72">
        <v>51</v>
      </c>
      <c r="D61" s="72">
        <v>54</v>
      </c>
      <c r="E61" s="75">
        <v>5.0999999999999996</v>
      </c>
    </row>
    <row r="62" spans="1:6">
      <c r="A62" s="1" t="s">
        <v>138</v>
      </c>
      <c r="B62" s="1"/>
      <c r="C62" s="1"/>
      <c r="D62" s="1"/>
    </row>
    <row r="64" spans="1:6">
      <c r="A64" s="2"/>
    </row>
    <row r="65" spans="1:1">
      <c r="A65" s="2"/>
    </row>
  </sheetData>
  <sheetProtection password="B056" sheet="1" objects="1" scenarios="1"/>
  <mergeCells count="11">
    <mergeCell ref="A4:A11"/>
    <mergeCell ref="A12:A16"/>
    <mergeCell ref="A17:A25"/>
    <mergeCell ref="A26:A34"/>
    <mergeCell ref="A43:A48"/>
    <mergeCell ref="A36:A42"/>
    <mergeCell ref="A60:A61"/>
    <mergeCell ref="A59:E59"/>
    <mergeCell ref="B50:C52"/>
    <mergeCell ref="B53:C56"/>
    <mergeCell ref="A50:A56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30" sqref="B30"/>
    </sheetView>
  </sheetViews>
  <sheetFormatPr defaultRowHeight="15"/>
  <cols>
    <col min="1" max="1" width="28.42578125" customWidth="1"/>
    <col min="2" max="2" width="13.28515625" customWidth="1"/>
    <col min="3" max="3" width="12" customWidth="1"/>
    <col min="4" max="4" width="13.140625" customWidth="1"/>
  </cols>
  <sheetData>
    <row r="1" spans="1:4">
      <c r="A1" s="52" t="s">
        <v>113</v>
      </c>
      <c r="B1" s="53"/>
      <c r="C1" s="53"/>
      <c r="D1" s="53"/>
    </row>
    <row r="2" spans="1:4">
      <c r="A2" s="16"/>
      <c r="B2" s="16" t="s">
        <v>2</v>
      </c>
      <c r="C2" s="16" t="s">
        <v>114</v>
      </c>
      <c r="D2" s="16" t="s">
        <v>115</v>
      </c>
    </row>
    <row r="3" spans="1:4">
      <c r="A3" s="48" t="s">
        <v>116</v>
      </c>
      <c r="B3" s="85">
        <v>0.74</v>
      </c>
      <c r="C3" s="85">
        <v>0.35</v>
      </c>
      <c r="D3" s="85">
        <v>5.2999999999999999E-2</v>
      </c>
    </row>
    <row r="5" spans="1:4">
      <c r="A5" s="120" t="s">
        <v>16</v>
      </c>
      <c r="B5" s="34"/>
      <c r="C5" s="49"/>
      <c r="D5" s="94"/>
    </row>
    <row r="6" spans="1:4">
      <c r="A6" s="121"/>
      <c r="B6" s="35"/>
      <c r="C6" s="50"/>
      <c r="D6" s="95"/>
    </row>
    <row r="7" spans="1:4">
      <c r="A7" s="121"/>
      <c r="B7" s="36"/>
      <c r="C7" s="51"/>
      <c r="D7" s="96"/>
    </row>
    <row r="8" spans="1:4">
      <c r="A8" s="121"/>
      <c r="B8" s="127" t="s">
        <v>117</v>
      </c>
      <c r="C8" s="128"/>
      <c r="D8" s="129"/>
    </row>
    <row r="9" spans="1:4">
      <c r="A9" s="121"/>
      <c r="B9" s="116"/>
      <c r="C9" s="130"/>
      <c r="D9" s="117"/>
    </row>
    <row r="10" spans="1:4">
      <c r="A10" s="121"/>
      <c r="B10" s="116"/>
      <c r="C10" s="130"/>
      <c r="D10" s="117"/>
    </row>
    <row r="11" spans="1:4" ht="24" customHeight="1">
      <c r="A11" s="122"/>
      <c r="B11" s="118"/>
      <c r="C11" s="131"/>
      <c r="D11" s="119"/>
    </row>
  </sheetData>
  <sheetProtection password="B056" sheet="1" objects="1" scenarios="1"/>
  <mergeCells count="2"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A10" workbookViewId="0">
      <selection activeCell="F22" sqref="F22"/>
    </sheetView>
  </sheetViews>
  <sheetFormatPr defaultRowHeight="15"/>
  <cols>
    <col min="1" max="2" width="13.42578125" customWidth="1"/>
    <col min="3" max="3" width="15.140625" customWidth="1"/>
    <col min="4" max="4" width="13.140625" customWidth="1"/>
    <col min="5" max="5" width="15.28515625" customWidth="1"/>
    <col min="6" max="7" width="16.85546875" customWidth="1"/>
    <col min="8" max="8" width="17.85546875" customWidth="1"/>
    <col min="9" max="10" width="16.85546875" customWidth="1"/>
  </cols>
  <sheetData>
    <row r="1" spans="1:10">
      <c r="A1" s="2" t="s">
        <v>151</v>
      </c>
      <c r="B1" s="2"/>
      <c r="C1" s="2"/>
      <c r="D1" s="2"/>
      <c r="F1" s="132" t="s">
        <v>152</v>
      </c>
      <c r="G1" s="132"/>
      <c r="H1" s="132"/>
      <c r="I1" s="132"/>
      <c r="J1" s="132"/>
    </row>
    <row r="2" spans="1:10" ht="33.75">
      <c r="A2" s="133" t="s">
        <v>153</v>
      </c>
      <c r="B2" s="133"/>
      <c r="C2" s="133"/>
      <c r="D2" s="133"/>
      <c r="F2" s="16" t="s">
        <v>154</v>
      </c>
      <c r="G2" s="84" t="s">
        <v>155</v>
      </c>
      <c r="H2" s="84" t="s">
        <v>156</v>
      </c>
      <c r="I2" s="16" t="s">
        <v>157</v>
      </c>
      <c r="J2" s="16" t="s">
        <v>158</v>
      </c>
    </row>
    <row r="3" spans="1:10">
      <c r="A3" s="134" t="s">
        <v>159</v>
      </c>
      <c r="B3" s="134"/>
      <c r="C3" s="134"/>
      <c r="D3" s="134"/>
      <c r="F3" s="85" t="s">
        <v>160</v>
      </c>
      <c r="G3" s="85">
        <v>0</v>
      </c>
      <c r="H3" s="85">
        <v>0</v>
      </c>
      <c r="I3" s="85">
        <v>31</v>
      </c>
      <c r="J3" s="86">
        <f>(I3-H3)/I3</f>
        <v>1</v>
      </c>
    </row>
    <row r="4" spans="1:10">
      <c r="A4" s="135" t="s">
        <v>161</v>
      </c>
      <c r="B4" s="135" t="s">
        <v>162</v>
      </c>
      <c r="C4" s="135"/>
      <c r="D4" s="135"/>
      <c r="F4" s="85" t="s">
        <v>163</v>
      </c>
      <c r="G4" s="85">
        <v>52</v>
      </c>
      <c r="H4" s="85">
        <v>7</v>
      </c>
      <c r="I4" s="85">
        <v>28</v>
      </c>
      <c r="J4" s="86">
        <f t="shared" ref="J4:J14" si="0">(I4-H4)/I4</f>
        <v>0.75</v>
      </c>
    </row>
    <row r="5" spans="1:10">
      <c r="A5" s="135"/>
      <c r="B5" s="87" t="s">
        <v>164</v>
      </c>
      <c r="C5" s="87" t="s">
        <v>165</v>
      </c>
      <c r="D5" s="87" t="s">
        <v>166</v>
      </c>
      <c r="F5" s="85" t="s">
        <v>167</v>
      </c>
      <c r="G5" s="85">
        <v>69</v>
      </c>
      <c r="H5" s="85">
        <v>7</v>
      </c>
      <c r="I5" s="85">
        <v>31</v>
      </c>
      <c r="J5" s="86">
        <f t="shared" si="0"/>
        <v>0.77419354838709675</v>
      </c>
    </row>
    <row r="6" spans="1:10">
      <c r="A6" s="88" t="s">
        <v>168</v>
      </c>
      <c r="B6" s="98">
        <v>0.15</v>
      </c>
      <c r="C6" s="98">
        <v>1.5</v>
      </c>
      <c r="D6" s="98">
        <v>4.9000000000000004</v>
      </c>
      <c r="F6" s="85" t="s">
        <v>169</v>
      </c>
      <c r="G6" s="85">
        <v>44</v>
      </c>
      <c r="H6" s="85">
        <v>8</v>
      </c>
      <c r="I6" s="85">
        <v>30</v>
      </c>
      <c r="J6" s="86">
        <f t="shared" si="0"/>
        <v>0.73333333333333328</v>
      </c>
    </row>
    <row r="7" spans="1:10">
      <c r="A7" s="88" t="s">
        <v>170</v>
      </c>
      <c r="B7" s="98">
        <v>0.9</v>
      </c>
      <c r="C7" s="98">
        <v>0.9</v>
      </c>
      <c r="D7" s="98">
        <v>0.7</v>
      </c>
      <c r="F7" s="85" t="s">
        <v>171</v>
      </c>
      <c r="G7" s="85">
        <v>185.8</v>
      </c>
      <c r="H7" s="85">
        <v>16</v>
      </c>
      <c r="I7" s="85">
        <v>31</v>
      </c>
      <c r="J7" s="86">
        <f t="shared" si="0"/>
        <v>0.4838709677419355</v>
      </c>
    </row>
    <row r="8" spans="1:10">
      <c r="A8" s="88" t="s">
        <v>172</v>
      </c>
      <c r="B8" s="98">
        <v>0.45</v>
      </c>
      <c r="C8" s="98">
        <v>0.45</v>
      </c>
      <c r="D8" s="98">
        <v>0.45</v>
      </c>
      <c r="F8" s="85" t="s">
        <v>173</v>
      </c>
      <c r="G8" s="85">
        <v>119.2</v>
      </c>
      <c r="H8" s="85">
        <v>9</v>
      </c>
      <c r="I8" s="85">
        <v>30</v>
      </c>
      <c r="J8" s="86">
        <f t="shared" si="0"/>
        <v>0.7</v>
      </c>
    </row>
    <row r="9" spans="1:10">
      <c r="A9" s="88" t="s">
        <v>174</v>
      </c>
      <c r="B9" s="52">
        <v>281.89999999999998</v>
      </c>
      <c r="C9" s="88" t="s">
        <v>175</v>
      </c>
      <c r="D9" s="88"/>
      <c r="F9" s="85" t="s">
        <v>176</v>
      </c>
      <c r="G9" s="85">
        <v>17.8</v>
      </c>
      <c r="H9" s="85">
        <v>6</v>
      </c>
      <c r="I9" s="85">
        <v>31</v>
      </c>
      <c r="J9" s="86">
        <f t="shared" si="0"/>
        <v>0.80645161290322576</v>
      </c>
    </row>
    <row r="10" spans="1:10">
      <c r="A10" s="135" t="s">
        <v>177</v>
      </c>
      <c r="B10" s="135"/>
      <c r="C10" s="135"/>
      <c r="D10" s="135"/>
      <c r="F10" s="85" t="s">
        <v>178</v>
      </c>
      <c r="G10" s="85">
        <v>70.2</v>
      </c>
      <c r="H10" s="85">
        <v>11</v>
      </c>
      <c r="I10" s="85">
        <v>31</v>
      </c>
      <c r="J10" s="86">
        <f t="shared" si="0"/>
        <v>0.64516129032258063</v>
      </c>
    </row>
    <row r="11" spans="1:10">
      <c r="A11" s="135"/>
      <c r="B11" s="135"/>
      <c r="C11" s="135"/>
      <c r="D11" s="135"/>
      <c r="F11" s="85" t="s">
        <v>179</v>
      </c>
      <c r="G11" s="85">
        <v>25.2</v>
      </c>
      <c r="H11" s="85">
        <v>7</v>
      </c>
      <c r="I11" s="85">
        <v>30</v>
      </c>
      <c r="J11" s="86">
        <f t="shared" si="0"/>
        <v>0.76666666666666672</v>
      </c>
    </row>
    <row r="12" spans="1:10">
      <c r="A12" s="135"/>
      <c r="B12" s="136" t="s">
        <v>180</v>
      </c>
      <c r="C12" s="136"/>
      <c r="D12" s="136"/>
      <c r="F12" s="85" t="s">
        <v>181</v>
      </c>
      <c r="G12" s="85">
        <v>54.4</v>
      </c>
      <c r="H12" s="85">
        <v>6</v>
      </c>
      <c r="I12" s="85">
        <v>31</v>
      </c>
      <c r="J12" s="86">
        <f t="shared" si="0"/>
        <v>0.80645161290322576</v>
      </c>
    </row>
    <row r="13" spans="1:10">
      <c r="A13" s="135"/>
      <c r="B13" s="136"/>
      <c r="C13" s="136"/>
      <c r="D13" s="136"/>
      <c r="F13" s="85" t="s">
        <v>182</v>
      </c>
      <c r="G13" s="89">
        <v>48.6</v>
      </c>
      <c r="H13" s="85">
        <v>9</v>
      </c>
      <c r="I13" s="85">
        <v>30</v>
      </c>
      <c r="J13" s="86">
        <f t="shared" si="0"/>
        <v>0.7</v>
      </c>
    </row>
    <row r="14" spans="1:10">
      <c r="A14" s="135"/>
      <c r="B14" s="136"/>
      <c r="C14" s="136"/>
      <c r="D14" s="136"/>
      <c r="F14" s="85" t="s">
        <v>183</v>
      </c>
      <c r="G14" s="85">
        <v>91.4</v>
      </c>
      <c r="H14" s="85">
        <v>6</v>
      </c>
      <c r="I14" s="85">
        <v>31</v>
      </c>
      <c r="J14" s="86">
        <f t="shared" si="0"/>
        <v>0.80645161290322576</v>
      </c>
    </row>
    <row r="15" spans="1:10">
      <c r="A15" s="135"/>
      <c r="B15" s="136"/>
      <c r="C15" s="136"/>
      <c r="D15" s="136"/>
      <c r="F15" s="90" t="s">
        <v>184</v>
      </c>
      <c r="G15" s="12">
        <f>(365-SUM(H3:H14))/365</f>
        <v>0.74794520547945209</v>
      </c>
    </row>
    <row r="16" spans="1:10">
      <c r="A16" s="135"/>
      <c r="B16" s="136"/>
      <c r="C16" s="136"/>
      <c r="D16" s="136"/>
    </row>
    <row r="17" spans="1:8">
      <c r="A17" s="135"/>
      <c r="B17" s="136"/>
      <c r="C17" s="136"/>
      <c r="D17" s="136"/>
    </row>
    <row r="19" spans="1:8">
      <c r="A19" s="132" t="s">
        <v>185</v>
      </c>
      <c r="B19" s="132" t="s">
        <v>186</v>
      </c>
      <c r="C19" s="132"/>
      <c r="D19" s="132"/>
      <c r="E19" s="132"/>
      <c r="F19" s="132"/>
      <c r="G19" s="132"/>
      <c r="H19" s="132"/>
    </row>
    <row r="20" spans="1:8">
      <c r="A20" s="132"/>
      <c r="B20" s="132" t="s">
        <v>187</v>
      </c>
      <c r="C20" s="132"/>
      <c r="D20" s="132"/>
      <c r="E20" s="132"/>
      <c r="F20" s="132"/>
      <c r="G20" s="132"/>
      <c r="H20" s="132"/>
    </row>
    <row r="21" spans="1:8">
      <c r="A21" s="132"/>
      <c r="B21" s="16" t="s">
        <v>2</v>
      </c>
      <c r="C21" s="16" t="s">
        <v>114</v>
      </c>
      <c r="D21" s="16" t="s">
        <v>188</v>
      </c>
      <c r="E21" s="16" t="s">
        <v>189</v>
      </c>
      <c r="F21" s="16" t="s">
        <v>190</v>
      </c>
      <c r="G21" s="16" t="s">
        <v>4</v>
      </c>
      <c r="H21" s="16" t="s">
        <v>191</v>
      </c>
    </row>
    <row r="22" spans="1:8">
      <c r="A22" s="91" t="s">
        <v>192</v>
      </c>
      <c r="B22" s="107">
        <v>0.17489827604766656</v>
      </c>
      <c r="C22" s="107">
        <v>0.17489827604766656</v>
      </c>
      <c r="D22" s="107">
        <v>0.17489827604766656</v>
      </c>
      <c r="E22" s="107">
        <v>5.4345140567386743</v>
      </c>
      <c r="F22" s="107">
        <v>0.21032135261668511</v>
      </c>
      <c r="G22" s="107">
        <v>1.0383730075038093</v>
      </c>
      <c r="H22" s="107">
        <v>0.24766340643796464</v>
      </c>
    </row>
  </sheetData>
  <sheetProtection password="B056" sheet="1" objects="1" scenarios="1"/>
  <mergeCells count="11">
    <mergeCell ref="A19:A21"/>
    <mergeCell ref="B19:H19"/>
    <mergeCell ref="B20:H20"/>
    <mergeCell ref="F1:J1"/>
    <mergeCell ref="A2:D2"/>
    <mergeCell ref="A3:D3"/>
    <mergeCell ref="A4:A5"/>
    <mergeCell ref="B4:D4"/>
    <mergeCell ref="A10:A17"/>
    <mergeCell ref="B10:D11"/>
    <mergeCell ref="B12:D17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"/>
  <sheetViews>
    <sheetView workbookViewId="0">
      <selection activeCell="D3" sqref="D3:E4"/>
    </sheetView>
  </sheetViews>
  <sheetFormatPr defaultRowHeight="15" customHeight="1"/>
  <cols>
    <col min="1" max="1" width="30.42578125" style="1" bestFit="1" customWidth="1"/>
    <col min="2" max="2" width="13.7109375" style="1" customWidth="1"/>
    <col min="3" max="3" width="29" style="1" customWidth="1"/>
    <col min="4" max="7" width="13.7109375" style="1" customWidth="1"/>
    <col min="8" max="8" width="15.42578125" style="1" customWidth="1"/>
    <col min="9" max="9" width="10.7109375" style="1" customWidth="1"/>
    <col min="10" max="14" width="8.7109375" style="1" customWidth="1"/>
    <col min="15" max="15" width="10.42578125" style="1" bestFit="1" customWidth="1"/>
    <col min="16" max="16384" width="9.140625" style="1"/>
  </cols>
  <sheetData>
    <row r="1" spans="1:15" ht="15" customHeight="1">
      <c r="A1" s="3" t="s">
        <v>198</v>
      </c>
    </row>
    <row r="3" spans="1:15" ht="15" customHeight="1">
      <c r="A3" s="137" t="s">
        <v>0</v>
      </c>
      <c r="B3" s="137" t="s">
        <v>37</v>
      </c>
      <c r="C3" s="137" t="s">
        <v>38</v>
      </c>
      <c r="D3" s="141" t="s">
        <v>212</v>
      </c>
      <c r="E3" s="141" t="s">
        <v>213</v>
      </c>
      <c r="F3" s="137" t="s">
        <v>36</v>
      </c>
      <c r="G3" s="137" t="s">
        <v>39</v>
      </c>
      <c r="H3" s="142" t="s">
        <v>147</v>
      </c>
      <c r="I3" s="139" t="s">
        <v>1</v>
      </c>
      <c r="J3" s="140"/>
      <c r="K3" s="140"/>
      <c r="L3" s="140"/>
      <c r="M3" s="140"/>
      <c r="N3" s="140"/>
      <c r="O3" s="140"/>
    </row>
    <row r="4" spans="1:15" ht="15" customHeight="1">
      <c r="A4" s="138"/>
      <c r="B4" s="138"/>
      <c r="C4" s="138"/>
      <c r="D4" s="141"/>
      <c r="E4" s="141"/>
      <c r="F4" s="138"/>
      <c r="G4" s="138"/>
      <c r="H4" s="143"/>
      <c r="I4" s="64" t="s">
        <v>2</v>
      </c>
      <c r="J4" s="64" t="s">
        <v>3</v>
      </c>
      <c r="K4" s="64" t="s">
        <v>40</v>
      </c>
      <c r="L4" s="64" t="s">
        <v>5</v>
      </c>
      <c r="M4" s="64" t="s">
        <v>6</v>
      </c>
      <c r="N4" s="64" t="s">
        <v>4</v>
      </c>
      <c r="O4" s="64" t="s">
        <v>208</v>
      </c>
    </row>
    <row r="5" spans="1:15" ht="15" customHeight="1">
      <c r="A5" s="3" t="s">
        <v>62</v>
      </c>
      <c r="B5" s="18">
        <v>24.1</v>
      </c>
      <c r="C5" s="2" t="s">
        <v>66</v>
      </c>
      <c r="D5" s="37">
        <v>-20.420483000000001</v>
      </c>
      <c r="E5" s="37">
        <v>-40.355738000000002</v>
      </c>
      <c r="F5" s="7">
        <v>2</v>
      </c>
      <c r="G5" s="13">
        <f>10/365</f>
        <v>2.7397260273972601E-2</v>
      </c>
      <c r="H5" s="13" t="s">
        <v>121</v>
      </c>
      <c r="I5" s="37">
        <f>(INDEX(FE_Equipamentos,MATCH($C5,Pot_Equipamentos,0),2))*F5*G5/(24)</f>
        <v>1.2771839303044752E-5</v>
      </c>
      <c r="J5" s="37">
        <f>I5</f>
        <v>1.2771839303044752E-5</v>
      </c>
      <c r="K5" s="37">
        <f>I5</f>
        <v>1.2771839303044752E-5</v>
      </c>
      <c r="L5" s="37">
        <f>(INDEX(FE_Equipamentos,MATCH($C5,Pot_Equipamentos,0),3))*F5*G5/(24)</f>
        <v>1.8621127591763397E-4</v>
      </c>
      <c r="M5" s="37">
        <f>(INDEX(FE_Equipamentos,MATCH($C5,Pot_Equipamentos,0),4))*F5*G5/(24)</f>
        <v>2.3167291617340792E-7</v>
      </c>
      <c r="N5" s="37">
        <f>(INDEX(FE_Equipamentos,MATCH($C5,Pot_Equipamentos,0),5))*F5*G5/(24)</f>
        <v>1.1805132499865616E-4</v>
      </c>
      <c r="O5" s="37">
        <f>(INDEX(FE_Equipamentos,MATCH($C5,Pot_Equipamentos,0),6))*F5*G5/(24)</f>
        <v>3.616737360808324E-5</v>
      </c>
    </row>
    <row r="6" spans="1:15" ht="15" customHeight="1">
      <c r="A6" s="3" t="s">
        <v>64</v>
      </c>
      <c r="B6" s="18">
        <v>8.6999999999999993</v>
      </c>
      <c r="C6" s="2" t="s">
        <v>65</v>
      </c>
      <c r="D6" s="37">
        <v>-20.420483000000001</v>
      </c>
      <c r="E6" s="37">
        <v>-40.355738000000002</v>
      </c>
      <c r="F6" s="7">
        <v>1</v>
      </c>
      <c r="G6" s="13">
        <f>162/365</f>
        <v>0.44383561643835617</v>
      </c>
      <c r="H6" s="13" t="s">
        <v>121</v>
      </c>
      <c r="I6" s="37">
        <f>(INDEX(FE_Equipamentos,MATCH($C6,Pot_Equipamentos,0),2))*F6*G6/(24)</f>
        <v>6.8288892119853598E-5</v>
      </c>
      <c r="J6" s="37">
        <f t="shared" ref="J6:J10" si="0">I6</f>
        <v>6.8288892119853598E-5</v>
      </c>
      <c r="K6" s="37">
        <f t="shared" ref="K6:K7" si="1">I6</f>
        <v>6.8288892119853598E-5</v>
      </c>
      <c r="L6" s="37">
        <f>(INDEX(FE_Equipamentos,MATCH($C6,Pot_Equipamentos,0),3))*F6*G6/(24)</f>
        <v>1.0714519581708269E-3</v>
      </c>
      <c r="M6" s="37">
        <f>(INDEX(FE_Equipamentos,MATCH($C6,Pot_Equipamentos,0),4))*F6*G6/(24)</f>
        <v>1.3324063734700928E-6</v>
      </c>
      <c r="N6" s="37">
        <f>(INDEX(FE_Equipamentos,MATCH($C6,Pot_Equipamentos,0),5))*F6*G6/(24)</f>
        <v>6.3845385188463465E-4</v>
      </c>
      <c r="O6" s="37">
        <f>(INDEX(FE_Equipamentos,MATCH($C6,Pot_Equipamentos,0),6))*F6*G6/(24)</f>
        <v>1.6614620983244321E-4</v>
      </c>
    </row>
    <row r="7" spans="1:15" ht="15" customHeight="1">
      <c r="A7" s="3" t="s">
        <v>63</v>
      </c>
      <c r="B7" s="18">
        <v>13.4</v>
      </c>
      <c r="C7" s="2" t="s">
        <v>76</v>
      </c>
      <c r="D7" s="37">
        <v>-20.420483000000001</v>
      </c>
      <c r="E7" s="37">
        <v>-40.355738000000002</v>
      </c>
      <c r="F7" s="7">
        <v>1</v>
      </c>
      <c r="G7" s="13">
        <f>110/365</f>
        <v>0.30136986301369861</v>
      </c>
      <c r="H7" s="13" t="s">
        <v>121</v>
      </c>
      <c r="I7" s="37">
        <f>(INDEX(FE_Equipamentos,MATCH($C7,Pot_Equipamentos,0),2))*F7*G7/(24)</f>
        <v>4.1714542540346186E-5</v>
      </c>
      <c r="J7" s="37">
        <f t="shared" si="0"/>
        <v>4.1714542540346186E-5</v>
      </c>
      <c r="K7" s="37">
        <f t="shared" si="1"/>
        <v>4.1714542540346186E-5</v>
      </c>
      <c r="L7" s="37">
        <f>(INDEX(FE_Equipamentos,MATCH($C7,Pot_Equipamentos,0),3))*F7*G7/(24)</f>
        <v>5.4342736756886052E-4</v>
      </c>
      <c r="M7" s="37">
        <f>(INDEX(FE_Equipamentos,MATCH($C7,Pot_Equipamentos,0),4))*F7*G7/(24)</f>
        <v>6.579784525776291E-7</v>
      </c>
      <c r="N7" s="37">
        <f>(INDEX(FE_Equipamentos,MATCH($C7,Pot_Equipamentos,0),5))*F7*G7/(24)</f>
        <v>3.1528591465500457E-4</v>
      </c>
      <c r="O7" s="37">
        <f>(INDEX(FE_Equipamentos,MATCH($C7,Pot_Equipamentos,0),6))*F7*G7/(24)</f>
        <v>9.558256947046729E-5</v>
      </c>
    </row>
    <row r="8" spans="1:15" ht="15" customHeight="1">
      <c r="A8" s="3" t="s">
        <v>141</v>
      </c>
      <c r="B8" s="18">
        <v>18.7</v>
      </c>
      <c r="C8" s="2" t="s">
        <v>129</v>
      </c>
      <c r="D8" s="37">
        <v>-20.420483000000001</v>
      </c>
      <c r="E8" s="37">
        <v>-40.355738000000002</v>
      </c>
      <c r="F8" s="7">
        <v>2</v>
      </c>
      <c r="G8" s="13">
        <f>300/365</f>
        <v>0.82191780821917804</v>
      </c>
      <c r="H8" s="13" t="s">
        <v>121</v>
      </c>
      <c r="I8" s="37">
        <f>(INDEX(FE_Equipamentos,MATCH($C8,Pot_Equipamentos,0),2))*F8*G8/(24)</f>
        <v>2.9447807562963502E-4</v>
      </c>
      <c r="J8" s="37">
        <f t="shared" si="0"/>
        <v>2.9447807562963502E-4</v>
      </c>
      <c r="K8" s="37">
        <f t="shared" ref="K8:K10" si="2">I8</f>
        <v>2.9447807562963502E-4</v>
      </c>
      <c r="L8" s="37">
        <f>(INDEX(FE_Equipamentos,MATCH($C8,Pot_Equipamentos,0),3))*F8*G8/(24)</f>
        <v>4.4822115844490975E-3</v>
      </c>
      <c r="M8" s="37">
        <f>(INDEX(FE_Equipamentos,MATCH($C8,Pot_Equipamentos,0),4))*F8*G8/(24)</f>
        <v>6.2531912461021457E-6</v>
      </c>
      <c r="N8" s="37">
        <f>(INDEX(FE_Equipamentos,MATCH($C8,Pot_Equipamentos,0),5))*F8*G8/(24)</f>
        <v>2.3036650645258542E-3</v>
      </c>
      <c r="O8" s="37">
        <f>(INDEX(FE_Equipamentos,MATCH($C8,Pot_Equipamentos,0),6))*F8*G8/(24)</f>
        <v>7.8825245971357778E-4</v>
      </c>
    </row>
    <row r="9" spans="1:15" ht="15" customHeight="1">
      <c r="A9" s="3" t="s">
        <v>140</v>
      </c>
      <c r="B9" s="18">
        <v>222.61</v>
      </c>
      <c r="C9" s="2" t="s">
        <v>56</v>
      </c>
      <c r="D9" s="37">
        <v>-20.420483000000001</v>
      </c>
      <c r="E9" s="37">
        <v>-40.355738000000002</v>
      </c>
      <c r="F9" s="7">
        <v>1</v>
      </c>
      <c r="G9" s="13">
        <f>6900/365</f>
        <v>18.904109589041095</v>
      </c>
      <c r="H9" s="13" t="s">
        <v>121</v>
      </c>
      <c r="I9" s="37">
        <f>(INDEX(FE_Equipamentos,MATCH($C9,Pot_Equipamentos,0),2))*F9*G9/(24)</f>
        <v>2.4426339637761352E-2</v>
      </c>
      <c r="J9" s="37">
        <f t="shared" si="0"/>
        <v>2.4426339637761352E-2</v>
      </c>
      <c r="K9" s="37">
        <f t="shared" si="2"/>
        <v>2.4426339637761352E-2</v>
      </c>
      <c r="L9" s="37">
        <f>(INDEX(FE_Equipamentos,MATCH($C9,Pot_Equipamentos,0),3))*F9*G9/(24)</f>
        <v>0.6592661992084955</v>
      </c>
      <c r="M9" s="37">
        <f>(INDEX(FE_Equipamentos,MATCH($C9,Pot_Equipamentos,0),4))*F9*G9/(24)</f>
        <v>5.9889038651777442E-4</v>
      </c>
      <c r="N9" s="37">
        <f>(INDEX(FE_Equipamentos,MATCH($C9,Pot_Equipamentos,0),5))*F9*G9/(24)</f>
        <v>0.1771933533351554</v>
      </c>
      <c r="O9" s="37">
        <f>(INDEX(FE_Equipamentos,MATCH($C9,Pot_Equipamentos,0),6))*F9*G9/(24)</f>
        <v>6.3629173015278234E-2</v>
      </c>
    </row>
    <row r="10" spans="1:15" ht="15" customHeight="1">
      <c r="A10" s="3" t="s">
        <v>142</v>
      </c>
      <c r="B10" s="18">
        <v>482.77</v>
      </c>
      <c r="C10" s="7" t="s">
        <v>121</v>
      </c>
      <c r="D10" s="37">
        <v>-20.420483000000001</v>
      </c>
      <c r="E10" s="37">
        <v>-40.355738000000002</v>
      </c>
      <c r="F10" s="7">
        <v>1</v>
      </c>
      <c r="G10" s="13">
        <f>8000/365</f>
        <v>21.917808219178081</v>
      </c>
      <c r="H10" s="13">
        <f>(Dados!B11/1000)*$B$14</f>
        <v>1.3440000000000001E-2</v>
      </c>
      <c r="I10" s="37">
        <f>'FE-Maq e Equip'!$B$61*H10*G10*F10/24</f>
        <v>0.1031013698630137</v>
      </c>
      <c r="J10" s="37">
        <f t="shared" si="0"/>
        <v>0.1031013698630137</v>
      </c>
      <c r="K10" s="37">
        <f t="shared" si="2"/>
        <v>0.1031013698630137</v>
      </c>
      <c r="L10" s="37">
        <f>'FE-Maq e Equip'!$C$61*H10*G10*F10/24</f>
        <v>0.62597260273972599</v>
      </c>
      <c r="M10" s="37">
        <f>'FE-Maq e Equip'!$D$61*H10*G10*F10/24</f>
        <v>0.66279452054794519</v>
      </c>
      <c r="N10" s="37" t="s">
        <v>121</v>
      </c>
      <c r="O10" s="37">
        <f>'FE-Maq e Equip'!$E$61*H10*G10*F10/24</f>
        <v>6.2597260273972596E-2</v>
      </c>
    </row>
    <row r="11" spans="1:15" ht="15" customHeight="1">
      <c r="A11" s="3" t="s">
        <v>143</v>
      </c>
      <c r="B11" s="18">
        <v>209.2</v>
      </c>
      <c r="C11" s="7" t="s">
        <v>121</v>
      </c>
      <c r="D11" s="37">
        <v>-20.420483000000001</v>
      </c>
      <c r="E11" s="37">
        <v>-40.355738000000002</v>
      </c>
      <c r="F11" s="7">
        <v>1</v>
      </c>
      <c r="G11" s="13">
        <f>3000/365</f>
        <v>8.2191780821917817</v>
      </c>
      <c r="H11" s="13">
        <f>(Dados!B12/1000)*$B$14</f>
        <v>8.3999999999999995E-3</v>
      </c>
      <c r="I11" s="37">
        <f>'FE-Maq e Equip'!$B$61*H11*G11*F11/24</f>
        <v>2.4164383561643837E-2</v>
      </c>
      <c r="J11" s="37">
        <f t="shared" ref="J11" si="3">I11</f>
        <v>2.4164383561643837E-2</v>
      </c>
      <c r="K11" s="37">
        <f t="shared" ref="K11" si="4">I11</f>
        <v>2.4164383561643837E-2</v>
      </c>
      <c r="L11" s="37">
        <f>'FE-Maq e Equip'!$C$61*H11*G11*F11/24</f>
        <v>0.14671232876712328</v>
      </c>
      <c r="M11" s="37">
        <f>'FE-Maq e Equip'!$D$61*H11*G11*F11/24</f>
        <v>0.15534246575342467</v>
      </c>
      <c r="N11" s="37" t="s">
        <v>121</v>
      </c>
      <c r="O11" s="37">
        <f>'FE-Maq e Equip'!$E$61*H11*G11*F11/24</f>
        <v>1.4671232876712329E-2</v>
      </c>
    </row>
    <row r="12" spans="1:15" ht="15" customHeight="1">
      <c r="A12" s="108" t="s">
        <v>211</v>
      </c>
      <c r="B12" s="108"/>
      <c r="C12" s="108"/>
      <c r="D12" s="108"/>
      <c r="E12" s="108"/>
      <c r="F12" s="108"/>
      <c r="G12" s="108"/>
      <c r="H12" s="108"/>
      <c r="I12" s="9">
        <f>SUM(I5:I11)</f>
        <v>0.15210934641201176</v>
      </c>
      <c r="J12" s="9">
        <f t="shared" ref="J12:O12" si="5">SUM(J5:J11)</f>
        <v>0.15210934641201176</v>
      </c>
      <c r="K12" s="9">
        <f t="shared" si="5"/>
        <v>0.15210934641201176</v>
      </c>
      <c r="L12" s="9">
        <f t="shared" si="5"/>
        <v>1.4382344329014511</v>
      </c>
      <c r="M12" s="9">
        <f t="shared" si="5"/>
        <v>0.818744351936876</v>
      </c>
      <c r="N12" s="9">
        <f t="shared" si="5"/>
        <v>0.18056880949121956</v>
      </c>
      <c r="O12" s="9">
        <f t="shared" si="5"/>
        <v>0.14198381477858771</v>
      </c>
    </row>
    <row r="13" spans="1:15" ht="15" customHeight="1">
      <c r="C13" s="14"/>
      <c r="D13" s="73"/>
      <c r="E13" s="73"/>
      <c r="F13" s="14"/>
      <c r="G13" s="73"/>
      <c r="H13" s="73"/>
      <c r="I13" s="15"/>
      <c r="J13" s="15"/>
      <c r="K13" s="15"/>
      <c r="L13" s="15"/>
      <c r="M13" s="15"/>
      <c r="N13" s="15"/>
      <c r="O13" s="15"/>
    </row>
    <row r="14" spans="1:15" ht="15" customHeight="1">
      <c r="A14" s="2" t="s">
        <v>150</v>
      </c>
      <c r="B14" s="97">
        <v>0.84</v>
      </c>
      <c r="C14" s="14"/>
      <c r="D14" s="73"/>
      <c r="E14" s="73"/>
      <c r="F14" s="14"/>
      <c r="G14" s="73"/>
      <c r="H14" s="73"/>
      <c r="I14" s="15"/>
      <c r="J14" s="15"/>
      <c r="K14" s="15"/>
      <c r="L14" s="15"/>
      <c r="M14" s="15"/>
      <c r="N14" s="15"/>
      <c r="O14" s="15"/>
    </row>
    <row r="15" spans="1:15" ht="15" customHeight="1">
      <c r="C15" s="14"/>
      <c r="D15" s="73"/>
      <c r="E15" s="73"/>
      <c r="F15" s="14"/>
      <c r="G15" s="73"/>
      <c r="H15" s="73"/>
      <c r="I15" s="15"/>
      <c r="J15" s="15"/>
      <c r="K15" s="15"/>
      <c r="L15" s="15"/>
      <c r="M15" s="15"/>
      <c r="N15" s="15"/>
      <c r="O15" s="15"/>
    </row>
    <row r="16" spans="1:15" ht="15" customHeight="1">
      <c r="C16" s="14"/>
      <c r="D16" s="73"/>
      <c r="E16" s="73"/>
      <c r="F16" s="14"/>
      <c r="G16" s="73"/>
      <c r="H16" s="73"/>
      <c r="I16" s="15"/>
      <c r="J16" s="15"/>
      <c r="K16" s="15"/>
      <c r="L16" s="15"/>
      <c r="M16" s="15"/>
      <c r="N16" s="15"/>
      <c r="O16" s="15"/>
    </row>
    <row r="17" spans="3:15" ht="15" customHeight="1">
      <c r="C17" s="14"/>
      <c r="D17" s="73"/>
      <c r="E17" s="73"/>
      <c r="F17" s="14"/>
      <c r="G17" s="73"/>
      <c r="H17" s="73"/>
      <c r="I17" s="15"/>
      <c r="J17" s="15"/>
      <c r="K17" s="15"/>
      <c r="L17" s="15"/>
      <c r="M17" s="15"/>
      <c r="N17" s="15"/>
      <c r="O17" s="15"/>
    </row>
    <row r="18" spans="3:15" ht="15" customHeight="1">
      <c r="C18" s="14"/>
      <c r="D18" s="73"/>
      <c r="E18" s="73"/>
      <c r="F18" s="74"/>
      <c r="G18" s="73"/>
      <c r="H18" s="73"/>
      <c r="I18" s="15"/>
      <c r="J18" s="15"/>
      <c r="K18" s="15"/>
      <c r="L18" s="15"/>
      <c r="M18" s="15"/>
      <c r="N18" s="15"/>
      <c r="O18" s="15"/>
    </row>
    <row r="19" spans="3:15" ht="15" customHeight="1">
      <c r="C19" s="14"/>
      <c r="D19" s="14"/>
      <c r="E19" s="14"/>
      <c r="F19" s="14"/>
      <c r="G19" s="14"/>
      <c r="H19" s="14"/>
      <c r="I19" s="15"/>
      <c r="J19" s="15"/>
      <c r="K19" s="15"/>
      <c r="L19" s="15"/>
      <c r="M19" s="15"/>
      <c r="N19" s="15"/>
      <c r="O19" s="15"/>
    </row>
    <row r="20" spans="3:15" ht="15" customHeight="1">
      <c r="C20" s="14"/>
      <c r="D20" s="14"/>
      <c r="E20" s="14"/>
      <c r="F20" s="14"/>
      <c r="G20" s="14"/>
      <c r="H20" s="14"/>
      <c r="I20" s="19"/>
      <c r="J20" s="19"/>
      <c r="K20" s="19"/>
      <c r="L20" s="19"/>
      <c r="M20" s="19"/>
      <c r="N20" s="19"/>
      <c r="O20" s="19"/>
    </row>
  </sheetData>
  <sheetProtection password="B056" sheet="1" objects="1" scenarios="1"/>
  <mergeCells count="10">
    <mergeCell ref="A12:H12"/>
    <mergeCell ref="G3:G4"/>
    <mergeCell ref="I3:O3"/>
    <mergeCell ref="A3:A4"/>
    <mergeCell ref="B3:B4"/>
    <mergeCell ref="C3:C4"/>
    <mergeCell ref="D3:D4"/>
    <mergeCell ref="E3:E4"/>
    <mergeCell ref="F3:F4"/>
    <mergeCell ref="H3:H4"/>
  </mergeCells>
  <pageMargins left="0.511811024" right="0.511811024" top="0.78740157499999996" bottom="0.78740157499999996" header="0.31496062000000002" footer="0.31496062000000002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'FE-Maq e Equip'!$B$4:$B$48</xm:f>
          </x14:formula1>
          <xm:sqref>C5:C9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workbookViewId="0">
      <selection activeCell="G30" sqref="G30"/>
    </sheetView>
  </sheetViews>
  <sheetFormatPr defaultRowHeight="15"/>
  <cols>
    <col min="1" max="1" width="46.5703125" bestFit="1" customWidth="1"/>
    <col min="2" max="2" width="13.5703125" customWidth="1"/>
    <col min="3" max="3" width="13.28515625" customWidth="1"/>
    <col min="4" max="4" width="13.5703125" customWidth="1"/>
    <col min="5" max="5" width="12.85546875" customWidth="1"/>
  </cols>
  <sheetData>
    <row r="1" spans="1:11">
      <c r="A1" s="3" t="s">
        <v>198</v>
      </c>
    </row>
    <row r="3" spans="1:11">
      <c r="A3" s="148" t="s">
        <v>0</v>
      </c>
      <c r="B3" s="141" t="s">
        <v>212</v>
      </c>
      <c r="C3" s="141" t="s">
        <v>213</v>
      </c>
      <c r="D3" s="149" t="s">
        <v>105</v>
      </c>
      <c r="E3" s="150" t="s">
        <v>106</v>
      </c>
      <c r="F3" s="145" t="s">
        <v>107</v>
      </c>
      <c r="G3" s="145"/>
      <c r="H3" s="146"/>
      <c r="I3" s="144" t="s">
        <v>1</v>
      </c>
      <c r="J3" s="145"/>
      <c r="K3" s="146"/>
    </row>
    <row r="4" spans="1:11">
      <c r="A4" s="148"/>
      <c r="B4" s="141"/>
      <c r="C4" s="141"/>
      <c r="D4" s="149"/>
      <c r="E4" s="150"/>
      <c r="F4" s="38" t="s">
        <v>108</v>
      </c>
      <c r="G4" s="39" t="s">
        <v>109</v>
      </c>
      <c r="H4" s="39" t="s">
        <v>110</v>
      </c>
      <c r="I4" s="39" t="s">
        <v>108</v>
      </c>
      <c r="J4" s="39" t="s">
        <v>109</v>
      </c>
      <c r="K4" s="39" t="s">
        <v>110</v>
      </c>
    </row>
    <row r="5" spans="1:11">
      <c r="A5" s="61" t="s">
        <v>124</v>
      </c>
      <c r="B5" s="57">
        <v>-20.420483000000001</v>
      </c>
      <c r="C5" s="57">
        <v>-40.355738000000002</v>
      </c>
      <c r="D5" s="63">
        <f>Dados!B5*Dados!B6/8760</f>
        <v>10.41095890410959</v>
      </c>
      <c r="E5" s="62">
        <v>7.4</v>
      </c>
      <c r="F5" s="104">
        <f>'FE-Transf'!$B$3*0.0016*(($B$12/2.2)^1.3)/(($E5/2)^1.4)</f>
        <v>4.3863978330987145E-4</v>
      </c>
      <c r="G5" s="104">
        <f>'FE-Transf'!$C$3*0.0016*(($B$12/2.2)^1.3)/(($E5/2)^1.4)</f>
        <v>2.0746476237629049E-4</v>
      </c>
      <c r="H5" s="104">
        <f>'FE-Transf'!$D$3*0.0016*(($B$12/2.2)^1.3)/(($E5/2)^1.4)</f>
        <v>3.1416092588409709E-5</v>
      </c>
      <c r="I5" s="105">
        <f t="shared" ref="I5:I8" si="0">F5*$D5</f>
        <v>4.5666607577466069E-3</v>
      </c>
      <c r="J5" s="105">
        <f t="shared" ref="J5:J8" si="1">G5*$D5</f>
        <v>2.1599071151504217E-3</v>
      </c>
      <c r="K5" s="103">
        <f t="shared" ref="K5:K8" si="2">H5*$D5</f>
        <v>3.2707164886563533E-4</v>
      </c>
    </row>
    <row r="6" spans="1:11">
      <c r="A6" s="61" t="s">
        <v>125</v>
      </c>
      <c r="B6" s="57">
        <v>-20.420016</v>
      </c>
      <c r="C6" s="57">
        <v>-40.329363999999998</v>
      </c>
      <c r="D6" s="63">
        <f>Dados!B5*Dados!B6/8760</f>
        <v>10.41095890410959</v>
      </c>
      <c r="E6" s="62">
        <v>7.4</v>
      </c>
      <c r="F6" s="104">
        <f>'FE-Transf'!$B$3*0.0016*(($B$12/2.2)^1.3)/(($E6/2)^1.4)</f>
        <v>4.3863978330987145E-4</v>
      </c>
      <c r="G6" s="104">
        <f>'FE-Transf'!$C$3*0.0016*(($B$12/2.2)^1.3)/(($E6/2)^1.4)</f>
        <v>2.0746476237629049E-4</v>
      </c>
      <c r="H6" s="104">
        <f>'FE-Transf'!$D$3*0.0016*(($B$12/2.2)^1.3)/(($E6/2)^1.4)</f>
        <v>3.1416092588409709E-5</v>
      </c>
      <c r="I6" s="105">
        <f t="shared" si="0"/>
        <v>4.5666607577466069E-3</v>
      </c>
      <c r="J6" s="105">
        <f t="shared" si="1"/>
        <v>2.1599071151504217E-3</v>
      </c>
      <c r="K6" s="103">
        <f t="shared" si="2"/>
        <v>3.2707164886563533E-4</v>
      </c>
    </row>
    <row r="7" spans="1:11">
      <c r="A7" s="40" t="s">
        <v>126</v>
      </c>
      <c r="B7" s="29">
        <v>-20.420016</v>
      </c>
      <c r="C7" s="29">
        <v>-40.329363999999998</v>
      </c>
      <c r="D7" s="41">
        <f>Dados!B5*Dados!B6/8760</f>
        <v>10.41095890410959</v>
      </c>
      <c r="E7" s="42">
        <v>7.4</v>
      </c>
      <c r="F7" s="104">
        <f>'FE-Transf'!$B$3*0.0016*(($B$12/2.2)^1.3)/(($E7/2)^1.4)</f>
        <v>4.3863978330987145E-4</v>
      </c>
      <c r="G7" s="104">
        <f>'FE-Transf'!$C$3*0.0016*(($B$12/2.2)^1.3)/(($E7/2)^1.4)</f>
        <v>2.0746476237629049E-4</v>
      </c>
      <c r="H7" s="104">
        <f>'FE-Transf'!$D$3*0.0016*(($B$12/2.2)^1.3)/(($E7/2)^1.4)</f>
        <v>3.1416092588409709E-5</v>
      </c>
      <c r="I7" s="105">
        <f t="shared" si="0"/>
        <v>4.5666607577466069E-3</v>
      </c>
      <c r="J7" s="105">
        <f t="shared" si="1"/>
        <v>2.1599071151504217E-3</v>
      </c>
      <c r="K7" s="103">
        <f t="shared" si="2"/>
        <v>3.2707164886563533E-4</v>
      </c>
    </row>
    <row r="8" spans="1:11">
      <c r="A8" s="43" t="s">
        <v>127</v>
      </c>
      <c r="B8" s="57">
        <v>-20.420016</v>
      </c>
      <c r="C8" s="57">
        <v>-40.329363999999998</v>
      </c>
      <c r="D8" s="41">
        <f>Dados!B5*Dados!B6/8760</f>
        <v>10.41095890410959</v>
      </c>
      <c r="E8" s="42">
        <v>7.4</v>
      </c>
      <c r="F8" s="104">
        <f>'FE-Transf'!$B$3*0.0016*(($B$12/2.2)^1.3)/(($E8/2)^1.4)</f>
        <v>4.3863978330987145E-4</v>
      </c>
      <c r="G8" s="104">
        <f>'FE-Transf'!$C$3*0.0016*(($B$12/2.2)^1.3)/(($E8/2)^1.4)</f>
        <v>2.0746476237629049E-4</v>
      </c>
      <c r="H8" s="104">
        <f>'FE-Transf'!$D$3*0.0016*(($B$12/2.2)^1.3)/(($E8/2)^1.4)</f>
        <v>3.1416092588409709E-5</v>
      </c>
      <c r="I8" s="105">
        <f t="shared" si="0"/>
        <v>4.5666607577466069E-3</v>
      </c>
      <c r="J8" s="105">
        <f t="shared" si="1"/>
        <v>2.1599071151504217E-3</v>
      </c>
      <c r="K8" s="103">
        <f t="shared" si="2"/>
        <v>3.2707164886563533E-4</v>
      </c>
    </row>
    <row r="9" spans="1:11">
      <c r="A9" s="43" t="s">
        <v>111</v>
      </c>
      <c r="B9" s="29">
        <v>-20.420016</v>
      </c>
      <c r="C9" s="29">
        <v>-40.329363999999998</v>
      </c>
      <c r="D9" s="41">
        <f>Dados!B5*Dados!B6/8760</f>
        <v>10.41095890410959</v>
      </c>
      <c r="E9" s="44">
        <v>7.4</v>
      </c>
      <c r="F9" s="106">
        <f>'FE-Transf'!$B$3*0.0016*(($B$12/2.2)^1.3)/(($E9/2)^1.4)</f>
        <v>4.3863978330987145E-4</v>
      </c>
      <c r="G9" s="104">
        <f>'FE-Transf'!$C$3*0.0016*(($B$12/2.2)^1.3)/(($E9/2)^1.4)</f>
        <v>2.0746476237629049E-4</v>
      </c>
      <c r="H9" s="104">
        <f>'FE-Transf'!$D$3*0.0016*(($B$12/2.2)^1.3)/(($E9/2)^1.4)</f>
        <v>3.1416092588409709E-5</v>
      </c>
      <c r="I9" s="105">
        <f t="shared" ref="I9:K9" si="3">F9*$D9</f>
        <v>4.5666607577466069E-3</v>
      </c>
      <c r="J9" s="105">
        <f t="shared" si="3"/>
        <v>2.1599071151504217E-3</v>
      </c>
      <c r="K9" s="103">
        <f t="shared" si="3"/>
        <v>3.2707164886563533E-4</v>
      </c>
    </row>
    <row r="10" spans="1:11">
      <c r="A10" s="147" t="s">
        <v>211</v>
      </c>
      <c r="B10" s="147"/>
      <c r="C10" s="147"/>
      <c r="D10" s="147"/>
      <c r="E10" s="147"/>
      <c r="F10" s="147"/>
      <c r="G10" s="147"/>
      <c r="H10" s="147"/>
      <c r="I10" s="45">
        <f>SUM(I5:I9)</f>
        <v>2.2833303788733036E-2</v>
      </c>
      <c r="J10" s="45">
        <f t="shared" ref="J10:K10" si="4">SUM(J5:J9)</f>
        <v>1.0799535575752108E-2</v>
      </c>
      <c r="K10" s="45">
        <f t="shared" si="4"/>
        <v>1.6353582443281766E-3</v>
      </c>
    </row>
    <row r="11" spans="1:11">
      <c r="C11" s="46"/>
      <c r="D11" s="46"/>
      <c r="E11" s="46"/>
    </row>
    <row r="12" spans="1:11">
      <c r="A12" s="47" t="s">
        <v>112</v>
      </c>
      <c r="B12" s="102">
        <v>4.1937865160171146</v>
      </c>
      <c r="D12" s="32"/>
    </row>
    <row r="17" spans="1:1">
      <c r="A17" s="32"/>
    </row>
    <row r="18" spans="1:1">
      <c r="A18" s="32"/>
    </row>
    <row r="19" spans="1:1">
      <c r="A19" s="32"/>
    </row>
    <row r="20" spans="1:1">
      <c r="A20" s="32"/>
    </row>
    <row r="21" spans="1:1">
      <c r="A21" s="32"/>
    </row>
    <row r="22" spans="1:1">
      <c r="A22" s="32"/>
    </row>
    <row r="23" spans="1:1">
      <c r="A23" s="32"/>
    </row>
    <row r="24" spans="1:1">
      <c r="A24" s="32"/>
    </row>
    <row r="25" spans="1:1">
      <c r="A25" s="32"/>
    </row>
    <row r="26" spans="1:1">
      <c r="A26" s="32"/>
    </row>
  </sheetData>
  <sheetProtection password="B056" sheet="1" objects="1" scenarios="1"/>
  <mergeCells count="8">
    <mergeCell ref="I3:K3"/>
    <mergeCell ref="A10:H10"/>
    <mergeCell ref="A3:A4"/>
    <mergeCell ref="B3:B4"/>
    <mergeCell ref="C3:C4"/>
    <mergeCell ref="D3:D4"/>
    <mergeCell ref="E3:E4"/>
    <mergeCell ref="F3:H3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"/>
  <sheetViews>
    <sheetView workbookViewId="0">
      <selection activeCell="H15" sqref="H15"/>
    </sheetView>
  </sheetViews>
  <sheetFormatPr defaultRowHeight="15"/>
  <cols>
    <col min="1" max="1" width="13.42578125" bestFit="1" customWidth="1"/>
    <col min="2" max="2" width="12.85546875" bestFit="1" customWidth="1"/>
    <col min="3" max="3" width="11.5703125" customWidth="1"/>
    <col min="4" max="4" width="12.5703125" customWidth="1"/>
    <col min="5" max="5" width="13" customWidth="1"/>
    <col min="6" max="6" width="14.140625" customWidth="1"/>
    <col min="7" max="7" width="13" customWidth="1"/>
    <col min="8" max="8" width="15.42578125" customWidth="1"/>
    <col min="11" max="11" width="13.5703125" customWidth="1"/>
  </cols>
  <sheetData>
    <row r="1" spans="1:28" ht="23.25" customHeight="1">
      <c r="A1" s="150" t="s">
        <v>193</v>
      </c>
      <c r="B1" s="150" t="s">
        <v>194</v>
      </c>
      <c r="C1" s="141" t="s">
        <v>212</v>
      </c>
      <c r="D1" s="141" t="s">
        <v>213</v>
      </c>
      <c r="E1" s="150" t="s">
        <v>199</v>
      </c>
      <c r="F1" s="152" t="s">
        <v>200</v>
      </c>
      <c r="G1" s="152" t="s">
        <v>201</v>
      </c>
      <c r="H1" s="150" t="s">
        <v>202</v>
      </c>
      <c r="I1" s="150" t="s">
        <v>203</v>
      </c>
      <c r="J1" s="152" t="s">
        <v>204</v>
      </c>
      <c r="K1" s="154" t="s">
        <v>205</v>
      </c>
      <c r="L1" s="149" t="s">
        <v>206</v>
      </c>
      <c r="M1" s="151"/>
      <c r="N1" s="151"/>
      <c r="O1" s="150" t="s">
        <v>207</v>
      </c>
      <c r="P1" s="150"/>
      <c r="Q1" s="150"/>
      <c r="R1" s="150"/>
      <c r="S1" s="150"/>
      <c r="T1" s="150"/>
      <c r="U1" s="150"/>
      <c r="V1" s="148" t="s">
        <v>1</v>
      </c>
      <c r="W1" s="148"/>
      <c r="X1" s="148"/>
      <c r="Y1" s="148"/>
      <c r="Z1" s="148"/>
      <c r="AA1" s="148"/>
      <c r="AB1" s="148"/>
    </row>
    <row r="2" spans="1:28">
      <c r="A2" s="150"/>
      <c r="B2" s="150"/>
      <c r="C2" s="141"/>
      <c r="D2" s="141"/>
      <c r="E2" s="150"/>
      <c r="F2" s="153"/>
      <c r="G2" s="153"/>
      <c r="H2" s="150"/>
      <c r="I2" s="150"/>
      <c r="J2" s="153"/>
      <c r="K2" s="155"/>
      <c r="L2" s="79" t="s">
        <v>2</v>
      </c>
      <c r="M2" s="79" t="s">
        <v>3</v>
      </c>
      <c r="N2" s="78" t="s">
        <v>40</v>
      </c>
      <c r="O2" s="79" t="s">
        <v>2</v>
      </c>
      <c r="P2" s="79" t="s">
        <v>3</v>
      </c>
      <c r="Q2" s="79" t="s">
        <v>40</v>
      </c>
      <c r="R2" s="79" t="s">
        <v>5</v>
      </c>
      <c r="S2" s="79" t="s">
        <v>6</v>
      </c>
      <c r="T2" s="79" t="s">
        <v>4</v>
      </c>
      <c r="U2" s="79" t="s">
        <v>208</v>
      </c>
      <c r="V2" s="79" t="s">
        <v>2</v>
      </c>
      <c r="W2" s="79" t="s">
        <v>3</v>
      </c>
      <c r="X2" s="79" t="s">
        <v>40</v>
      </c>
      <c r="Y2" s="79" t="s">
        <v>5</v>
      </c>
      <c r="Z2" s="79" t="s">
        <v>6</v>
      </c>
      <c r="AA2" s="79" t="s">
        <v>4</v>
      </c>
      <c r="AB2" s="79" t="s">
        <v>208</v>
      </c>
    </row>
    <row r="3" spans="1:28">
      <c r="A3" s="25" t="s">
        <v>195</v>
      </c>
      <c r="B3" s="80" t="s">
        <v>196</v>
      </c>
      <c r="C3" s="80">
        <v>-20.420483000000001</v>
      </c>
      <c r="D3" s="80">
        <v>-40.355738000000002</v>
      </c>
      <c r="E3" s="80">
        <v>750</v>
      </c>
      <c r="F3" s="11">
        <f>'Emissão Transferências'!D9</f>
        <v>10.41095890410959</v>
      </c>
      <c r="G3" s="60">
        <v>14</v>
      </c>
      <c r="H3" s="13">
        <f t="shared" ref="H3" si="0">2*(F3/G3)</f>
        <v>1.4872798434442271</v>
      </c>
      <c r="I3" s="12">
        <f t="shared" ref="I3" si="1">E3*H3/1000</f>
        <v>1.1154598825831703</v>
      </c>
      <c r="J3" s="80">
        <v>4.8</v>
      </c>
      <c r="K3" s="7">
        <v>16</v>
      </c>
      <c r="L3" s="12">
        <f>('FE-Vias'!$D$6*((J3/12)^'FE-Vias'!$D$7)*((K3/3)^'FE-Vias'!$D$8)*'FE-Vias'!$B$9/1000)*'FE-Vias'!$G$15</f>
        <v>1.155453200794327</v>
      </c>
      <c r="M3" s="12">
        <f>('FE-Vias'!$C$6*((J3/12)^'FE-Vias'!$C$7)*((K3/3)^'FE-Vias'!$C$8)*'FE-Vias'!$B$9/1000)*'FE-Vias'!$G$15</f>
        <v>0.29448253111961553</v>
      </c>
      <c r="N3" s="12">
        <f>('FE-Vias'!$B$6*((J3/12)^'FE-Vias'!$B$7)*((K3/3)^'FE-Vias'!$B$8)*'FE-Vias'!$B$9/1000)*'FE-Vias'!$G$15</f>
        <v>2.9448253111961545E-2</v>
      </c>
      <c r="O3" s="103">
        <f>'FE-Vias'!$B$22/1000</f>
        <v>1.7489827604766657E-4</v>
      </c>
      <c r="P3" s="103">
        <f>'FE-Vias'!$C$22/1000</f>
        <v>1.7489827604766657E-4</v>
      </c>
      <c r="Q3" s="103">
        <f>'FE-Vias'!$D$22/1000</f>
        <v>1.7489827604766657E-4</v>
      </c>
      <c r="R3" s="103">
        <f>'FE-Vias'!$E$22/1000</f>
        <v>5.4345140567386742E-3</v>
      </c>
      <c r="S3" s="103">
        <f>'FE-Vias'!$F$22/1000</f>
        <v>2.1032135261668511E-4</v>
      </c>
      <c r="T3" s="103">
        <f>'FE-Vias'!$G$22/1000</f>
        <v>1.0383730075038094E-3</v>
      </c>
      <c r="U3" s="103">
        <f>'FE-Vias'!$H$22/1000</f>
        <v>2.4766340643796463E-4</v>
      </c>
      <c r="V3" s="92">
        <f>(L3*I3)+(O3*I3)</f>
        <v>1.2890567836988525</v>
      </c>
      <c r="W3" s="92">
        <f>(M3*I3)+(P3*I3)</f>
        <v>0.32867854159594528</v>
      </c>
      <c r="X3" s="92">
        <f>(N3*I3)+(Q3*I3)</f>
        <v>3.3043436969012234E-2</v>
      </c>
      <c r="Y3" s="92">
        <f>R3*I3</f>
        <v>6.0619824116263099E-3</v>
      </c>
      <c r="Z3" s="92">
        <f>S3*I3</f>
        <v>2.3460503129454113E-4</v>
      </c>
      <c r="AA3" s="92">
        <f>T3*I3</f>
        <v>1.1582634330277327E-3</v>
      </c>
      <c r="AB3" s="92">
        <f>U3*I3</f>
        <v>2.7625859426544001E-4</v>
      </c>
    </row>
    <row r="4" spans="1:28">
      <c r="A4" s="108" t="s">
        <v>211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45">
        <f t="shared" ref="V4:AB4" si="2">SUM(V3:V3)</f>
        <v>1.2890567836988525</v>
      </c>
      <c r="W4" s="45">
        <f t="shared" si="2"/>
        <v>0.32867854159594528</v>
      </c>
      <c r="X4" s="45">
        <f t="shared" si="2"/>
        <v>3.3043436969012234E-2</v>
      </c>
      <c r="Y4" s="45">
        <f t="shared" si="2"/>
        <v>6.0619824116263099E-3</v>
      </c>
      <c r="Z4" s="45">
        <f t="shared" si="2"/>
        <v>2.3460503129454113E-4</v>
      </c>
      <c r="AA4" s="45">
        <f t="shared" si="2"/>
        <v>1.1582634330277327E-3</v>
      </c>
      <c r="AB4" s="45">
        <f t="shared" si="2"/>
        <v>2.7625859426544001E-4</v>
      </c>
    </row>
    <row r="6" spans="1:28">
      <c r="A6" s="1" t="s">
        <v>209</v>
      </c>
    </row>
    <row r="7" spans="1:28">
      <c r="A7" s="1" t="s">
        <v>210</v>
      </c>
    </row>
  </sheetData>
  <sheetProtection password="B056" sheet="1" objects="1" scenarios="1"/>
  <mergeCells count="15">
    <mergeCell ref="L1:N1"/>
    <mergeCell ref="O1:U1"/>
    <mergeCell ref="V1:AB1"/>
    <mergeCell ref="A4:U4"/>
    <mergeCell ref="G1:G2"/>
    <mergeCell ref="H1:H2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2" sqref="H22"/>
    </sheetView>
  </sheetViews>
  <sheetFormatPr defaultRowHeight="15"/>
  <cols>
    <col min="1" max="1" width="19.140625" bestFit="1" customWidth="1"/>
  </cols>
  <sheetData>
    <row r="1" spans="1:8">
      <c r="A1" s="156" t="s">
        <v>119</v>
      </c>
      <c r="B1" s="139" t="s">
        <v>1</v>
      </c>
      <c r="C1" s="140"/>
      <c r="D1" s="140"/>
      <c r="E1" s="140"/>
      <c r="F1" s="140"/>
      <c r="G1" s="140"/>
      <c r="H1" s="140"/>
    </row>
    <row r="2" spans="1:8">
      <c r="A2" s="156"/>
      <c r="B2" s="4" t="s">
        <v>2</v>
      </c>
      <c r="C2" s="4" t="s">
        <v>3</v>
      </c>
      <c r="D2" s="4" t="s">
        <v>40</v>
      </c>
      <c r="E2" s="4" t="s">
        <v>5</v>
      </c>
      <c r="F2" s="4" t="s">
        <v>6</v>
      </c>
      <c r="G2" s="4" t="s">
        <v>4</v>
      </c>
      <c r="H2" s="4" t="s">
        <v>208</v>
      </c>
    </row>
    <row r="3" spans="1:8">
      <c r="A3" s="2" t="s">
        <v>120</v>
      </c>
      <c r="B3" s="12">
        <f>'Emissão Transferências'!I10</f>
        <v>2.2833303788733036E-2</v>
      </c>
      <c r="C3" s="12">
        <f>'Emissão Transferências'!J10</f>
        <v>1.0799535575752108E-2</v>
      </c>
      <c r="D3" s="12">
        <f>'Emissão Transferências'!K10</f>
        <v>1.6353582443281766E-3</v>
      </c>
      <c r="E3" s="97" t="s">
        <v>121</v>
      </c>
      <c r="F3" s="97" t="s">
        <v>121</v>
      </c>
      <c r="G3" s="97" t="s">
        <v>121</v>
      </c>
      <c r="H3" s="97" t="s">
        <v>121</v>
      </c>
    </row>
    <row r="4" spans="1:8">
      <c r="A4" s="2" t="s">
        <v>122</v>
      </c>
      <c r="B4" s="12">
        <f>'Emissão Maq e Equip'!I12</f>
        <v>0.15210934641201176</v>
      </c>
      <c r="C4" s="12">
        <f>'Emissão Maq e Equip'!J12</f>
        <v>0.15210934641201176</v>
      </c>
      <c r="D4" s="12">
        <f>'Emissão Maq e Equip'!K12</f>
        <v>0.15210934641201176</v>
      </c>
      <c r="E4" s="12">
        <f>'Emissão Maq e Equip'!L12</f>
        <v>1.4382344329014511</v>
      </c>
      <c r="F4" s="12">
        <f>'Emissão Maq e Equip'!M12</f>
        <v>0.818744351936876</v>
      </c>
      <c r="G4" s="12">
        <f>'Emissão Maq e Equip'!N12</f>
        <v>0.18056880949121956</v>
      </c>
      <c r="H4" s="12">
        <f>'Emissão Maq e Equip'!O12</f>
        <v>0.14198381477858771</v>
      </c>
    </row>
    <row r="5" spans="1:8">
      <c r="A5" s="2" t="s">
        <v>197</v>
      </c>
      <c r="B5" s="12">
        <f>'Emissão Vias'!V4</f>
        <v>1.2890567836988525</v>
      </c>
      <c r="C5" s="12">
        <f>'Emissão Vias'!W4</f>
        <v>0.32867854159594528</v>
      </c>
      <c r="D5" s="12">
        <f>'Emissão Vias'!X4</f>
        <v>3.3043436969012234E-2</v>
      </c>
      <c r="E5" s="12">
        <f>'Emissão Vias'!Y4</f>
        <v>6.0619824116263099E-3</v>
      </c>
      <c r="F5" s="93">
        <f>'Emissão Vias'!Z4</f>
        <v>2.3460503129454113E-4</v>
      </c>
      <c r="G5" s="93">
        <f>'Emissão Vias'!AA4</f>
        <v>1.1582634330277327E-3</v>
      </c>
      <c r="H5" s="93">
        <f>'Emissão Vias'!AB4</f>
        <v>2.7625859426544001E-4</v>
      </c>
    </row>
    <row r="6" spans="1:8">
      <c r="A6" s="2" t="s">
        <v>123</v>
      </c>
      <c r="B6" s="101">
        <v>0.44589859065288123</v>
      </c>
      <c r="C6" s="101">
        <v>0.22294929532644062</v>
      </c>
      <c r="D6" s="101">
        <v>3.3442394298966088E-2</v>
      </c>
      <c r="E6" s="97" t="s">
        <v>121</v>
      </c>
      <c r="F6" s="93" t="s">
        <v>121</v>
      </c>
      <c r="G6" s="93" t="s">
        <v>121</v>
      </c>
      <c r="H6" s="93" t="s">
        <v>121</v>
      </c>
    </row>
    <row r="7" spans="1:8">
      <c r="A7" s="56" t="s">
        <v>211</v>
      </c>
      <c r="B7" s="45">
        <f t="shared" ref="B7:H7" si="0">SUM(B3:B6)</f>
        <v>1.9098980245524784</v>
      </c>
      <c r="C7" s="45">
        <f>SUM(C3:C6)</f>
        <v>0.7145367189101498</v>
      </c>
      <c r="D7" s="45">
        <f>SUM(D3:D6)</f>
        <v>0.22023053592431827</v>
      </c>
      <c r="E7" s="45">
        <f>SUM(E3:E6)</f>
        <v>1.4442964153130775</v>
      </c>
      <c r="F7" s="45">
        <f t="shared" si="0"/>
        <v>0.81897895696817058</v>
      </c>
      <c r="G7" s="45">
        <f>SUM(G3:G6)</f>
        <v>0.18172707292424731</v>
      </c>
      <c r="H7" s="45">
        <f t="shared" si="0"/>
        <v>0.14226007337285315</v>
      </c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 t="s">
        <v>214</v>
      </c>
    </row>
  </sheetData>
  <sheetProtection password="B056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K6" sqref="K6"/>
    </sheetView>
  </sheetViews>
  <sheetFormatPr defaultRowHeight="15"/>
  <cols>
    <col min="1" max="1" width="18.28515625" customWidth="1"/>
    <col min="5" max="5" width="25" bestFit="1" customWidth="1"/>
    <col min="6" max="6" width="20" bestFit="1" customWidth="1"/>
    <col min="7" max="7" width="15.140625" bestFit="1" customWidth="1"/>
    <col min="8" max="8" width="14.42578125" bestFit="1" customWidth="1"/>
    <col min="9" max="9" width="12.140625" bestFit="1" customWidth="1"/>
    <col min="10" max="10" width="21.7109375" bestFit="1" customWidth="1"/>
  </cols>
  <sheetData>
    <row r="1" spans="1:10">
      <c r="A1" s="157" t="s">
        <v>17</v>
      </c>
      <c r="B1" s="158"/>
      <c r="C1" s="158"/>
      <c r="D1" s="158"/>
      <c r="E1" s="159"/>
    </row>
    <row r="2" spans="1:10">
      <c r="A2" s="120" t="s">
        <v>16</v>
      </c>
      <c r="B2" s="112"/>
      <c r="C2" s="161"/>
      <c r="D2" s="161"/>
      <c r="E2" s="113"/>
    </row>
    <row r="3" spans="1:10">
      <c r="A3" s="121"/>
      <c r="B3" s="114"/>
      <c r="C3" s="162"/>
      <c r="D3" s="162"/>
      <c r="E3" s="115"/>
    </row>
    <row r="4" spans="1:10">
      <c r="A4" s="121"/>
      <c r="B4" s="163"/>
      <c r="C4" s="164"/>
      <c r="D4" s="164"/>
      <c r="E4" s="165"/>
    </row>
    <row r="5" spans="1:10" ht="15" customHeight="1">
      <c r="A5" s="121"/>
      <c r="B5" s="127" t="s">
        <v>34</v>
      </c>
      <c r="C5" s="128"/>
      <c r="D5" s="128"/>
      <c r="E5" s="129"/>
    </row>
    <row r="6" spans="1:10">
      <c r="A6" s="121"/>
      <c r="B6" s="116"/>
      <c r="C6" s="130"/>
      <c r="D6" s="130"/>
      <c r="E6" s="117"/>
    </row>
    <row r="7" spans="1:10">
      <c r="A7" s="121"/>
      <c r="B7" s="116"/>
      <c r="C7" s="130"/>
      <c r="D7" s="130"/>
      <c r="E7" s="117"/>
    </row>
    <row r="8" spans="1:10">
      <c r="A8" s="121"/>
      <c r="B8" s="116"/>
      <c r="C8" s="130"/>
      <c r="D8" s="130"/>
      <c r="E8" s="117"/>
    </row>
    <row r="9" spans="1:10">
      <c r="A9" s="122"/>
      <c r="B9" s="118"/>
      <c r="C9" s="131"/>
      <c r="D9" s="131"/>
      <c r="E9" s="119"/>
    </row>
    <row r="12" spans="1:10">
      <c r="A12" s="166" t="s">
        <v>35</v>
      </c>
      <c r="B12" s="166"/>
      <c r="C12" s="1"/>
      <c r="D12" s="1"/>
      <c r="E12" s="8" t="s">
        <v>33</v>
      </c>
      <c r="F12" s="8" t="s">
        <v>28</v>
      </c>
      <c r="G12" s="8" t="s">
        <v>32</v>
      </c>
      <c r="H12" s="8" t="s">
        <v>31</v>
      </c>
      <c r="I12" s="8" t="s">
        <v>29</v>
      </c>
      <c r="J12" s="8" t="s">
        <v>30</v>
      </c>
    </row>
    <row r="13" spans="1:10">
      <c r="A13" s="2" t="s">
        <v>18</v>
      </c>
      <c r="B13" s="12">
        <v>46.005499999999998</v>
      </c>
      <c r="C13" s="1"/>
      <c r="D13" s="1"/>
      <c r="E13" s="2" t="s">
        <v>12</v>
      </c>
      <c r="F13" s="11" t="e">
        <f>#REF!</f>
        <v>#REF!</v>
      </c>
      <c r="G13" s="5" t="e">
        <f>#REF!</f>
        <v>#REF!</v>
      </c>
      <c r="H13" s="5" t="e">
        <f>G13+273.15</f>
        <v>#REF!</v>
      </c>
      <c r="I13" s="160">
        <v>1</v>
      </c>
      <c r="J13" s="12" t="e">
        <f>F13*0.04087*$B$15*(($I$13/1)*(298.15/H13))</f>
        <v>#REF!</v>
      </c>
    </row>
    <row r="14" spans="1:10">
      <c r="A14" s="2" t="s">
        <v>19</v>
      </c>
      <c r="B14" s="12">
        <v>30.01</v>
      </c>
      <c r="C14" s="1"/>
      <c r="D14" s="1"/>
      <c r="E14" s="2" t="s">
        <v>13</v>
      </c>
      <c r="F14" s="11" t="e">
        <f>#REF!</f>
        <v>#REF!</v>
      </c>
      <c r="G14" s="5" t="e">
        <f>#REF!</f>
        <v>#REF!</v>
      </c>
      <c r="H14" s="5" t="e">
        <f t="shared" ref="H14:H21" si="0">G14+273.15</f>
        <v>#REF!</v>
      </c>
      <c r="I14" s="160"/>
      <c r="J14" s="12" t="e">
        <f t="shared" ref="J14:J21" si="1">F14*0.04087*$B$15*(($I$13/1)*(298.15/H14))</f>
        <v>#REF!</v>
      </c>
    </row>
    <row r="15" spans="1:10">
      <c r="A15" s="2" t="s">
        <v>4</v>
      </c>
      <c r="B15" s="12">
        <v>28.01</v>
      </c>
      <c r="C15" s="1"/>
      <c r="D15" s="1"/>
      <c r="E15" s="2" t="s">
        <v>9</v>
      </c>
      <c r="F15" s="11" t="e">
        <f>#REF!</f>
        <v>#REF!</v>
      </c>
      <c r="G15" s="5" t="e">
        <f>#REF!</f>
        <v>#REF!</v>
      </c>
      <c r="H15" s="5" t="e">
        <f t="shared" si="0"/>
        <v>#REF!</v>
      </c>
      <c r="I15" s="160"/>
      <c r="J15" s="12" t="e">
        <f t="shared" si="1"/>
        <v>#REF!</v>
      </c>
    </row>
    <row r="16" spans="1:10">
      <c r="A16" s="2" t="s">
        <v>20</v>
      </c>
      <c r="B16" s="12">
        <v>48</v>
      </c>
      <c r="C16" s="1"/>
      <c r="D16" s="1"/>
      <c r="E16" s="2" t="s">
        <v>8</v>
      </c>
      <c r="F16" s="11" t="e">
        <f>#REF!</f>
        <v>#REF!</v>
      </c>
      <c r="G16" s="5" t="e">
        <f>#REF!</f>
        <v>#REF!</v>
      </c>
      <c r="H16" s="5" t="e">
        <f t="shared" si="0"/>
        <v>#REF!</v>
      </c>
      <c r="I16" s="160"/>
      <c r="J16" s="12" t="e">
        <f t="shared" si="1"/>
        <v>#REF!</v>
      </c>
    </row>
    <row r="17" spans="1:10">
      <c r="A17" s="2" t="s">
        <v>21</v>
      </c>
      <c r="B17" s="12">
        <v>34.1</v>
      </c>
      <c r="C17" s="1"/>
      <c r="D17" s="1"/>
      <c r="E17" s="2" t="s">
        <v>10</v>
      </c>
      <c r="F17" s="11" t="e">
        <f>#REF!</f>
        <v>#REF!</v>
      </c>
      <c r="G17" s="5" t="e">
        <f>#REF!</f>
        <v>#REF!</v>
      </c>
      <c r="H17" s="5" t="e">
        <f t="shared" si="0"/>
        <v>#REF!</v>
      </c>
      <c r="I17" s="160"/>
      <c r="J17" s="12" t="e">
        <f t="shared" si="1"/>
        <v>#REF!</v>
      </c>
    </row>
    <row r="18" spans="1:10">
      <c r="A18" s="2" t="s">
        <v>22</v>
      </c>
      <c r="B18" s="12">
        <v>64.066000000000003</v>
      </c>
      <c r="C18" s="1"/>
      <c r="D18" s="1"/>
      <c r="E18" s="2" t="s">
        <v>11</v>
      </c>
      <c r="F18" s="11" t="e">
        <f>#REF!</f>
        <v>#REF!</v>
      </c>
      <c r="G18" s="5" t="e">
        <f>#REF!</f>
        <v>#REF!</v>
      </c>
      <c r="H18" s="5" t="e">
        <f t="shared" si="0"/>
        <v>#REF!</v>
      </c>
      <c r="I18" s="160"/>
      <c r="J18" s="12" t="e">
        <f t="shared" si="1"/>
        <v>#REF!</v>
      </c>
    </row>
    <row r="19" spans="1:10">
      <c r="A19" s="2" t="s">
        <v>23</v>
      </c>
      <c r="B19" s="12">
        <v>36.46</v>
      </c>
      <c r="C19" s="1"/>
      <c r="D19" s="1"/>
      <c r="E19" s="3" t="s">
        <v>7</v>
      </c>
      <c r="F19" s="11" t="e">
        <f>#REF!</f>
        <v>#REF!</v>
      </c>
      <c r="G19" s="5" t="e">
        <f>#REF!</f>
        <v>#REF!</v>
      </c>
      <c r="H19" s="5" t="e">
        <f t="shared" si="0"/>
        <v>#REF!</v>
      </c>
      <c r="I19" s="160"/>
      <c r="J19" s="12" t="e">
        <f t="shared" si="1"/>
        <v>#REF!</v>
      </c>
    </row>
    <row r="20" spans="1:10">
      <c r="A20" s="2" t="s">
        <v>24</v>
      </c>
      <c r="B20" s="12">
        <v>20.0063</v>
      </c>
      <c r="C20" s="1"/>
      <c r="D20" s="1"/>
      <c r="E20" s="2" t="s">
        <v>14</v>
      </c>
      <c r="F20" s="11" t="e">
        <f>#REF!</f>
        <v>#REF!</v>
      </c>
      <c r="G20" s="5" t="e">
        <f>#REF!</f>
        <v>#REF!</v>
      </c>
      <c r="H20" s="5" t="e">
        <f t="shared" si="0"/>
        <v>#REF!</v>
      </c>
      <c r="I20" s="160"/>
      <c r="J20" s="12" t="e">
        <f t="shared" si="1"/>
        <v>#REF!</v>
      </c>
    </row>
    <row r="21" spans="1:10">
      <c r="A21" s="2" t="s">
        <v>25</v>
      </c>
      <c r="B21" s="12">
        <v>44.1</v>
      </c>
      <c r="C21" s="1"/>
      <c r="D21" s="1"/>
      <c r="E21" s="2" t="s">
        <v>15</v>
      </c>
      <c r="F21" s="11" t="e">
        <f>#REF!</f>
        <v>#REF!</v>
      </c>
      <c r="G21" s="5" t="e">
        <f>#REF!</f>
        <v>#REF!</v>
      </c>
      <c r="H21" s="5" t="e">
        <f t="shared" si="0"/>
        <v>#REF!</v>
      </c>
      <c r="I21" s="160"/>
      <c r="J21" s="12" t="e">
        <f t="shared" si="1"/>
        <v>#REF!</v>
      </c>
    </row>
    <row r="22" spans="1:10">
      <c r="A22" s="2" t="s">
        <v>26</v>
      </c>
      <c r="B22" s="12">
        <v>78.11</v>
      </c>
      <c r="C22" s="1"/>
      <c r="D22" s="1"/>
      <c r="E22" s="1"/>
      <c r="F22" s="1"/>
      <c r="G22" s="1"/>
      <c r="H22" s="1"/>
      <c r="I22" s="1"/>
    </row>
    <row r="23" spans="1:10">
      <c r="A23" s="2" t="s">
        <v>27</v>
      </c>
      <c r="B23" s="12">
        <v>44.01</v>
      </c>
      <c r="C23" s="1"/>
      <c r="D23" s="1"/>
      <c r="E23" s="1"/>
      <c r="F23" s="1"/>
      <c r="G23" s="1"/>
      <c r="H23" s="1"/>
      <c r="I23" s="1"/>
    </row>
  </sheetData>
  <mergeCells count="6">
    <mergeCell ref="A1:E1"/>
    <mergeCell ref="I13:I21"/>
    <mergeCell ref="A2:A9"/>
    <mergeCell ref="B2:E4"/>
    <mergeCell ref="B5:E9"/>
    <mergeCell ref="A12:B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</vt:i4>
      </vt:variant>
    </vt:vector>
  </HeadingPairs>
  <TitlesOfParts>
    <vt:vector size="11" baseType="lpstr">
      <vt:lpstr>Dados</vt:lpstr>
      <vt:lpstr>FE-Maq e Equip</vt:lpstr>
      <vt:lpstr>FE-Transf</vt:lpstr>
      <vt:lpstr>FE-Vias</vt:lpstr>
      <vt:lpstr>Emissão Maq e Equip</vt:lpstr>
      <vt:lpstr>Emissão Transferências</vt:lpstr>
      <vt:lpstr>Emissão Vias</vt:lpstr>
      <vt:lpstr>Resumo</vt:lpstr>
      <vt:lpstr>ppm to mg.m-3</vt:lpstr>
      <vt:lpstr>FE_Equipamentos</vt:lpstr>
      <vt:lpstr>Pot_Equipamentos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2016-12-13T12:13:55Z</dcterms:created>
  <dcterms:modified xsi:type="dcterms:W3CDTF">2019-06-06T19:49:10Z</dcterms:modified>
</cp:coreProperties>
</file>