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N:\Clientes\PRJ1301096-Estudo QAr RGV\02-Inventário\Memorial de Cálculo\2 Memorial_IEMA_R1\Unibrás\"/>
    </mc:Choice>
  </mc:AlternateContent>
  <bookViews>
    <workbookView xWindow="0" yWindow="0" windowWidth="24000" windowHeight="9135" tabRatio="863" firstSheet="2" activeTab="9"/>
  </bookViews>
  <sheets>
    <sheet name="Dados" sheetId="28" r:id="rId1"/>
    <sheet name="FE-Maq Equip" sheetId="6" r:id="rId2"/>
    <sheet name="FE-Transferências" sheetId="10" r:id="rId3"/>
    <sheet name="FE-Britagem e Peneiramento" sheetId="25" r:id="rId4"/>
    <sheet name="FE-Vias" sheetId="13" r:id="rId5"/>
    <sheet name="Emissão Maq e Equip" sheetId="5" r:id="rId6"/>
    <sheet name="Emissão Transferências" sheetId="8" r:id="rId7"/>
    <sheet name="Emissão Britagem e Peneiramento" sheetId="22" r:id="rId8"/>
    <sheet name="Emissão Vias " sheetId="9" r:id="rId9"/>
    <sheet name="Resumo" sheetId="26" r:id="rId10"/>
  </sheets>
  <definedNames>
    <definedName name="FE_Equip">'FE-Maq Equip'!$B$3:$I$18</definedName>
    <definedName name="Pot_Equip">'FE-Maq Equip'!$B$3:$B$18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7" i="13" l="1"/>
  <c r="M5" i="13"/>
  <c r="M6" i="13"/>
  <c r="M7" i="13"/>
  <c r="M8" i="13"/>
  <c r="M9" i="13"/>
  <c r="M10" i="13"/>
  <c r="M11" i="13"/>
  <c r="M12" i="13"/>
  <c r="M13" i="13"/>
  <c r="M14" i="13"/>
  <c r="M15" i="13"/>
  <c r="M16" i="13"/>
  <c r="F16" i="28"/>
  <c r="F15" i="28"/>
  <c r="F11" i="8" l="1"/>
  <c r="G11" i="8"/>
  <c r="H11" i="8"/>
  <c r="F12" i="8"/>
  <c r="G12" i="8"/>
  <c r="H12" i="8"/>
  <c r="D11" i="8"/>
  <c r="D12" i="8"/>
  <c r="D10" i="8"/>
  <c r="F8" i="8"/>
  <c r="G8" i="8"/>
  <c r="H8" i="8"/>
  <c r="F9" i="8"/>
  <c r="G9" i="8"/>
  <c r="H9" i="8"/>
  <c r="D8" i="8"/>
  <c r="D9" i="8"/>
  <c r="D7" i="8"/>
  <c r="D6" i="8"/>
  <c r="F4" i="8"/>
  <c r="G4" i="8"/>
  <c r="H4" i="8"/>
  <c r="D5" i="8"/>
  <c r="D4" i="8"/>
  <c r="D3" i="8"/>
  <c r="B9" i="22"/>
  <c r="H9" i="22" s="1"/>
  <c r="E9" i="22"/>
  <c r="D9" i="22"/>
  <c r="C9" i="22"/>
  <c r="I4" i="8" l="1"/>
  <c r="K4" i="8"/>
  <c r="J4" i="8"/>
  <c r="F9" i="22"/>
  <c r="G9" i="22"/>
  <c r="D8" i="22"/>
  <c r="E8" i="22"/>
  <c r="C8" i="22"/>
  <c r="B8" i="22"/>
  <c r="F8" i="22" s="1"/>
  <c r="B3" i="22"/>
  <c r="F6" i="9"/>
  <c r="F5" i="9"/>
  <c r="F4" i="9"/>
  <c r="E8" i="28"/>
  <c r="E9" i="28"/>
  <c r="E7" i="28"/>
  <c r="D10" i="28"/>
  <c r="C10" i="28"/>
  <c r="B10" i="28"/>
  <c r="F10" i="22" l="1"/>
  <c r="E10" i="28"/>
  <c r="G8" i="22"/>
  <c r="G10" i="22" s="1"/>
  <c r="H8" i="22"/>
  <c r="H10" i="22" s="1"/>
  <c r="H6" i="8" l="1"/>
  <c r="G6" i="8"/>
  <c r="F6" i="8"/>
  <c r="G10" i="28"/>
  <c r="F10" i="28"/>
  <c r="J6" i="5"/>
  <c r="J4" i="5"/>
  <c r="I6" i="5"/>
  <c r="A5" i="5"/>
  <c r="A4" i="5"/>
  <c r="B5" i="5"/>
  <c r="C5" i="5"/>
  <c r="D6" i="5"/>
  <c r="C6" i="5"/>
  <c r="B6" i="5"/>
  <c r="A6" i="5"/>
  <c r="J6" i="8" l="1"/>
  <c r="K6" i="8"/>
  <c r="I11" i="8"/>
  <c r="J11" i="8"/>
  <c r="K11" i="8"/>
  <c r="J8" i="8"/>
  <c r="K8" i="8"/>
  <c r="I8" i="8"/>
  <c r="I6" i="8"/>
  <c r="J5" i="5"/>
  <c r="O5" i="5" s="1"/>
  <c r="K5" i="5"/>
  <c r="L5" i="5" s="1"/>
  <c r="N6" i="5"/>
  <c r="P5" i="5"/>
  <c r="O6" i="5"/>
  <c r="Q6" i="5"/>
  <c r="K6" i="5"/>
  <c r="L6" i="5" s="1"/>
  <c r="P6" i="5"/>
  <c r="Q5" i="5" l="1"/>
  <c r="M5" i="5"/>
  <c r="N5" i="5"/>
  <c r="M6" i="5"/>
  <c r="F3" i="8"/>
  <c r="G3" i="8"/>
  <c r="H3" i="8"/>
  <c r="F5" i="8"/>
  <c r="I5" i="8" s="1"/>
  <c r="G5" i="8"/>
  <c r="J5" i="8" s="1"/>
  <c r="H5" i="8"/>
  <c r="K5" i="8" s="1"/>
  <c r="F7" i="8"/>
  <c r="I7" i="8" s="1"/>
  <c r="G7" i="8"/>
  <c r="J7" i="8" s="1"/>
  <c r="H7" i="8"/>
  <c r="K7" i="8" s="1"/>
  <c r="I9" i="8"/>
  <c r="J9" i="8"/>
  <c r="K9" i="8"/>
  <c r="F10" i="8"/>
  <c r="I10" i="8" s="1"/>
  <c r="G10" i="8"/>
  <c r="J10" i="8" s="1"/>
  <c r="H10" i="8"/>
  <c r="K10" i="8" s="1"/>
  <c r="I12" i="8"/>
  <c r="J12" i="8"/>
  <c r="K12" i="8"/>
  <c r="K3" i="8"/>
  <c r="I3" i="8" l="1"/>
  <c r="J3" i="8"/>
  <c r="C4" i="5" l="1"/>
  <c r="B4" i="5"/>
  <c r="D3" i="22" l="1"/>
  <c r="G3" i="22" s="1"/>
  <c r="C3" i="22"/>
  <c r="F3" i="22" s="1"/>
  <c r="O4" i="5" l="1"/>
  <c r="O7" i="5" s="1"/>
  <c r="G6" i="9" l="1"/>
  <c r="G4" i="9"/>
  <c r="G5" i="9"/>
  <c r="Q4" i="5"/>
  <c r="Q7" i="5" s="1"/>
  <c r="P4" i="5"/>
  <c r="P7" i="5" s="1"/>
  <c r="N4" i="5"/>
  <c r="N7" i="5" s="1"/>
  <c r="K4" i="5"/>
  <c r="L4" i="5" l="1"/>
  <c r="L7" i="5" s="1"/>
  <c r="K7" i="5"/>
  <c r="M4" i="5"/>
  <c r="M7" i="5" s="1"/>
  <c r="T6" i="9" l="1"/>
  <c r="T5" i="9"/>
  <c r="T4" i="9"/>
  <c r="S6" i="9"/>
  <c r="S5" i="9"/>
  <c r="S4" i="9"/>
  <c r="E3" i="22" l="1"/>
  <c r="H3" i="22" s="1"/>
  <c r="O6" i="9" l="1"/>
  <c r="P6" i="9"/>
  <c r="Q6" i="9"/>
  <c r="R6" i="9"/>
  <c r="U6" i="9"/>
  <c r="R5" i="9"/>
  <c r="Q5" i="9"/>
  <c r="P5" i="9"/>
  <c r="O5" i="9"/>
  <c r="U5" i="9"/>
  <c r="P4" i="9" l="1"/>
  <c r="Q4" i="9"/>
  <c r="R4" i="9"/>
  <c r="U4" i="9"/>
  <c r="O4" i="9"/>
  <c r="AA6" i="9" l="1"/>
  <c r="Z6" i="9"/>
  <c r="Y6" i="9"/>
  <c r="G4" i="22"/>
  <c r="F4" i="22"/>
  <c r="B5" i="26" s="1"/>
  <c r="H4" i="22"/>
  <c r="M5" i="9" l="1"/>
  <c r="L4" i="9"/>
  <c r="N6" i="9"/>
  <c r="X6" i="9" s="1"/>
  <c r="M4" i="9"/>
  <c r="M6" i="9"/>
  <c r="W6" i="9" s="1"/>
  <c r="N4" i="9"/>
  <c r="L6" i="9"/>
  <c r="V6" i="9" s="1"/>
  <c r="N5" i="9"/>
  <c r="AB6" i="9"/>
  <c r="D5" i="26"/>
  <c r="C5" i="26"/>
  <c r="L5" i="9"/>
  <c r="X4" i="9" l="1"/>
  <c r="W4" i="9"/>
  <c r="V4" i="9"/>
  <c r="W5" i="9"/>
  <c r="X5" i="9"/>
  <c r="V5" i="9"/>
  <c r="Z5" i="9"/>
  <c r="AA5" i="9"/>
  <c r="AB5" i="9"/>
  <c r="Y5" i="9"/>
  <c r="Z4" i="9"/>
  <c r="Y4" i="9"/>
  <c r="AA4" i="9"/>
  <c r="AB4" i="9"/>
  <c r="AB7" i="9" l="1"/>
  <c r="Y7" i="9"/>
  <c r="W7" i="9"/>
  <c r="C6" i="26" s="1"/>
  <c r="AA7" i="9"/>
  <c r="G6" i="26" s="1"/>
  <c r="X7" i="9"/>
  <c r="D6" i="26" s="1"/>
  <c r="Z7" i="9"/>
  <c r="F6" i="26" s="1"/>
  <c r="E6" i="26"/>
  <c r="V7" i="9"/>
  <c r="B6" i="26" s="1"/>
  <c r="H6" i="26"/>
  <c r="J13" i="8"/>
  <c r="I13" i="8" l="1"/>
  <c r="B3" i="26" s="1"/>
  <c r="K13" i="8"/>
  <c r="D3" i="26" s="1"/>
  <c r="C3" i="26"/>
  <c r="B4" i="26"/>
  <c r="B8" i="26" l="1"/>
  <c r="E4" i="26"/>
  <c r="E8" i="26" s="1"/>
  <c r="H4" i="26"/>
  <c r="H8" i="26" s="1"/>
  <c r="G4" i="26"/>
  <c r="G8" i="26" s="1"/>
  <c r="F4" i="26"/>
  <c r="F8" i="26" s="1"/>
  <c r="C4" i="26" l="1"/>
  <c r="D4" i="26" l="1"/>
  <c r="D8" i="26" s="1"/>
  <c r="C8" i="26" l="1"/>
</calcChain>
</file>

<file path=xl/comments1.xml><?xml version="1.0" encoding="utf-8"?>
<comments xmlns="http://schemas.openxmlformats.org/spreadsheetml/2006/main">
  <authors>
    <author>Alinie Rossi dos Santos</author>
  </authors>
  <commentList>
    <comment ref="A3" authorId="0" shapeId="0">
      <text>
        <r>
          <rPr>
            <sz val="9"/>
            <color indexed="81"/>
            <rFont val="Segoe UI"/>
            <family val="2"/>
          </rPr>
          <t xml:space="preserve"> No data available, but emission factors for PM-10 for tertiary crushers can be used as an upper limit for
primary or secondary crushing </t>
        </r>
      </text>
    </comment>
  </commentList>
</comments>
</file>

<file path=xl/comments2.xml><?xml version="1.0" encoding="utf-8"?>
<comments xmlns="http://schemas.openxmlformats.org/spreadsheetml/2006/main">
  <authors>
    <author>Andrielly Moutinho Knupp</author>
    <author>Autor</author>
  </authors>
  <commentList>
    <comment ref="I3" authorId="0" shapeId="0">
      <text>
        <r>
          <rPr>
            <sz val="9"/>
            <color indexed="81"/>
            <rFont val="Segoe UI"/>
            <family val="2"/>
          </rPr>
          <t xml:space="preserve">Fonte: Estação INMET 
ES_A612_Vitoria
</t>
        </r>
      </text>
    </comment>
    <comment ref="B13" authorId="0" shapeId="0">
      <text>
        <r>
          <rPr>
            <sz val="9"/>
            <color indexed="81"/>
            <rFont val="Segoe UI"/>
            <family val="2"/>
          </rPr>
          <t xml:space="preserve">VKT = DMT </t>
        </r>
      </text>
    </comment>
    <comment ref="C24" authorId="1" shapeId="0">
      <text>
        <r>
          <rPr>
            <sz val="9"/>
            <color indexed="81"/>
            <rFont val="Segoe UI"/>
            <family val="2"/>
          </rPr>
          <t>Consideração:
Assumido PM10 = PM</t>
        </r>
      </text>
    </comment>
    <comment ref="D24" authorId="1" shapeId="0">
      <text>
        <r>
          <rPr>
            <sz val="9"/>
            <color indexed="81"/>
            <rFont val="Segoe UI"/>
            <family val="2"/>
          </rPr>
          <t>Consideração:
Assumido PM2.5 = PM</t>
        </r>
      </text>
    </comment>
    <comment ref="H24" authorId="1" shapeId="0">
      <text>
        <r>
          <rPr>
            <sz val="9"/>
            <color indexed="81"/>
            <rFont val="Segoe UI"/>
            <family val="2"/>
          </rPr>
          <t xml:space="preserve">Consideração:
O fator de veículos pesados é expresso em HC e CH4. Contudo, em alguns casos o CH4 é maior que o HC, o que é incoerente. Assim, foi calculado o fator de emissão considerando todos hidrocarbonetos.
</t>
        </r>
      </text>
    </comment>
  </commentList>
</comments>
</file>

<file path=xl/comments3.xml><?xml version="1.0" encoding="utf-8"?>
<comments xmlns="http://schemas.openxmlformats.org/spreadsheetml/2006/main">
  <authors>
    <author>Andrielly Moutinho Knupp</author>
    <author>Gabriel Aarão Gonçalves</author>
  </authors>
  <commentList>
    <comment ref="L3" authorId="0" shapeId="0">
      <text>
        <r>
          <rPr>
            <sz val="9"/>
            <color indexed="81"/>
            <rFont val="Segoe UI"/>
            <family val="2"/>
          </rPr>
          <t>Devido à inexistência de fator para PM10, foi considerado PM10 = PM.</t>
        </r>
      </text>
    </comment>
    <comment ref="M3" authorId="0" shapeId="0">
      <text>
        <r>
          <rPr>
            <sz val="9"/>
            <color indexed="81"/>
            <rFont val="Segoe UI"/>
            <family val="2"/>
          </rPr>
          <t>Devido à inexistência de fator para PM2.5, foi considerado PM2.5 = PM.</t>
        </r>
      </text>
    </comment>
    <comment ref="O3" authorId="0" shapeId="0">
      <text>
        <r>
          <rPr>
            <sz val="9"/>
            <color indexed="81"/>
            <rFont val="Segoe UI"/>
            <family val="2"/>
          </rPr>
          <t>Devido à inexistência de fator para SO2, foi considerado fator de SOx para SO2.</t>
        </r>
      </text>
    </comment>
    <comment ref="Q3"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 ref="E4" authorId="1" shapeId="0">
      <text>
        <r>
          <rPr>
            <sz val="9"/>
            <color indexed="81"/>
            <rFont val="Segoe UI"/>
            <family val="2"/>
          </rPr>
          <t xml:space="preserve">Informação da potência não fornecida pelo empreendimento. Portanto, o valor da potência foi obtido pelo catálogo disponível online.
Fonte: https://www.volvoce.com/brasil/pt-br/products/wheel-loaders/large/l90f/
</t>
        </r>
      </text>
    </comment>
    <comment ref="E5" authorId="1" shapeId="0">
      <text>
        <r>
          <rPr>
            <sz val="9"/>
            <color indexed="81"/>
            <rFont val="Segoe UI"/>
            <family val="2"/>
          </rPr>
          <t xml:space="preserve">Informação da potência não fornecida pelo empreendimento. Portanto, o valor da potência foi obtido pelo catálogo disponível online.
Fonte: https://www.volvoce.com/brasil/pt-br/products/wheel-loaders/large/l90f/
</t>
        </r>
      </text>
    </comment>
    <comment ref="E6" authorId="1" shapeId="0">
      <text>
        <r>
          <rPr>
            <sz val="9"/>
            <color indexed="81"/>
            <rFont val="Segoe UI"/>
            <family val="2"/>
          </rPr>
          <t>Informação da potência não fornecida pelo empreendimento. Portanto, o valor da potência foi obtido pelo catálogo disponível online.
Fonte: https://www.volvoce.com/brasil/pt-br/products/wheel-loaders/large/l90f/</t>
        </r>
        <r>
          <rPr>
            <b/>
            <sz val="9"/>
            <color indexed="81"/>
            <rFont val="Segoe UI"/>
            <family val="2"/>
          </rPr>
          <t xml:space="preserve">
</t>
        </r>
        <r>
          <rPr>
            <sz val="9"/>
            <color indexed="81"/>
            <rFont val="Segoe UI"/>
            <family val="2"/>
          </rPr>
          <t xml:space="preserve">
</t>
        </r>
      </text>
    </comment>
  </commentList>
</comments>
</file>

<file path=xl/comments4.xml><?xml version="1.0" encoding="utf-8"?>
<comments xmlns="http://schemas.openxmlformats.org/spreadsheetml/2006/main">
  <authors>
    <author>Alinie Rossi dos Santos</author>
    <author>Gabriel Aarão Gonçalves</author>
  </authors>
  <commentList>
    <comment ref="E1" authorId="0" shapeId="0">
      <text>
        <r>
          <rPr>
            <sz val="9"/>
            <color indexed="81"/>
            <rFont val="Segoe UI"/>
            <family val="2"/>
          </rPr>
          <t>Não foram informadas as umidade dos materiais . Portanto, foi utilizada o valor médio apresentado na AP-42: Table 13.2.4-1. TYPICAL SILT AND MOISTURE CONTENTS OF MATERIALS AT VARIOUS INDUSTRIES
Fonte: https://www3.epa.gov/ttn/chief/ap42/ch13/final/c13s0204.pdf</t>
        </r>
      </text>
    </comment>
    <comment ref="D6" authorId="0" shapeId="0">
      <text>
        <r>
          <rPr>
            <sz val="9"/>
            <color indexed="81"/>
            <rFont val="Segoe UI"/>
            <family val="2"/>
          </rPr>
          <t xml:space="preserve">Considerada a transferência de entrada e saída do material
</t>
        </r>
      </text>
    </comment>
    <comment ref="D7" authorId="0" shapeId="0">
      <text>
        <r>
          <rPr>
            <sz val="9"/>
            <color indexed="81"/>
            <rFont val="Segoe UI"/>
            <family val="2"/>
          </rPr>
          <t>Considerada a transferência de entrada e saída do material.</t>
        </r>
      </text>
    </comment>
    <comment ref="D8" authorId="0" shapeId="0">
      <text>
        <r>
          <rPr>
            <sz val="9"/>
            <color indexed="81"/>
            <rFont val="Segoe UI"/>
            <family val="2"/>
          </rPr>
          <t xml:space="preserve">Considerada a transferência de entrada e saída do material.
</t>
        </r>
      </text>
    </comment>
    <comment ref="D9" authorId="0" shapeId="0">
      <text>
        <r>
          <rPr>
            <sz val="9"/>
            <color indexed="81"/>
            <rFont val="Segoe UI"/>
            <family val="2"/>
          </rPr>
          <t>Considerada a transferência de entrada e saída do material.</t>
        </r>
      </text>
    </comment>
    <comment ref="A10" authorId="1" shapeId="0">
      <text>
        <r>
          <rPr>
            <sz val="9"/>
            <color indexed="81"/>
            <rFont val="Segoe UI"/>
            <family val="2"/>
          </rPr>
          <t>Considerado que todo o material que sai da empresa é igual a todo o material que entra na empresa (recebimento)</t>
        </r>
      </text>
    </comment>
    <comment ref="A11" authorId="1" shapeId="0">
      <text>
        <r>
          <rPr>
            <sz val="9"/>
            <color indexed="81"/>
            <rFont val="Segoe UI"/>
            <family val="2"/>
          </rPr>
          <t>Considerado que todo o material que sai da empresa é igual a todo o material que entra na empresa (recebimento)</t>
        </r>
      </text>
    </comment>
    <comment ref="A12" authorId="1" shapeId="0">
      <text>
        <r>
          <rPr>
            <sz val="9"/>
            <color indexed="81"/>
            <rFont val="Segoe UI"/>
            <family val="2"/>
          </rPr>
          <t xml:space="preserve">Considerado que todo o material que sai da empresa é igual a todo o material que entra na empresa (recebimento)
</t>
        </r>
      </text>
    </comment>
    <comment ref="A15" authorId="0" shapeId="0">
      <text>
        <r>
          <rPr>
            <sz val="9"/>
            <color indexed="81"/>
            <rFont val="Segoe UI"/>
            <family val="2"/>
          </rPr>
          <t>Velocidade média do ano de 2015 da Estação Aeroporto</t>
        </r>
      </text>
    </comment>
  </commentList>
</comments>
</file>

<file path=xl/comments5.xml><?xml version="1.0" encoding="utf-8"?>
<comments xmlns="http://schemas.openxmlformats.org/spreadsheetml/2006/main">
  <authors>
    <author>Alinie Rossi dos Santos</author>
  </authors>
  <commentList>
    <comment ref="C2" authorId="0" shapeId="0">
      <text>
        <r>
          <rPr>
            <sz val="9"/>
            <color indexed="81"/>
            <rFont val="Segoe UI"/>
            <family val="2"/>
          </rPr>
          <t xml:space="preserve">Fonte: NDEP (2017)
https://ndep.nv.gov/uploads/air-permitting-docs/ndep-mining-emissions-guidance.pdf.
Tertiary Crushing Emission Factor is utilized as a
conservative estimate because there is no Primary and Secondary Crushing Emission Factor. </t>
        </r>
      </text>
    </comment>
    <comment ref="D2" authorId="0" shapeId="0">
      <text>
        <r>
          <rPr>
            <sz val="9"/>
            <color indexed="81"/>
            <rFont val="Segoe UI"/>
            <family val="2"/>
          </rPr>
          <t xml:space="preserve"> Fonte: USEPA, (2004). Section 11.19.2 . Table 11.19.2-1 = No data available, but emission factors for PM-10 for tertiary crushers can be used as an upper limit for
primary or secondary crushing.</t>
        </r>
      </text>
    </comment>
    <comment ref="E2" authorId="0" shapeId="0">
      <text>
        <r>
          <rPr>
            <sz val="9"/>
            <color indexed="81"/>
            <rFont val="Segoe UI"/>
            <family val="2"/>
          </rPr>
          <t xml:space="preserve">Fonte: NDEP (2017)
https://ndep.nv.gov/uploads/air-permitting-docs/ndep-mining-emissions-guidance.pdf.
Tertiary Crushing Emission Factor is utilized as a
conservative estimate because there is no Primary and Secondary Crushing Emission Factor. </t>
        </r>
      </text>
    </comment>
    <comment ref="E3" authorId="0" shapeId="0">
      <text>
        <r>
          <rPr>
            <sz val="9"/>
            <color indexed="81"/>
            <rFont val="Segoe UI"/>
            <family val="2"/>
          </rPr>
          <t>Considerada a mesma relação PM2.5/PM10 para o fator de "Tertiary Crushing (controlled)"</t>
        </r>
      </text>
    </comment>
    <comment ref="D8" authorId="0" shapeId="0">
      <text>
        <r>
          <rPr>
            <sz val="9"/>
            <color indexed="81"/>
            <rFont val="Segoe UI"/>
            <family val="2"/>
          </rPr>
          <t>Considerada a mesma relação PM10/PM para o fator de Screening (controlled) do 11.19-2 Crushed Stone Processing and Pulverized Mineral Processing</t>
        </r>
      </text>
    </comment>
    <comment ref="E8" authorId="0" shapeId="0">
      <text>
        <r>
          <rPr>
            <sz val="9"/>
            <color indexed="81"/>
            <rFont val="Segoe UI"/>
            <family val="2"/>
          </rPr>
          <t>Considerada a mesma relação PM2.5/PM para o fator de Screening (controlled) do 11.19-2 Crushed Stone Processing and Pulverized Mineral Processing</t>
        </r>
      </text>
    </comment>
    <comment ref="A9" authorId="0" shapeId="0">
      <text>
        <r>
          <rPr>
            <sz val="9"/>
            <color indexed="81"/>
            <rFont val="Segoe UI"/>
            <family val="2"/>
          </rPr>
          <t xml:space="preserve">Como não existe fator específico para peneiramento de carvão e minério de ferro, foi considerado o fator da Seção 11.19.2 da AP42
</t>
        </r>
      </text>
    </comment>
    <comment ref="E9" authorId="0" shapeId="0">
      <text>
        <r>
          <rPr>
            <sz val="9"/>
            <color indexed="81"/>
            <rFont val="Segoe UI"/>
            <family val="2"/>
          </rPr>
          <t>Considerada mesma relação PM2.5/P10 do Sreening (controlled)</t>
        </r>
      </text>
    </comment>
  </commentList>
</comments>
</file>

<file path=xl/comments6.xml><?xml version="1.0" encoding="utf-8"?>
<comments xmlns="http://schemas.openxmlformats.org/spreadsheetml/2006/main">
  <authors>
    <author>Gabriel Aarão Gonçalves</author>
    <author>Alinie Rossi dos Santos</author>
    <author>Vanessa Brusco Filete</author>
  </authors>
  <commentList>
    <comment ref="G2" authorId="0" shapeId="0">
      <text>
        <r>
          <rPr>
            <sz val="9"/>
            <color indexed="81"/>
            <rFont val="Segoe UI"/>
            <family val="2"/>
          </rPr>
          <t xml:space="preserve">Multiplicação por 2 pois foi considerado um percurso de ida e volta do caminhão
</t>
        </r>
      </text>
    </comment>
    <comment ref="H2" authorId="1" shapeId="0">
      <text>
        <r>
          <rPr>
            <sz val="9"/>
            <color indexed="81"/>
            <rFont val="Segoe UI"/>
            <family val="2"/>
          </rPr>
          <t>USEPA (2006) - Unpaved Roads. Table 13.2.2-1 - Western Surface Coal Mining.  Visto que o material que apresenta maior quantidade movimentada é o carvão.</t>
        </r>
      </text>
    </comment>
    <comment ref="I2" authorId="1" shapeId="0">
      <text>
        <r>
          <rPr>
            <sz val="9"/>
            <color indexed="81"/>
            <rFont val="Segoe UI"/>
            <family val="2"/>
          </rPr>
          <t>Como não foi informado pelo empreendimento, considerado peso médio de um caminhão caçamba/basculante.
http://www1.dnit.gov.br/Pesagem/sis_sgpv/QFV/QFV%202008%20Divulga%C3%A7%C3%A3o.pdf</t>
        </r>
      </text>
    </comment>
    <comment ref="J2" authorId="1" shapeId="0">
      <text>
        <r>
          <rPr>
            <sz val="9"/>
            <color indexed="81"/>
            <rFont val="Segoe UI"/>
            <family val="2"/>
          </rPr>
          <t>Informado pela empresa que ocorre umectação das vias varia de 1 a 5 vezes ao dia.</t>
        </r>
      </text>
    </comment>
    <comment ref="K2" authorId="1" shapeId="0">
      <text>
        <r>
          <rPr>
            <sz val="9"/>
            <color indexed="81"/>
            <rFont val="Segoe UI"/>
            <family val="2"/>
          </rPr>
          <t>WRAP (2006) - Fugitive Dust Handbook</t>
        </r>
      </text>
    </comment>
    <comment ref="U3" authorId="2" shapeId="0">
      <text>
        <r>
          <rPr>
            <sz val="9"/>
            <color indexed="81"/>
            <rFont val="Segoe UI"/>
            <family val="2"/>
          </rPr>
          <t xml:space="preserve">Fora considerado o Fator de Emissão de HCT, devido à ausência de fator específico para VOC.
</t>
        </r>
      </text>
    </comment>
  </commentList>
</comments>
</file>

<file path=xl/sharedStrings.xml><?xml version="1.0" encoding="utf-8"?>
<sst xmlns="http://schemas.openxmlformats.org/spreadsheetml/2006/main" count="293" uniqueCount="186">
  <si>
    <t>Fonte Emissora</t>
  </si>
  <si>
    <t>Taxa de Emissão [kg/h]</t>
  </si>
  <si>
    <t>PM</t>
  </si>
  <si>
    <r>
      <t>PM</t>
    </r>
    <r>
      <rPr>
        <b/>
        <vertAlign val="subscript"/>
        <sz val="8"/>
        <color theme="0"/>
        <rFont val="Arial"/>
        <family val="2"/>
      </rPr>
      <t>10</t>
    </r>
  </si>
  <si>
    <t>CO</t>
  </si>
  <si>
    <r>
      <t>NO</t>
    </r>
    <r>
      <rPr>
        <b/>
        <vertAlign val="subscript"/>
        <sz val="8"/>
        <color theme="0"/>
        <rFont val="Arial"/>
        <family val="2"/>
      </rPr>
      <t>X</t>
    </r>
  </si>
  <si>
    <r>
      <t>SO</t>
    </r>
    <r>
      <rPr>
        <b/>
        <vertAlign val="subscript"/>
        <sz val="8"/>
        <color theme="0"/>
        <rFont val="Arial"/>
        <family val="2"/>
      </rPr>
      <t>2</t>
    </r>
  </si>
  <si>
    <t>Equipment</t>
  </si>
  <si>
    <t>MaxHP</t>
  </si>
  <si>
    <t>PM [kg/h]</t>
  </si>
  <si>
    <r>
      <t>NO</t>
    </r>
    <r>
      <rPr>
        <vertAlign val="subscript"/>
        <sz val="8"/>
        <rFont val="Arial"/>
        <family val="2"/>
      </rPr>
      <t>X</t>
    </r>
    <r>
      <rPr>
        <sz val="8"/>
        <rFont val="Arial"/>
        <family val="2"/>
      </rPr>
      <t xml:space="preserve"> [kg/h]</t>
    </r>
  </si>
  <si>
    <r>
      <t>SO</t>
    </r>
    <r>
      <rPr>
        <vertAlign val="subscript"/>
        <sz val="8"/>
        <rFont val="Arial"/>
        <family val="2"/>
      </rPr>
      <t>X</t>
    </r>
    <r>
      <rPr>
        <sz val="8"/>
        <rFont val="Arial"/>
        <family val="2"/>
      </rPr>
      <t xml:space="preserve"> [kg/h]</t>
    </r>
  </si>
  <si>
    <t>CO [kg/h]</t>
  </si>
  <si>
    <t>ROG [kg/h]</t>
  </si>
  <si>
    <r>
      <t>CO</t>
    </r>
    <r>
      <rPr>
        <vertAlign val="subscript"/>
        <sz val="8"/>
        <rFont val="Arial"/>
        <family val="2"/>
      </rPr>
      <t xml:space="preserve">2 </t>
    </r>
    <r>
      <rPr>
        <sz val="8"/>
        <rFont val="Arial"/>
        <family val="2"/>
      </rPr>
      <t>[kg/h]</t>
    </r>
  </si>
  <si>
    <r>
      <t>CH</t>
    </r>
    <r>
      <rPr>
        <vertAlign val="subscript"/>
        <sz val="8"/>
        <rFont val="Arial"/>
        <family val="2"/>
      </rPr>
      <t>4</t>
    </r>
    <r>
      <rPr>
        <sz val="8"/>
        <rFont val="Arial"/>
        <family val="2"/>
      </rPr>
      <t xml:space="preserve"> [kg/h]</t>
    </r>
  </si>
  <si>
    <t>Potência [hp]</t>
  </si>
  <si>
    <t>Equipamento [hp]</t>
  </si>
  <si>
    <t>Quantidade</t>
  </si>
  <si>
    <t>Horas/dia</t>
  </si>
  <si>
    <r>
      <t>PM</t>
    </r>
    <r>
      <rPr>
        <b/>
        <vertAlign val="subscript"/>
        <sz val="8"/>
        <color theme="0"/>
        <rFont val="Arial"/>
        <family val="2"/>
      </rPr>
      <t>2.5</t>
    </r>
  </si>
  <si>
    <t>Equação Geral:</t>
  </si>
  <si>
    <t>Onde:
E - emissão (lb/dia)
n - número de equipamentos de cada categoria
H - número de horas diárias de operação do equipamento
EF - fator de emissão (lb/h)</t>
  </si>
  <si>
    <t>Referência: AQMD (2016) - http://www.aqmd.gov/home/regulations/ceqa/air-quality-analysis-handbook/off-road-mobile-source-emission-factors</t>
  </si>
  <si>
    <t>Tipo</t>
  </si>
  <si>
    <t>Pá Carregadeira</t>
  </si>
  <si>
    <t xml:space="preserve">PM </t>
  </si>
  <si>
    <r>
      <t>PM</t>
    </r>
    <r>
      <rPr>
        <vertAlign val="subscript"/>
        <sz val="8"/>
        <color theme="1"/>
        <rFont val="Arial"/>
        <family val="2"/>
      </rPr>
      <t>10</t>
    </r>
  </si>
  <si>
    <r>
      <t>PM</t>
    </r>
    <r>
      <rPr>
        <vertAlign val="subscript"/>
        <sz val="8"/>
        <color theme="1"/>
        <rFont val="Arial"/>
        <family val="2"/>
      </rPr>
      <t>2,5</t>
    </r>
  </si>
  <si>
    <t>Aerodynamic Particle Size Multiplier (k)</t>
  </si>
  <si>
    <t>Onde:
E - emissão (kg/t)
k -constante de tamanho das partículas com diâmetro aerodinâmico ≤ i μm
U - velocidade do vento (m/s)
M - teor de umidade do material (%)</t>
  </si>
  <si>
    <t>Fonte: USEPA (2006) - https://www3.epa.gov/ttn/chief/ap42/ch13/final/c13s0204.pdf</t>
  </si>
  <si>
    <t>Velocidade do Vento (m/s)</t>
  </si>
  <si>
    <t xml:space="preserve">Fonte Emissora </t>
  </si>
  <si>
    <t>Não Pavimentada</t>
  </si>
  <si>
    <t>Fonte: USEPA (2006) https://www3.epa.gov/ttn/chief/ap42/ch13/final/c13s0202.pdf</t>
  </si>
  <si>
    <t>AP42 - 13.2.2 Unpaved Roads</t>
  </si>
  <si>
    <t>Table 13.2.2-2 Constants for Equations 1a and 1b</t>
  </si>
  <si>
    <t>Constant</t>
  </si>
  <si>
    <t>Industrial Roads (Equation 1a)</t>
  </si>
  <si>
    <t>PM2.5</t>
  </si>
  <si>
    <t>PM10</t>
  </si>
  <si>
    <t>PM30</t>
  </si>
  <si>
    <t>k (lb/VMT)</t>
  </si>
  <si>
    <t>a</t>
  </si>
  <si>
    <t>b</t>
  </si>
  <si>
    <t>1 lb/VMT</t>
  </si>
  <si>
    <t>g/VKT</t>
  </si>
  <si>
    <r>
      <t>PM</t>
    </r>
    <r>
      <rPr>
        <b/>
        <vertAlign val="subscript"/>
        <sz val="8"/>
        <color theme="0"/>
        <rFont val="Arial"/>
        <family val="2"/>
      </rPr>
      <t>10</t>
    </r>
    <r>
      <rPr>
        <b/>
        <sz val="8"/>
        <color theme="0"/>
        <rFont val="Arial"/>
        <family val="2"/>
      </rPr>
      <t xml:space="preserve"> </t>
    </r>
  </si>
  <si>
    <r>
      <t>PM</t>
    </r>
    <r>
      <rPr>
        <b/>
        <vertAlign val="subscript"/>
        <sz val="8"/>
        <color theme="0"/>
        <rFont val="Arial"/>
        <family val="2"/>
      </rPr>
      <t>2,5</t>
    </r>
    <r>
      <rPr>
        <b/>
        <sz val="8"/>
        <color theme="0"/>
        <rFont val="Arial"/>
        <family val="2"/>
      </rPr>
      <t xml:space="preserve"> </t>
    </r>
  </si>
  <si>
    <t>Ano 2015</t>
  </si>
  <si>
    <t xml:space="preserve">Mês </t>
  </si>
  <si>
    <t>Precipitação Acumulada (mm)</t>
  </si>
  <si>
    <t>Número de Dias com Precipitação &gt; 0,254 mm</t>
  </si>
  <si>
    <t>N° dias no mês</t>
  </si>
  <si>
    <t>Fator de Ajuste</t>
  </si>
  <si>
    <t>Jan</t>
  </si>
  <si>
    <t>Fev</t>
  </si>
  <si>
    <t>Mar</t>
  </si>
  <si>
    <t>Abr</t>
  </si>
  <si>
    <t>Mai</t>
  </si>
  <si>
    <t>Jun</t>
  </si>
  <si>
    <t>Jul</t>
  </si>
  <si>
    <t>Ago</t>
  </si>
  <si>
    <t>Set</t>
  </si>
  <si>
    <t>Out</t>
  </si>
  <si>
    <t>Nov</t>
  </si>
  <si>
    <t>Dez</t>
  </si>
  <si>
    <t>Fator Ajuste:</t>
  </si>
  <si>
    <t>Onde:
FE - fator de emissão de material particulado (g/km)
k - constante de tamanho da partícula (g/VKT)
sL - teor de silt na superfície de rodagem (%)
W - peso médio dos veículos que trafegam na via (t)
P - número de dias onde a precipitação durante o período observado foi no mínimo 0,254 mm</t>
  </si>
  <si>
    <t>Classe de Veículo</t>
  </si>
  <si>
    <t>Fator de emissão médio da frota veicular da RGV [g/km]</t>
  </si>
  <si>
    <t>Escapamento</t>
  </si>
  <si>
    <t>HCT</t>
  </si>
  <si>
    <t>Veículos Pesados</t>
  </si>
  <si>
    <r>
      <t>PM</t>
    </r>
    <r>
      <rPr>
        <vertAlign val="subscript"/>
        <sz val="8"/>
        <color theme="1"/>
        <rFont val="Arial"/>
        <family val="2"/>
      </rPr>
      <t>25</t>
    </r>
  </si>
  <si>
    <r>
      <t>NO</t>
    </r>
    <r>
      <rPr>
        <vertAlign val="subscript"/>
        <sz val="8"/>
        <color theme="1"/>
        <rFont val="Arial"/>
        <family val="2"/>
      </rPr>
      <t>X</t>
    </r>
  </si>
  <si>
    <r>
      <t>SO</t>
    </r>
    <r>
      <rPr>
        <vertAlign val="subscript"/>
        <sz val="8"/>
        <color theme="1"/>
        <rFont val="Arial"/>
        <family val="2"/>
      </rPr>
      <t>2</t>
    </r>
  </si>
  <si>
    <t>Source</t>
  </si>
  <si>
    <t>Screening</t>
  </si>
  <si>
    <t>ND</t>
  </si>
  <si>
    <t>Controle</t>
  </si>
  <si>
    <r>
      <t>PM</t>
    </r>
    <r>
      <rPr>
        <vertAlign val="subscript"/>
        <sz val="8"/>
        <color theme="1"/>
        <rFont val="Arial"/>
        <family val="2"/>
      </rPr>
      <t>2.5</t>
    </r>
  </si>
  <si>
    <t>Transferências</t>
  </si>
  <si>
    <t>Fonte: USEPA (2004) https://www3.epa.gov/ttn/chief/ap42/ch11/final/c11s1902.pdf</t>
  </si>
  <si>
    <t>AP42 - 11.19.2  Crushed Stone Processing and Pulverized Mineral Processing</t>
  </si>
  <si>
    <t xml:space="preserve"> Table 11.19.2-1 Emission Factors for Crushed Stone Processing Operations (kg/Mg)</t>
  </si>
  <si>
    <t xml:space="preserve">Tertiary Crushing </t>
  </si>
  <si>
    <t>Tertiary Crushing (Controlled)</t>
  </si>
  <si>
    <t>Screnning (Controlled)</t>
  </si>
  <si>
    <r>
      <t>PM</t>
    </r>
    <r>
      <rPr>
        <b/>
        <vertAlign val="subscript"/>
        <sz val="8"/>
        <color theme="0"/>
        <rFont val="Arial"/>
        <family val="2"/>
      </rPr>
      <t xml:space="preserve">2,5 </t>
    </r>
  </si>
  <si>
    <t>Emission Factor Rating</t>
  </si>
  <si>
    <t>E</t>
  </si>
  <si>
    <t>C</t>
  </si>
  <si>
    <t>Umectação</t>
  </si>
  <si>
    <t>Via Trecho 1</t>
  </si>
  <si>
    <t>Via Trecho 2</t>
  </si>
  <si>
    <t>Via Trecho 3</t>
  </si>
  <si>
    <t>Máquinas e Equipamentos</t>
  </si>
  <si>
    <t>Britagem e Peneiramento</t>
  </si>
  <si>
    <t>Vias de Tráfego</t>
  </si>
  <si>
    <t>Erosão Eólica</t>
  </si>
  <si>
    <t>Fontes Emissoras</t>
  </si>
  <si>
    <t>Total</t>
  </si>
  <si>
    <t>-</t>
  </si>
  <si>
    <t>Equipamento</t>
  </si>
  <si>
    <t>Marca</t>
  </si>
  <si>
    <t>Modelo</t>
  </si>
  <si>
    <t>Ano</t>
  </si>
  <si>
    <t>Sistemas de Controle</t>
  </si>
  <si>
    <t xml:space="preserve">Umectação das vias </t>
  </si>
  <si>
    <t>Diariamente</t>
  </si>
  <si>
    <t>Material</t>
  </si>
  <si>
    <t>Minério de Ferro</t>
  </si>
  <si>
    <t>L90F</t>
  </si>
  <si>
    <t>Volvo</t>
  </si>
  <si>
    <t>TR - Caminhão / Pátio de Estocagem (carvão mineral)</t>
  </si>
  <si>
    <t>TR - Caminhão / Pátio de Estocagem (minério de ferro)</t>
  </si>
  <si>
    <t>TR - Peneiramento (carvão mineral)</t>
  </si>
  <si>
    <t>TR - Peneiramento (minério de ferro)</t>
  </si>
  <si>
    <t>TR - Carregamento Caminhão (carvão mineral)</t>
  </si>
  <si>
    <t>TR - Carregamento Caminhão (minério de ferro)</t>
  </si>
  <si>
    <t>Carvão mineral</t>
  </si>
  <si>
    <t>Coque</t>
  </si>
  <si>
    <t>Tráfego de Veículos</t>
  </si>
  <si>
    <t xml:space="preserve">Número de caminhões por dia </t>
  </si>
  <si>
    <t>L70F</t>
  </si>
  <si>
    <t>2008 e 2010</t>
  </si>
  <si>
    <t>Rubber Tired Loader 
(Pá Carrregadeira) - ano 2008</t>
  </si>
  <si>
    <t>Rubber Tired Loader 
(Pá Carrregadeira) - ano 2010</t>
  </si>
  <si>
    <t>Rubber Tired Loader - 25 (2008)</t>
  </si>
  <si>
    <t>Rubber Tired Loader - 50 (2008)</t>
  </si>
  <si>
    <t>Rubber Tired Loader - 120 (2008)</t>
  </si>
  <si>
    <t>Rubber Tired Loader - 175 (2008)</t>
  </si>
  <si>
    <t>Rubber Tired Loader - 250 (2008)</t>
  </si>
  <si>
    <t>Rubber Tired Loader - 500 (2008)</t>
  </si>
  <si>
    <t>Rubber Tired Loader - 750 (2008)</t>
  </si>
  <si>
    <t>Rubber Tired Loader - 1000 (2008)</t>
  </si>
  <si>
    <t>Rubber Tired Loader - 25 (2010)</t>
  </si>
  <si>
    <t>Rubber Tired Loader - 50 (2010)</t>
  </si>
  <si>
    <t>Rubber Tired Loader - 120 (2010)</t>
  </si>
  <si>
    <t>Rubber Tired Loader - 175 (2010)</t>
  </si>
  <si>
    <t>Rubber Tired Loader - 250 (2010)</t>
  </si>
  <si>
    <t>Rubber Tired Loader - 500 (2010)</t>
  </si>
  <si>
    <t>Rubber Tired Loader - 750 (2010)</t>
  </si>
  <si>
    <t>Rubber Tired Loader - 1000 (2010)</t>
  </si>
  <si>
    <t>Horas trabalhadas (h/dia)</t>
  </si>
  <si>
    <t>Quantidade Peneirado (t)</t>
  </si>
  <si>
    <t>Quantidade Britado (t)</t>
  </si>
  <si>
    <t>TR - Caminhão / Pátio de Estocagem (coque)</t>
  </si>
  <si>
    <t>TR - Peneiramento (coque)</t>
  </si>
  <si>
    <t>TR - Carregamento Caminhão (coque)</t>
  </si>
  <si>
    <t>PM2,5</t>
  </si>
  <si>
    <t>Estoque 2014 (t)</t>
  </si>
  <si>
    <t>Entrada 2015 (t)</t>
  </si>
  <si>
    <t>Saída 2015 (t)</t>
  </si>
  <si>
    <t>Estoque 2015 (t)</t>
  </si>
  <si>
    <t xml:space="preserve">BRT - Britador </t>
  </si>
  <si>
    <t>AP42 - 12.2 Coke Production</t>
  </si>
  <si>
    <t>Coke Screening</t>
  </si>
  <si>
    <t>PEN - Peneiramento Coque</t>
  </si>
  <si>
    <t xml:space="preserve">PEN - Peneiramento Carvão e Minério de Ferro </t>
  </si>
  <si>
    <t>TR - Britador (coque)</t>
  </si>
  <si>
    <r>
      <t>Table 12.2-18 EMISSION FACTORS FOR MISCELLANEOUS COKE PRODUCTION SOURCES (kg/Mg)</t>
    </r>
    <r>
      <rPr>
        <vertAlign val="superscript"/>
        <sz val="8"/>
        <color theme="1"/>
        <rFont val="Arial"/>
        <family val="2"/>
      </rPr>
      <t>a</t>
    </r>
  </si>
  <si>
    <r>
      <rPr>
        <vertAlign val="superscript"/>
        <sz val="8"/>
        <color theme="1"/>
        <rFont val="Arial"/>
        <family val="2"/>
      </rPr>
      <t>a</t>
    </r>
    <r>
      <rPr>
        <sz val="8"/>
        <color theme="1"/>
        <rFont val="Arial"/>
        <family val="2"/>
      </rPr>
      <t xml:space="preserve"> Emission factor units are kg/Mg of coal charged. SCC = Source Classification Code. [Note: Emissions from material transfers between conveyors and from screening and crushing operations thst are controlled by wet suppression techniques can be estimated using the procedures in Section 11.19.2. Emissions from material loading and unloading can be estimated using the procedures in Section 13.2.4.]</t>
    </r>
  </si>
  <si>
    <t>Fonte: https://www3.epa.gov/ttn/chief/ap42/ch12/final/c12s02_may08.pdf</t>
  </si>
  <si>
    <t>Movimentação material [t/h]</t>
  </si>
  <si>
    <t>Umidade do Material [%]</t>
  </si>
  <si>
    <t>Fator de Emissão [kg/t]</t>
  </si>
  <si>
    <t>Quantidade Movimentada [t/h]</t>
  </si>
  <si>
    <t>Comprimento [m]</t>
  </si>
  <si>
    <t>Nº de Caminhões por Hora [h-1]</t>
  </si>
  <si>
    <t>DMT  [km/h]</t>
  </si>
  <si>
    <t>Teor de Silte [%]</t>
  </si>
  <si>
    <t>Peso Médio dos Caminhões [t]</t>
  </si>
  <si>
    <t>Eficiência de Controle [%]</t>
  </si>
  <si>
    <t>Fator de Emissão - Ressuspensão [kg/VKT]</t>
  </si>
  <si>
    <t>Fator de Emissão - Gases Escapamento [kg/km]</t>
  </si>
  <si>
    <t>TOTAL</t>
  </si>
  <si>
    <t>TOTAL (BRITAGEM)</t>
  </si>
  <si>
    <t>TOTAL (PENEIRAMENTO)</t>
  </si>
  <si>
    <t>Fonte: Informações fornecidos pelo empreendimento à solicitação através do Ofício N° 055/2017</t>
  </si>
  <si>
    <t>VOC</t>
  </si>
  <si>
    <t>Latitude [º]</t>
  </si>
  <si>
    <t>Longitude [º]</t>
  </si>
  <si>
    <t>Nota: "Erosão Eólica" foi calculada na Planilha: Memorial_Unibrás_Erosao_Eolica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</si>
</sst>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 #,##0.00_-;_-* &quot;-&quot;??_-;_-@_-"/>
    <numFmt numFmtId="164" formatCode="0.0000"/>
    <numFmt numFmtId="165" formatCode="0.00000"/>
    <numFmt numFmtId="166" formatCode="0.0"/>
    <numFmt numFmtId="167" formatCode="0.000"/>
    <numFmt numFmtId="168" formatCode="[&gt;=0.005]\ #,##0.00;[&lt;0.005]&quot;&lt;0,01&quot;"/>
    <numFmt numFmtId="169" formatCode="#,##0.00000"/>
    <numFmt numFmtId="170" formatCode="0.00000000"/>
    <numFmt numFmtId="171" formatCode="#,##0.0"/>
    <numFmt numFmtId="172" formatCode="#,##0.00_ ;\-#,##0.00\ "/>
    <numFmt numFmtId="173" formatCode="0.000000"/>
    <numFmt numFmtId="174" formatCode="#,##0_ ;\-#,##0\ "/>
  </numFmts>
  <fonts count="17" x14ac:knownFonts="1">
    <font>
      <sz val="11"/>
      <color theme="1"/>
      <name val="Calibri"/>
      <family val="2"/>
      <scheme val="minor"/>
    </font>
    <font>
      <sz val="8"/>
      <color theme="1"/>
      <name val="Arial"/>
      <family val="2"/>
    </font>
    <font>
      <b/>
      <sz val="8"/>
      <color theme="1"/>
      <name val="Arial"/>
      <family val="2"/>
    </font>
    <font>
      <vertAlign val="subscript"/>
      <sz val="8"/>
      <color theme="1"/>
      <name val="Arial"/>
      <family val="2"/>
    </font>
    <font>
      <sz val="9"/>
      <color indexed="81"/>
      <name val="Segoe UI"/>
      <family val="2"/>
    </font>
    <font>
      <b/>
      <sz val="8"/>
      <color theme="0"/>
      <name val="Arial"/>
      <family val="2"/>
    </font>
    <font>
      <b/>
      <vertAlign val="subscript"/>
      <sz val="8"/>
      <color theme="0"/>
      <name val="Arial"/>
      <family val="2"/>
    </font>
    <font>
      <sz val="8"/>
      <name val="Arial"/>
      <family val="2"/>
    </font>
    <font>
      <sz val="8"/>
      <color rgb="FFFF0000"/>
      <name val="Arial"/>
      <family val="2"/>
    </font>
    <font>
      <vertAlign val="subscript"/>
      <sz val="8"/>
      <name val="Arial"/>
      <family val="2"/>
    </font>
    <font>
      <b/>
      <i/>
      <sz val="8"/>
      <color theme="1"/>
      <name val="Arial"/>
      <family val="2"/>
    </font>
    <font>
      <b/>
      <sz val="8"/>
      <name val="Arial"/>
      <family val="2"/>
    </font>
    <font>
      <sz val="8"/>
      <color theme="0"/>
      <name val="Arial"/>
      <family val="2"/>
    </font>
    <font>
      <sz val="10"/>
      <name val="Arial"/>
      <family val="2"/>
    </font>
    <font>
      <b/>
      <sz val="9"/>
      <color indexed="81"/>
      <name val="Segoe UI"/>
      <family val="2"/>
    </font>
    <font>
      <sz val="11"/>
      <color theme="1"/>
      <name val="Calibri"/>
      <family val="2"/>
      <scheme val="minor"/>
    </font>
    <font>
      <vertAlign val="superscript"/>
      <sz val="8"/>
      <color theme="1"/>
      <name val="Arial"/>
      <family val="2"/>
    </font>
  </fonts>
  <fills count="5">
    <fill>
      <patternFill patternType="none"/>
    </fill>
    <fill>
      <patternFill patternType="gray125"/>
    </fill>
    <fill>
      <patternFill patternType="solid">
        <fgColor rgb="FF4F81BD"/>
        <bgColor indexed="64"/>
      </patternFill>
    </fill>
    <fill>
      <patternFill patternType="solid">
        <fgColor rgb="FFDCE6F1"/>
        <bgColor indexed="64"/>
      </patternFill>
    </fill>
    <fill>
      <patternFill patternType="solid">
        <fgColor theme="0"/>
        <bgColor indexed="64"/>
      </patternFill>
    </fill>
  </fills>
  <borders count="23">
    <border>
      <left/>
      <right/>
      <top/>
      <bottom/>
      <diagonal/>
    </border>
    <border>
      <left style="thin">
        <color rgb="FFD9D9D9"/>
      </left>
      <right style="thin">
        <color rgb="FFD9D9D9"/>
      </right>
      <top style="thin">
        <color rgb="FFD9D9D9"/>
      </top>
      <bottom style="thin">
        <color rgb="FFD9D9D9"/>
      </bottom>
      <diagonal/>
    </border>
    <border>
      <left style="thin">
        <color theme="0"/>
      </left>
      <right style="thin">
        <color theme="0"/>
      </right>
      <top style="thin">
        <color theme="0"/>
      </top>
      <bottom style="thin">
        <color theme="0"/>
      </bottom>
      <diagonal/>
    </border>
    <border>
      <left style="thin">
        <color rgb="FFD9D9D9"/>
      </left>
      <right/>
      <top/>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style="thin">
        <color rgb="FFD9D9D9"/>
      </left>
      <right style="thin">
        <color rgb="FFD9D9D9"/>
      </right>
      <top/>
      <bottom style="thin">
        <color rgb="FFD9D9D9"/>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style="thin">
        <color rgb="FFD9D9D9"/>
      </left>
      <right/>
      <top/>
      <bottom style="thin">
        <color rgb="FFD9D9D9"/>
      </bottom>
      <diagonal/>
    </border>
    <border>
      <left/>
      <right/>
      <top/>
      <bottom style="thin">
        <color rgb="FFD9D9D9"/>
      </bottom>
      <diagonal/>
    </border>
    <border>
      <left style="thin">
        <color rgb="FFD9D9D9"/>
      </left>
      <right style="thin">
        <color rgb="FFD9D9D9"/>
      </right>
      <top/>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bottom style="thin">
        <color theme="0"/>
      </bottom>
      <diagonal/>
    </border>
    <border>
      <left style="thin">
        <color rgb="FFD9D9D9"/>
      </left>
      <right/>
      <top style="thin">
        <color rgb="FFD9D9D9"/>
      </top>
      <bottom/>
      <diagonal/>
    </border>
    <border>
      <left/>
      <right style="thin">
        <color rgb="FFD9D9D9"/>
      </right>
      <top style="thin">
        <color rgb="FFD9D9D9"/>
      </top>
      <bottom/>
      <diagonal/>
    </border>
    <border>
      <left/>
      <right style="thin">
        <color rgb="FFD9D9D9"/>
      </right>
      <top/>
      <bottom/>
      <diagonal/>
    </border>
    <border>
      <left/>
      <right style="thin">
        <color rgb="FFD9D9D9"/>
      </right>
      <top/>
      <bottom style="thin">
        <color rgb="FFD9D9D9"/>
      </bottom>
      <diagonal/>
    </border>
    <border>
      <left/>
      <right/>
      <top style="thin">
        <color rgb="FFD9D9D9"/>
      </top>
      <bottom/>
      <diagonal/>
    </border>
    <border>
      <left/>
      <right style="thin">
        <color theme="0"/>
      </right>
      <top/>
      <bottom/>
      <diagonal/>
    </border>
    <border>
      <left style="thin">
        <color rgb="FFDEDAC4"/>
      </left>
      <right style="thin">
        <color rgb="FFDEDAC4"/>
      </right>
      <top style="thin">
        <color rgb="FFDEDAC4"/>
      </top>
      <bottom style="thin">
        <color rgb="FFDEDAC4"/>
      </bottom>
      <diagonal/>
    </border>
  </borders>
  <cellStyleXfs count="3">
    <xf numFmtId="0" fontId="0" fillId="0" borderId="0"/>
    <xf numFmtId="0" fontId="13" fillId="0" borderId="0"/>
    <xf numFmtId="43" fontId="15" fillId="0" borderId="0" applyFont="0" applyFill="0" applyBorder="0" applyAlignment="0" applyProtection="0"/>
  </cellStyleXfs>
  <cellXfs count="167">
    <xf numFmtId="0" fontId="0" fillId="0" borderId="0" xfId="0"/>
    <xf numFmtId="0" fontId="1" fillId="0" borderId="0" xfId="0" applyFont="1"/>
    <xf numFmtId="0" fontId="1" fillId="0" borderId="0" xfId="0" applyFont="1" applyAlignment="1">
      <alignment vertical="center"/>
    </xf>
    <xf numFmtId="0" fontId="1" fillId="0" borderId="0" xfId="0" applyFont="1" applyFill="1" applyAlignment="1">
      <alignment vertical="center"/>
    </xf>
    <xf numFmtId="0" fontId="1" fillId="0" borderId="1" xfId="0" applyFont="1" applyBorder="1" applyAlignment="1">
      <alignment vertical="center"/>
    </xf>
    <xf numFmtId="0" fontId="5" fillId="2" borderId="2" xfId="0" applyFont="1" applyFill="1" applyBorder="1" applyAlignment="1">
      <alignment horizontal="center" vertical="center"/>
    </xf>
    <xf numFmtId="0" fontId="1" fillId="0" borderId="0" xfId="0" applyFont="1" applyFill="1" applyAlignment="1">
      <alignment horizontal="center" vertical="center"/>
    </xf>
    <xf numFmtId="0" fontId="1" fillId="3" borderId="1" xfId="0" applyFont="1" applyFill="1" applyBorder="1" applyAlignment="1">
      <alignment horizontal="center" vertical="center"/>
    </xf>
    <xf numFmtId="2" fontId="1" fillId="0" borderId="0" xfId="0" applyNumberFormat="1" applyFont="1" applyAlignment="1">
      <alignment horizontal="center" vertical="center"/>
    </xf>
    <xf numFmtId="2" fontId="1" fillId="0" borderId="0" xfId="0" applyNumberFormat="1" applyFont="1" applyAlignment="1">
      <alignment horizontal="center"/>
    </xf>
    <xf numFmtId="167" fontId="1" fillId="0" borderId="0" xfId="0" applyNumberFormat="1" applyFont="1" applyAlignment="1">
      <alignment horizontal="center"/>
    </xf>
    <xf numFmtId="1" fontId="1" fillId="0" borderId="0" xfId="0" applyNumberFormat="1" applyFont="1" applyFill="1" applyAlignment="1">
      <alignment horizontal="center" vertical="center"/>
    </xf>
    <xf numFmtId="0" fontId="1" fillId="0" borderId="1" xfId="0" applyFont="1" applyBorder="1" applyAlignment="1">
      <alignment horizontal="left" vertical="center"/>
    </xf>
    <xf numFmtId="0" fontId="1" fillId="3" borderId="1" xfId="0" applyFont="1" applyFill="1" applyBorder="1" applyAlignment="1">
      <alignment horizontal="center" vertical="center"/>
    </xf>
    <xf numFmtId="0" fontId="1" fillId="0" borderId="0" xfId="0" applyFont="1" applyFill="1" applyBorder="1" applyAlignment="1">
      <alignment vertical="center"/>
    </xf>
    <xf numFmtId="164" fontId="1" fillId="0" borderId="0" xfId="0" applyNumberFormat="1" applyFont="1" applyAlignment="1">
      <alignment horizontal="center" vertical="center"/>
    </xf>
    <xf numFmtId="168" fontId="1" fillId="3" borderId="0" xfId="0" applyNumberFormat="1" applyFont="1" applyFill="1" applyAlignment="1">
      <alignment horizontal="center" vertical="center"/>
    </xf>
    <xf numFmtId="164" fontId="1" fillId="0" borderId="11" xfId="0" applyNumberFormat="1" applyFont="1" applyFill="1" applyBorder="1" applyAlignment="1">
      <alignment horizontal="left" vertical="center"/>
    </xf>
    <xf numFmtId="2" fontId="11" fillId="0" borderId="0" xfId="0" applyNumberFormat="1" applyFont="1" applyFill="1" applyBorder="1" applyAlignment="1">
      <alignment horizontal="center"/>
    </xf>
    <xf numFmtId="168" fontId="1" fillId="0" borderId="0" xfId="0" applyNumberFormat="1" applyFont="1" applyFill="1" applyAlignment="1">
      <alignment horizontal="center" vertical="center"/>
    </xf>
    <xf numFmtId="0" fontId="1" fillId="0" borderId="1" xfId="0" applyFont="1" applyFill="1" applyBorder="1" applyAlignment="1">
      <alignment vertical="center"/>
    </xf>
    <xf numFmtId="2" fontId="1" fillId="0" borderId="1" xfId="0" applyNumberFormat="1" applyFont="1" applyFill="1" applyBorder="1" applyAlignment="1">
      <alignment vertical="center"/>
    </xf>
    <xf numFmtId="0" fontId="1" fillId="4" borderId="16" xfId="0" applyFont="1" applyFill="1" applyBorder="1" applyAlignment="1"/>
    <xf numFmtId="0" fontId="1" fillId="4" borderId="20" xfId="0" applyFont="1" applyFill="1" applyBorder="1" applyAlignment="1"/>
    <xf numFmtId="0" fontId="1" fillId="4" borderId="3" xfId="0" applyFont="1" applyFill="1" applyBorder="1" applyAlignment="1"/>
    <xf numFmtId="0" fontId="1" fillId="4" borderId="0" xfId="0" applyFont="1" applyFill="1" applyBorder="1" applyAlignment="1"/>
    <xf numFmtId="0" fontId="1" fillId="4" borderId="9" xfId="0" applyFont="1" applyFill="1" applyBorder="1" applyAlignment="1"/>
    <xf numFmtId="0" fontId="1" fillId="4" borderId="10" xfId="0" applyFont="1" applyFill="1" applyBorder="1" applyAlignment="1"/>
    <xf numFmtId="0" fontId="1" fillId="4" borderId="1" xfId="0" applyFont="1" applyFill="1" applyBorder="1" applyAlignment="1"/>
    <xf numFmtId="0" fontId="1" fillId="4" borderId="1" xfId="0" applyFont="1" applyFill="1" applyBorder="1" applyAlignment="1">
      <alignment vertical="center" wrapText="1"/>
    </xf>
    <xf numFmtId="2" fontId="1" fillId="3" borderId="1" xfId="0" applyNumberFormat="1" applyFont="1" applyFill="1" applyBorder="1" applyAlignment="1">
      <alignment horizontal="center" vertical="center"/>
    </xf>
    <xf numFmtId="0" fontId="1" fillId="0" borderId="0" xfId="0" applyFont="1" applyAlignment="1">
      <alignment horizontal="center" vertical="center"/>
    </xf>
    <xf numFmtId="0" fontId="1" fillId="3" borderId="1" xfId="0" applyFont="1" applyFill="1" applyBorder="1" applyAlignment="1">
      <alignment vertical="center"/>
    </xf>
    <xf numFmtId="0" fontId="8" fillId="0" borderId="0" xfId="0" applyFont="1"/>
    <xf numFmtId="0" fontId="5" fillId="2" borderId="1" xfId="0" applyFont="1" applyFill="1" applyBorder="1" applyAlignment="1">
      <alignment horizontal="center" vertical="center"/>
    </xf>
    <xf numFmtId="0" fontId="1" fillId="0" borderId="0" xfId="0" applyFont="1" applyAlignment="1">
      <alignment horizontal="left" vertical="center"/>
    </xf>
    <xf numFmtId="0" fontId="1" fillId="0" borderId="0" xfId="0" applyFont="1" applyBorder="1" applyAlignment="1">
      <alignment horizontal="center" vertical="center"/>
    </xf>
    <xf numFmtId="0" fontId="1" fillId="0" borderId="0" xfId="0" applyFont="1" applyBorder="1" applyAlignment="1">
      <alignment vertical="center"/>
    </xf>
    <xf numFmtId="0" fontId="5" fillId="2" borderId="7" xfId="0" applyFont="1" applyFill="1" applyBorder="1" applyAlignment="1">
      <alignment horizontal="center" vertical="center"/>
    </xf>
    <xf numFmtId="168" fontId="1" fillId="0" borderId="1" xfId="0" applyNumberFormat="1" applyFont="1" applyFill="1" applyBorder="1" applyAlignment="1">
      <alignment horizontal="center" vertical="center"/>
    </xf>
    <xf numFmtId="0" fontId="1" fillId="0" borderId="0" xfId="0" applyFont="1" applyAlignment="1">
      <alignment horizontal="left" vertical="center"/>
    </xf>
    <xf numFmtId="0" fontId="1" fillId="3" borderId="1" xfId="0" applyFont="1" applyFill="1" applyBorder="1" applyAlignment="1">
      <alignment horizontal="center" vertical="center"/>
    </xf>
    <xf numFmtId="0" fontId="12" fillId="2" borderId="1" xfId="0" applyFont="1" applyFill="1" applyBorder="1" applyAlignment="1">
      <alignment horizontal="center" vertical="center"/>
    </xf>
    <xf numFmtId="0" fontId="1" fillId="0" borderId="1" xfId="0" applyFont="1" applyBorder="1" applyAlignment="1">
      <alignment horizontal="center" vertical="center"/>
    </xf>
    <xf numFmtId="2" fontId="1" fillId="0" borderId="1" xfId="0" applyNumberFormat="1" applyFont="1" applyFill="1" applyBorder="1" applyAlignment="1">
      <alignment horizontal="center" vertical="center"/>
    </xf>
    <xf numFmtId="166" fontId="1" fillId="0" borderId="1" xfId="0" applyNumberFormat="1" applyFont="1" applyBorder="1" applyAlignment="1">
      <alignment horizontal="center" vertical="center"/>
    </xf>
    <xf numFmtId="0" fontId="0" fillId="0" borderId="0" xfId="0" applyAlignment="1">
      <alignment horizontal="center"/>
    </xf>
    <xf numFmtId="0" fontId="1" fillId="0" borderId="1" xfId="0" applyFont="1" applyFill="1" applyBorder="1" applyAlignment="1">
      <alignment horizontal="center" vertical="center"/>
    </xf>
    <xf numFmtId="0" fontId="0" fillId="0" borderId="0" xfId="0" applyFill="1"/>
    <xf numFmtId="0" fontId="2" fillId="0" borderId="0" xfId="0" applyFont="1" applyAlignment="1">
      <alignment horizontal="center" vertical="center"/>
    </xf>
    <xf numFmtId="2" fontId="1" fillId="0" borderId="0" xfId="0" applyNumberFormat="1" applyFont="1" applyFill="1" applyAlignment="1">
      <alignment vertical="center"/>
    </xf>
    <xf numFmtId="0" fontId="5" fillId="2" borderId="1" xfId="0" applyFont="1" applyFill="1" applyBorder="1" applyAlignment="1">
      <alignment horizontal="center" vertical="center" wrapText="1"/>
    </xf>
    <xf numFmtId="0" fontId="2" fillId="0" borderId="0" xfId="0" applyFont="1" applyFill="1" applyBorder="1" applyAlignment="1">
      <alignment vertical="center"/>
    </xf>
    <xf numFmtId="0" fontId="1" fillId="0" borderId="1" xfId="0" applyFont="1" applyBorder="1" applyAlignment="1">
      <alignment horizontal="center" vertical="center"/>
    </xf>
    <xf numFmtId="4" fontId="1" fillId="0" borderId="1" xfId="0" applyNumberFormat="1"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2" fillId="0" borderId="0" xfId="0" applyFont="1" applyBorder="1" applyAlignment="1">
      <alignment horizontal="center" vertical="center"/>
    </xf>
    <xf numFmtId="0" fontId="1" fillId="0" borderId="1" xfId="0" applyFont="1" applyBorder="1" applyAlignment="1">
      <alignment horizontal="center" vertical="center"/>
    </xf>
    <xf numFmtId="0" fontId="5" fillId="2" borderId="1" xfId="0" applyFont="1" applyFill="1" applyBorder="1" applyAlignment="1">
      <alignment horizontal="center" vertical="center" wrapText="1"/>
    </xf>
    <xf numFmtId="0" fontId="1" fillId="0" borderId="20" xfId="0" applyFont="1" applyFill="1" applyBorder="1" applyAlignment="1">
      <alignment vertical="center"/>
    </xf>
    <xf numFmtId="0" fontId="1" fillId="0" borderId="1" xfId="0" applyFont="1" applyBorder="1" applyAlignment="1">
      <alignment horizontal="center" vertical="center"/>
    </xf>
    <xf numFmtId="0" fontId="8" fillId="0" borderId="0" xfId="0" applyFont="1" applyAlignment="1">
      <alignment horizontal="left" vertical="center"/>
    </xf>
    <xf numFmtId="164" fontId="1" fillId="0" borderId="1" xfId="0" applyNumberFormat="1" applyFont="1" applyFill="1" applyBorder="1" applyAlignment="1">
      <alignment horizontal="center" vertical="center"/>
    </xf>
    <xf numFmtId="0" fontId="2" fillId="0" borderId="6" xfId="0" applyFont="1" applyFill="1" applyBorder="1" applyAlignment="1">
      <alignment vertical="center"/>
    </xf>
    <xf numFmtId="0" fontId="2" fillId="0" borderId="6" xfId="0" applyFont="1" applyBorder="1" applyAlignment="1">
      <alignment horizontal="center" vertical="center"/>
    </xf>
    <xf numFmtId="164" fontId="1" fillId="0" borderId="1" xfId="0" applyNumberFormat="1" applyFont="1" applyBorder="1" applyAlignment="1">
      <alignment horizontal="center" vertical="center"/>
    </xf>
    <xf numFmtId="0" fontId="1" fillId="3" borderId="0" xfId="0" applyFont="1" applyFill="1" applyAlignment="1">
      <alignment horizontal="center" vertical="center"/>
    </xf>
    <xf numFmtId="164" fontId="1" fillId="0" borderId="0" xfId="0" applyNumberFormat="1" applyFont="1" applyFill="1" applyAlignment="1">
      <alignment horizontal="center" vertical="center"/>
    </xf>
    <xf numFmtId="1" fontId="7" fillId="0" borderId="0" xfId="0" applyNumberFormat="1" applyFont="1" applyFill="1" applyBorder="1" applyAlignment="1">
      <alignment horizontal="right"/>
    </xf>
    <xf numFmtId="0" fontId="0" fillId="0" borderId="0" xfId="0" applyFill="1" applyBorder="1"/>
    <xf numFmtId="167" fontId="0" fillId="0" borderId="0" xfId="0" applyNumberFormat="1"/>
    <xf numFmtId="2" fontId="0" fillId="0" borderId="0" xfId="0" applyNumberFormat="1"/>
    <xf numFmtId="0" fontId="1" fillId="0" borderId="11" xfId="0" applyFont="1" applyFill="1" applyBorder="1" applyAlignment="1">
      <alignment horizontal="left" vertical="center"/>
    </xf>
    <xf numFmtId="170" fontId="0" fillId="0" borderId="0" xfId="0" applyNumberFormat="1"/>
    <xf numFmtId="2" fontId="1" fillId="0" borderId="0" xfId="0" applyNumberFormat="1" applyFont="1" applyFill="1" applyAlignment="1">
      <alignment horizontal="center" vertical="center"/>
    </xf>
    <xf numFmtId="0" fontId="1" fillId="0" borderId="0" xfId="0" applyFont="1" applyAlignment="1">
      <alignment horizontal="center"/>
    </xf>
    <xf numFmtId="0" fontId="1" fillId="0" borderId="0" xfId="0" applyFont="1" applyFill="1" applyAlignment="1">
      <alignment horizontal="left" vertical="center"/>
    </xf>
    <xf numFmtId="4" fontId="1" fillId="0" borderId="20" xfId="0" applyNumberFormat="1"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0" borderId="0" xfId="0" applyFont="1" applyAlignment="1">
      <alignment horizontal="center" vertical="center"/>
    </xf>
    <xf numFmtId="172" fontId="1" fillId="0" borderId="0" xfId="2" applyNumberFormat="1" applyFont="1" applyAlignment="1">
      <alignment horizontal="center" vertical="center"/>
    </xf>
    <xf numFmtId="166" fontId="1" fillId="0" borderId="0" xfId="0" applyNumberFormat="1" applyFont="1" applyFill="1" applyAlignment="1">
      <alignment horizontal="center" vertical="center"/>
    </xf>
    <xf numFmtId="165" fontId="1" fillId="0" borderId="1" xfId="0" applyNumberFormat="1" applyFont="1" applyBorder="1" applyAlignment="1">
      <alignment horizontal="center" vertical="center"/>
    </xf>
    <xf numFmtId="165" fontId="1" fillId="0" borderId="1" xfId="0" applyNumberFormat="1" applyFont="1" applyFill="1" applyBorder="1" applyAlignment="1">
      <alignment horizontal="center" vertical="center"/>
    </xf>
    <xf numFmtId="4" fontId="1" fillId="0" borderId="0" xfId="0" applyNumberFormat="1" applyFont="1" applyFill="1" applyBorder="1" applyAlignment="1">
      <alignment horizontal="center" vertical="center"/>
    </xf>
    <xf numFmtId="0" fontId="1" fillId="0" borderId="0" xfId="0" applyFont="1" applyFill="1" applyBorder="1" applyAlignment="1">
      <alignment horizontal="center" vertical="center"/>
    </xf>
    <xf numFmtId="164" fontId="1" fillId="0" borderId="0" xfId="0" applyNumberFormat="1" applyFont="1" applyFill="1" applyBorder="1" applyAlignment="1">
      <alignment horizontal="center" vertical="center"/>
    </xf>
    <xf numFmtId="0" fontId="1" fillId="0" borderId="1" xfId="0" applyFont="1" applyFill="1" applyBorder="1" applyAlignment="1">
      <alignment vertical="center" wrapText="1"/>
    </xf>
    <xf numFmtId="0" fontId="1" fillId="0" borderId="20" xfId="0" applyFont="1" applyFill="1" applyBorder="1" applyAlignment="1">
      <alignment horizontal="center" vertical="center"/>
    </xf>
    <xf numFmtId="171" fontId="1" fillId="0" borderId="1" xfId="0" applyNumberFormat="1" applyFont="1" applyFill="1" applyBorder="1" applyAlignment="1">
      <alignment horizontal="center" vertical="center"/>
    </xf>
    <xf numFmtId="0" fontId="2" fillId="0" borderId="10" xfId="0" applyFont="1" applyBorder="1" applyAlignment="1">
      <alignment vertical="center"/>
    </xf>
    <xf numFmtId="1" fontId="1" fillId="0" borderId="0" xfId="0" applyNumberFormat="1" applyFont="1" applyAlignment="1">
      <alignment horizontal="center"/>
    </xf>
    <xf numFmtId="173" fontId="1" fillId="0" borderId="0" xfId="0" applyNumberFormat="1" applyFont="1" applyFill="1" applyAlignment="1">
      <alignment horizontal="center" vertical="center"/>
    </xf>
    <xf numFmtId="0" fontId="1" fillId="0" borderId="0" xfId="0" applyFont="1" applyAlignment="1">
      <alignment wrapText="1"/>
    </xf>
    <xf numFmtId="0" fontId="1" fillId="3" borderId="10" xfId="0" applyFont="1" applyFill="1" applyBorder="1" applyAlignment="1">
      <alignment horizontal="center" vertical="center"/>
    </xf>
    <xf numFmtId="0" fontId="1" fillId="3" borderId="10" xfId="0" applyFont="1" applyFill="1" applyBorder="1" applyAlignment="1">
      <alignment horizontal="center" vertical="center" wrapText="1"/>
    </xf>
    <xf numFmtId="0" fontId="1" fillId="3" borderId="1" xfId="0" applyFont="1" applyFill="1" applyBorder="1" applyAlignment="1">
      <alignment horizontal="center" vertical="center"/>
    </xf>
    <xf numFmtId="0" fontId="5" fillId="2" borderId="1" xfId="0" applyFont="1" applyFill="1" applyBorder="1" applyAlignment="1">
      <alignment horizontal="center" vertical="center" wrapText="1"/>
    </xf>
    <xf numFmtId="174" fontId="1" fillId="0" borderId="0" xfId="0" applyNumberFormat="1" applyFont="1" applyAlignment="1">
      <alignment horizontal="center" vertical="center"/>
    </xf>
    <xf numFmtId="174" fontId="1" fillId="0" borderId="0" xfId="2" applyNumberFormat="1" applyFont="1" applyAlignment="1">
      <alignment horizontal="center" vertical="center"/>
    </xf>
    <xf numFmtId="0" fontId="5" fillId="2" borderId="1" xfId="0" applyFont="1" applyFill="1" applyBorder="1" applyAlignment="1">
      <alignment horizontal="center" vertical="center"/>
    </xf>
    <xf numFmtId="165" fontId="1" fillId="0" borderId="11" xfId="0" applyNumberFormat="1" applyFont="1" applyFill="1" applyBorder="1" applyAlignment="1">
      <alignment horizontal="center" vertical="center"/>
    </xf>
    <xf numFmtId="169" fontId="1" fillId="0" borderId="1" xfId="0" applyNumberFormat="1" applyFont="1" applyFill="1" applyBorder="1" applyAlignment="1">
      <alignment horizontal="center" vertical="center"/>
    </xf>
    <xf numFmtId="166" fontId="1" fillId="0" borderId="0" xfId="0" applyNumberFormat="1" applyFont="1" applyAlignment="1">
      <alignment horizontal="center" vertical="center"/>
    </xf>
    <xf numFmtId="173" fontId="1" fillId="0" borderId="1" xfId="0" applyNumberFormat="1" applyFont="1" applyFill="1" applyBorder="1" applyAlignment="1">
      <alignment horizontal="center" vertical="center"/>
    </xf>
    <xf numFmtId="0" fontId="1" fillId="3" borderId="7"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 xfId="0" applyFont="1" applyFill="1" applyBorder="1" applyAlignment="1">
      <alignment horizontal="center" vertical="center"/>
    </xf>
    <xf numFmtId="0" fontId="10" fillId="4" borderId="16"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9" xfId="0" applyFont="1" applyFill="1" applyBorder="1" applyAlignment="1">
      <alignment horizontal="center" vertical="center"/>
    </xf>
    <xf numFmtId="0" fontId="1" fillId="4" borderId="16" xfId="0" applyFont="1" applyFill="1" applyBorder="1" applyAlignment="1">
      <alignment horizontal="center"/>
    </xf>
    <xf numFmtId="0" fontId="1" fillId="4" borderId="20" xfId="0" applyFont="1" applyFill="1" applyBorder="1" applyAlignment="1">
      <alignment horizontal="center"/>
    </xf>
    <xf numFmtId="0" fontId="1" fillId="4" borderId="17" xfId="0" applyFont="1" applyFill="1" applyBorder="1" applyAlignment="1">
      <alignment horizontal="center"/>
    </xf>
    <xf numFmtId="0" fontId="1" fillId="4" borderId="3" xfId="0" applyFont="1" applyFill="1" applyBorder="1" applyAlignment="1">
      <alignment horizontal="center"/>
    </xf>
    <xf numFmtId="0" fontId="1" fillId="4" borderId="0" xfId="0" applyFont="1" applyFill="1" applyBorder="1" applyAlignment="1">
      <alignment horizontal="center"/>
    </xf>
    <xf numFmtId="0" fontId="1" fillId="4" borderId="18" xfId="0" applyFont="1" applyFill="1" applyBorder="1" applyAlignment="1">
      <alignment horizontal="center"/>
    </xf>
    <xf numFmtId="0" fontId="1" fillId="4" borderId="9" xfId="0" applyFont="1" applyFill="1" applyBorder="1" applyAlignment="1">
      <alignment horizontal="center"/>
    </xf>
    <xf numFmtId="0" fontId="1" fillId="4" borderId="10" xfId="0" applyFont="1" applyFill="1" applyBorder="1" applyAlignment="1">
      <alignment horizontal="center"/>
    </xf>
    <xf numFmtId="0" fontId="1" fillId="4" borderId="19" xfId="0" applyFont="1" applyFill="1" applyBorder="1" applyAlignment="1">
      <alignment horizontal="center"/>
    </xf>
    <xf numFmtId="0" fontId="1" fillId="4" borderId="16" xfId="0" applyFont="1" applyFill="1" applyBorder="1" applyAlignment="1">
      <alignment horizontal="left" vertical="center" wrapText="1"/>
    </xf>
    <xf numFmtId="0" fontId="1" fillId="4" borderId="20" xfId="0" applyFont="1" applyFill="1" applyBorder="1" applyAlignment="1">
      <alignment horizontal="left" vertical="center" wrapText="1"/>
    </xf>
    <xf numFmtId="0" fontId="1" fillId="4" borderId="17"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0" xfId="0" applyFont="1" applyFill="1" applyBorder="1" applyAlignment="1">
      <alignment horizontal="left" vertical="center" wrapText="1"/>
    </xf>
    <xf numFmtId="0" fontId="1" fillId="4" borderId="18" xfId="0" applyFont="1" applyFill="1" applyBorder="1" applyAlignment="1">
      <alignment horizontal="left" vertical="center" wrapText="1"/>
    </xf>
    <xf numFmtId="0" fontId="1" fillId="4" borderId="9" xfId="0" applyFont="1" applyFill="1" applyBorder="1" applyAlignment="1">
      <alignment horizontal="left" vertical="center" wrapText="1"/>
    </xf>
    <xf numFmtId="0" fontId="1" fillId="4" borderId="10" xfId="0" applyFont="1" applyFill="1" applyBorder="1" applyAlignment="1">
      <alignment horizontal="left" vertical="center" wrapText="1"/>
    </xf>
    <xf numFmtId="0" fontId="1" fillId="4" borderId="19" xfId="0" applyFont="1" applyFill="1" applyBorder="1" applyAlignment="1">
      <alignment horizontal="left" vertical="center" wrapText="1"/>
    </xf>
    <xf numFmtId="0" fontId="1" fillId="0" borderId="20" xfId="0" applyFont="1" applyBorder="1" applyAlignment="1">
      <alignment horizontal="left" vertical="center" wrapText="1"/>
    </xf>
    <xf numFmtId="0" fontId="1" fillId="0" borderId="0" xfId="0" applyFont="1" applyAlignment="1">
      <alignment horizontal="left" vertical="center" wrapText="1"/>
    </xf>
    <xf numFmtId="0" fontId="1" fillId="0" borderId="0" xfId="0" applyFont="1" applyFill="1" applyBorder="1" applyAlignment="1">
      <alignment horizontal="left" vertical="center"/>
    </xf>
    <xf numFmtId="0" fontId="2" fillId="0" borderId="0" xfId="0" applyFont="1" applyFill="1" applyBorder="1" applyAlignment="1">
      <alignment horizontal="left" vertical="center"/>
    </xf>
    <xf numFmtId="0" fontId="1" fillId="3" borderId="1" xfId="0" applyFont="1" applyFill="1" applyBorder="1" applyAlignment="1">
      <alignment horizontal="center" vertical="center" wrapText="1"/>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0" xfId="0" applyFont="1" applyAlignment="1">
      <alignment horizontal="left" wrapText="1"/>
    </xf>
    <xf numFmtId="0" fontId="2" fillId="0" borderId="0" xfId="0" applyFont="1" applyBorder="1" applyAlignment="1">
      <alignment horizontal="center" vertical="center"/>
    </xf>
    <xf numFmtId="0" fontId="1" fillId="3" borderId="0" xfId="0" applyFont="1" applyFill="1" applyBorder="1" applyAlignment="1">
      <alignment horizontal="center" vertical="center"/>
    </xf>
    <xf numFmtId="0" fontId="1" fillId="0" borderId="0" xfId="0" applyFont="1" applyBorder="1" applyAlignment="1">
      <alignment horizontal="center" vertical="center"/>
    </xf>
    <xf numFmtId="0" fontId="1" fillId="3" borderId="10" xfId="0" applyFont="1" applyFill="1" applyBorder="1" applyAlignment="1">
      <alignment horizontal="center" vertical="center"/>
    </xf>
    <xf numFmtId="0" fontId="1" fillId="3" borderId="0" xfId="0" applyFont="1" applyFill="1" applyAlignment="1">
      <alignment horizontal="center" vertical="center"/>
    </xf>
    <xf numFmtId="0" fontId="5" fillId="2" borderId="12"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14" xfId="0" applyFont="1" applyFill="1" applyBorder="1" applyAlignment="1">
      <alignment horizontal="center" vertical="center"/>
    </xf>
    <xf numFmtId="0" fontId="5" fillId="2" borderId="22" xfId="0" applyNumberFormat="1" applyFont="1" applyFill="1" applyBorder="1" applyAlignment="1" applyProtection="1">
      <alignment horizontal="center" vertical="center" wrapText="1"/>
    </xf>
    <xf numFmtId="0" fontId="1" fillId="3" borderId="20" xfId="0" applyFont="1" applyFill="1" applyBorder="1" applyAlignment="1">
      <alignment horizontal="center" vertical="center"/>
    </xf>
    <xf numFmtId="0" fontId="1" fillId="3" borderId="17"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1" fillId="3" borderId="3" xfId="0" applyFont="1" applyFill="1" applyBorder="1" applyAlignment="1">
      <alignment horizontal="center" vertical="center"/>
    </xf>
    <xf numFmtId="0" fontId="5" fillId="2" borderId="16"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21" xfId="0" applyFont="1" applyFill="1" applyBorder="1" applyAlignment="1">
      <alignment horizontal="center" vertical="center"/>
    </xf>
  </cellXfs>
  <cellStyles count="3">
    <cellStyle name="Normal" xfId="0" builtinId="0"/>
    <cellStyle name="Normal 2" xfId="1"/>
    <cellStyle name="Vírgula" xfId="2" builtinId="3"/>
  </cellStyles>
  <dxfs count="0"/>
  <tableStyles count="0" defaultTableStyle="TableStyleMedium2" defaultPivotStyle="PivotStyleLight16"/>
  <colors>
    <mruColors>
      <color rgb="FFDCE6F1"/>
      <color rgb="FFD9D9D9"/>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676275</xdr:colOff>
      <xdr:row>20</xdr:row>
      <xdr:rowOff>14287</xdr:rowOff>
    </xdr:from>
    <xdr:ext cx="1609725" cy="172227"/>
    <mc:AlternateContent xmlns:mc="http://schemas.openxmlformats.org/markup-compatibility/2006" xmlns:a14="http://schemas.microsoft.com/office/drawing/2010/main">
      <mc:Choice Requires="a14">
        <xdr:sp macro="" textlink="">
          <xdr:nvSpPr>
            <xdr:cNvPr id="2" name="CaixaDeTexto 1">
              <a:extLst>
                <a:ext uri="{FF2B5EF4-FFF2-40B4-BE49-F238E27FC236}">
                  <a16:creationId xmlns:a16="http://schemas.microsoft.com/office/drawing/2014/main" xmlns="" id="{00000000-0008-0000-0100-000002000000}"/>
                </a:ext>
              </a:extLst>
            </xdr:cNvPr>
            <xdr:cNvSpPr txBox="1"/>
          </xdr:nvSpPr>
          <xdr:spPr>
            <a:xfrm>
              <a:off x="1971675" y="55768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𝑛</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𝐻</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oMath>
                </m:oMathPara>
              </a14:m>
              <a:endParaRPr lang="pt-BR" sz="1100"/>
            </a:p>
          </xdr:txBody>
        </xdr:sp>
      </mc:Choice>
      <mc:Fallback xmlns="">
        <xdr:sp macro="" textlink="">
          <xdr:nvSpPr>
            <xdr:cNvPr id="2" name="CaixaDeTexto 1"/>
            <xdr:cNvSpPr txBox="1"/>
          </xdr:nvSpPr>
          <xdr:spPr>
            <a:xfrm>
              <a:off x="1971675" y="55768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𝐸=𝑛 𝑥 𝐻 𝑥 𝐸𝐹 </a:t>
              </a:r>
              <a:endParaRPr lang="pt-BR"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142876</xdr:colOff>
      <xdr:row>4</xdr:row>
      <xdr:rowOff>100012</xdr:rowOff>
    </xdr:from>
    <xdr:ext cx="2400300" cy="372603"/>
    <mc:AlternateContent xmlns:mc="http://schemas.openxmlformats.org/markup-compatibility/2006" xmlns:a14="http://schemas.microsoft.com/office/drawing/2010/main">
      <mc:Choice Requires="a14">
        <xdr:sp macro="" textlink="">
          <xdr:nvSpPr>
            <xdr:cNvPr id="2" name="CaixaDeTexto 1">
              <a:extLst>
                <a:ext uri="{FF2B5EF4-FFF2-40B4-BE49-F238E27FC236}">
                  <a16:creationId xmlns:a16="http://schemas.microsoft.com/office/drawing/2014/main" xmlns="" id="{00000000-0008-0000-0200-000002000000}"/>
                </a:ext>
              </a:extLst>
            </xdr:cNvPr>
            <xdr:cNvSpPr txBox="1"/>
          </xdr:nvSpPr>
          <xdr:spPr>
            <a:xfrm>
              <a:off x="2019301" y="862012"/>
              <a:ext cx="2400300" cy="3726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𝑘</m:t>
                    </m:r>
                    <m:r>
                      <a:rPr lang="pt-BR" sz="1100" b="0" i="1">
                        <a:latin typeface="Cambria Math" panose="02040503050406030204" pitchFamily="18" charset="0"/>
                      </a:rPr>
                      <m:t> × 0,0016×</m:t>
                    </m:r>
                    <m:f>
                      <m:fPr>
                        <m:type m:val="lin"/>
                        <m:ctrlPr>
                          <a:rPr lang="pt-BR" sz="1100" b="0" i="1">
                            <a:latin typeface="Cambria Math" panose="02040503050406030204" pitchFamily="18" charset="0"/>
                          </a:rPr>
                        </m:ctrlPr>
                      </m:fPr>
                      <m:num>
                        <m:sSup>
                          <m:sSupPr>
                            <m:ctrlPr>
                              <a:rPr lang="pt-BR" sz="1100" b="0" i="1">
                                <a:solidFill>
                                  <a:schemeClr val="tx1"/>
                                </a:solidFill>
                                <a:effectLst/>
                                <a:latin typeface="Cambria Math" panose="02040503050406030204" pitchFamily="18" charset="0"/>
                                <a:ea typeface="+mn-ea"/>
                                <a:cs typeface="+mn-cs"/>
                              </a:rPr>
                            </m:ctrlPr>
                          </m:sSupPr>
                          <m:e>
                            <m:d>
                              <m:dPr>
                                <m:ctrlPr>
                                  <a:rPr lang="pt-BR" sz="1100" b="0" i="1">
                                    <a:solidFill>
                                      <a:schemeClr val="tx1"/>
                                    </a:solidFill>
                                    <a:effectLst/>
                                    <a:latin typeface="Cambria Math" panose="02040503050406030204" pitchFamily="18" charset="0"/>
                                    <a:ea typeface="+mn-ea"/>
                                    <a:cs typeface="+mn-cs"/>
                                  </a:rPr>
                                </m:ctrlPr>
                              </m:dPr>
                              <m:e>
                                <m:f>
                                  <m:fPr>
                                    <m:ctrlPr>
                                      <a:rPr lang="pt-BR" sz="1100" b="0" i="1">
                                        <a:solidFill>
                                          <a:schemeClr val="tx1"/>
                                        </a:solidFill>
                                        <a:effectLst/>
                                        <a:latin typeface="Cambria Math" panose="02040503050406030204" pitchFamily="18" charset="0"/>
                                        <a:ea typeface="+mn-ea"/>
                                        <a:cs typeface="+mn-cs"/>
                                      </a:rPr>
                                    </m:ctrlPr>
                                  </m:fPr>
                                  <m:num>
                                    <m:r>
                                      <a:rPr lang="pt-BR" sz="1100" b="0" i="1">
                                        <a:solidFill>
                                          <a:schemeClr val="tx1"/>
                                        </a:solidFill>
                                        <a:effectLst/>
                                        <a:latin typeface="Cambria Math" panose="02040503050406030204" pitchFamily="18" charset="0"/>
                                        <a:ea typeface="+mn-ea"/>
                                        <a:cs typeface="+mn-cs"/>
                                      </a:rPr>
                                      <m:t>𝑈</m:t>
                                    </m:r>
                                  </m:num>
                                  <m:den>
                                    <m:r>
                                      <a:rPr lang="pt-BR" sz="1100" b="0" i="1">
                                        <a:solidFill>
                                          <a:schemeClr val="tx1"/>
                                        </a:solidFill>
                                        <a:effectLst/>
                                        <a:latin typeface="Cambria Math" panose="02040503050406030204" pitchFamily="18" charset="0"/>
                                        <a:ea typeface="+mn-ea"/>
                                        <a:cs typeface="+mn-cs"/>
                                      </a:rPr>
                                      <m:t>2,2</m:t>
                                    </m:r>
                                  </m:den>
                                </m:f>
                              </m:e>
                            </m:d>
                          </m:e>
                          <m:sup>
                            <m:r>
                              <a:rPr lang="pt-BR" sz="1100" b="0" i="1">
                                <a:solidFill>
                                  <a:schemeClr val="tx1"/>
                                </a:solidFill>
                                <a:effectLst/>
                                <a:latin typeface="Cambria Math" panose="02040503050406030204" pitchFamily="18" charset="0"/>
                                <a:ea typeface="+mn-ea"/>
                                <a:cs typeface="+mn-cs"/>
                              </a:rPr>
                              <m:t>1,3</m:t>
                            </m:r>
                          </m:sup>
                        </m:sSup>
                      </m:num>
                      <m:den>
                        <m:sSup>
                          <m:sSupPr>
                            <m:ctrlPr>
                              <a:rPr lang="pt-BR" sz="1100" b="0" i="1">
                                <a:solidFill>
                                  <a:schemeClr val="tx1"/>
                                </a:solidFill>
                                <a:effectLst/>
                                <a:latin typeface="Cambria Math" panose="02040503050406030204" pitchFamily="18" charset="0"/>
                                <a:ea typeface="+mn-ea"/>
                                <a:cs typeface="+mn-cs"/>
                              </a:rPr>
                            </m:ctrlPr>
                          </m:sSupPr>
                          <m:e>
                            <m:d>
                              <m:dPr>
                                <m:ctrlPr>
                                  <a:rPr lang="pt-BR" sz="1100" b="0" i="1">
                                    <a:solidFill>
                                      <a:schemeClr val="tx1"/>
                                    </a:solidFill>
                                    <a:effectLst/>
                                    <a:latin typeface="Cambria Math" panose="02040503050406030204" pitchFamily="18" charset="0"/>
                                    <a:ea typeface="+mn-ea"/>
                                    <a:cs typeface="+mn-cs"/>
                                  </a:rPr>
                                </m:ctrlPr>
                              </m:dPr>
                              <m:e>
                                <m:f>
                                  <m:fPr>
                                    <m:ctrlPr>
                                      <a:rPr lang="pt-BR" sz="1100" b="0" i="1">
                                        <a:solidFill>
                                          <a:schemeClr val="tx1"/>
                                        </a:solidFill>
                                        <a:effectLst/>
                                        <a:latin typeface="Cambria Math" panose="02040503050406030204" pitchFamily="18" charset="0"/>
                                        <a:ea typeface="+mn-ea"/>
                                        <a:cs typeface="+mn-cs"/>
                                      </a:rPr>
                                    </m:ctrlPr>
                                  </m:fPr>
                                  <m:num>
                                    <m:r>
                                      <a:rPr lang="pt-BR" sz="1100" b="0" i="1">
                                        <a:solidFill>
                                          <a:schemeClr val="tx1"/>
                                        </a:solidFill>
                                        <a:effectLst/>
                                        <a:latin typeface="Cambria Math" panose="02040503050406030204" pitchFamily="18" charset="0"/>
                                        <a:ea typeface="+mn-ea"/>
                                        <a:cs typeface="+mn-cs"/>
                                      </a:rPr>
                                      <m:t>𝑀</m:t>
                                    </m:r>
                                  </m:num>
                                  <m:den>
                                    <m:r>
                                      <a:rPr lang="pt-BR" sz="1100" b="0" i="1">
                                        <a:solidFill>
                                          <a:schemeClr val="tx1"/>
                                        </a:solidFill>
                                        <a:effectLst/>
                                        <a:latin typeface="Cambria Math" panose="02040503050406030204" pitchFamily="18" charset="0"/>
                                        <a:ea typeface="+mn-ea"/>
                                        <a:cs typeface="+mn-cs"/>
                                      </a:rPr>
                                      <m:t>2</m:t>
                                    </m:r>
                                  </m:den>
                                </m:f>
                              </m:e>
                            </m:d>
                          </m:e>
                          <m:sup>
                            <m:r>
                              <a:rPr lang="pt-BR" sz="1100" b="0" i="1">
                                <a:solidFill>
                                  <a:schemeClr val="tx1"/>
                                </a:solidFill>
                                <a:effectLst/>
                                <a:latin typeface="Cambria Math" panose="02040503050406030204" pitchFamily="18" charset="0"/>
                                <a:ea typeface="+mn-ea"/>
                                <a:cs typeface="+mn-cs"/>
                              </a:rPr>
                              <m:t>1,4</m:t>
                            </m:r>
                          </m:sup>
                        </m:sSup>
                      </m:den>
                    </m:f>
                    <m:r>
                      <a:rPr lang="pt-BR" sz="1100" b="0" i="1">
                        <a:latin typeface="Cambria Math" panose="02040503050406030204" pitchFamily="18" charset="0"/>
                      </a:rPr>
                      <m:t> </m:t>
                    </m:r>
                  </m:oMath>
                </m:oMathPara>
              </a14:m>
              <a:endParaRPr lang="pt-BR" sz="1100"/>
            </a:p>
          </xdr:txBody>
        </xdr:sp>
      </mc:Choice>
      <mc:Fallback xmlns="">
        <xdr:sp macro="" textlink="">
          <xdr:nvSpPr>
            <xdr:cNvPr id="2" name="CaixaDeTexto 1"/>
            <xdr:cNvSpPr txBox="1"/>
          </xdr:nvSpPr>
          <xdr:spPr>
            <a:xfrm>
              <a:off x="2019301" y="862012"/>
              <a:ext cx="2400300" cy="3726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𝐸=𝑘 × 0,0016×</a:t>
              </a:r>
              <a:r>
                <a:rPr lang="pt-BR" sz="1100" b="0" i="0">
                  <a:solidFill>
                    <a:schemeClr val="tx1"/>
                  </a:solidFill>
                  <a:effectLst/>
                  <a:latin typeface="+mn-lt"/>
                  <a:ea typeface="+mn-ea"/>
                  <a:cs typeface="+mn-cs"/>
                </a:rPr>
                <a:t>(𝑈/2,2)^1,3</a:t>
              </a:r>
              <a:r>
                <a:rPr lang="pt-BR" sz="1100" b="0" i="0">
                  <a:solidFill>
                    <a:schemeClr val="tx1"/>
                  </a:solidFill>
                  <a:effectLst/>
                  <a:latin typeface="Cambria Math" panose="02040503050406030204" pitchFamily="18" charset="0"/>
                  <a:ea typeface="+mn-ea"/>
                  <a:cs typeface="+mn-cs"/>
                </a:rPr>
                <a:t>∕</a:t>
              </a:r>
              <a:r>
                <a:rPr lang="pt-BR" sz="1100" b="0" i="0">
                  <a:solidFill>
                    <a:schemeClr val="tx1"/>
                  </a:solidFill>
                  <a:effectLst/>
                  <a:latin typeface="+mn-lt"/>
                  <a:ea typeface="+mn-ea"/>
                  <a:cs typeface="+mn-cs"/>
                </a:rPr>
                <a:t>(</a:t>
              </a:r>
              <a:r>
                <a:rPr lang="pt-BR" sz="1100" b="0" i="0">
                  <a:solidFill>
                    <a:schemeClr val="tx1"/>
                  </a:solidFill>
                  <a:effectLst/>
                  <a:latin typeface="+mn-lt"/>
                  <a:ea typeface="+mn-ea"/>
                  <a:cs typeface="+mn-cs"/>
                </a:rPr>
                <a:t>𝑀/2)^1,4</a:t>
              </a:r>
              <a:r>
                <a:rPr lang="pt-BR" sz="1100" b="0" i="0">
                  <a:solidFill>
                    <a:schemeClr val="tx1"/>
                  </a:solidFill>
                  <a:effectLst/>
                  <a:latin typeface="Cambria Math" panose="02040503050406030204" pitchFamily="18" charset="0"/>
                  <a:ea typeface="+mn-ea"/>
                  <a:cs typeface="+mn-cs"/>
                </a:rPr>
                <a:t>  </a:t>
              </a:r>
              <a:r>
                <a:rPr lang="pt-BR" sz="1100" b="0" i="0">
                  <a:latin typeface="Cambria Math" panose="02040503050406030204" pitchFamily="18" charset="0"/>
                </a:rPr>
                <a:t> </a:t>
              </a:r>
              <a:endParaRPr lang="pt-BR"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0</xdr:col>
      <xdr:colOff>838200</xdr:colOff>
      <xdr:row>9</xdr:row>
      <xdr:rowOff>128588</xdr:rowOff>
    </xdr:from>
    <xdr:ext cx="3381375" cy="397929"/>
    <mc:AlternateContent xmlns:mc="http://schemas.openxmlformats.org/markup-compatibility/2006" xmlns:a14="http://schemas.microsoft.com/office/drawing/2010/main">
      <mc:Choice Requires="a14">
        <xdr:sp macro="" textlink="">
          <xdr:nvSpPr>
            <xdr:cNvPr id="3" name="CaixaDeTexto 2">
              <a:extLst>
                <a:ext uri="{FF2B5EF4-FFF2-40B4-BE49-F238E27FC236}">
                  <a16:creationId xmlns:a16="http://schemas.microsoft.com/office/drawing/2014/main" xmlns="" id="{00000000-0008-0000-0400-000002000000}"/>
                </a:ext>
              </a:extLst>
            </xdr:cNvPr>
            <xdr:cNvSpPr txBox="1"/>
          </xdr:nvSpPr>
          <xdr:spPr>
            <a:xfrm>
              <a:off x="838200" y="2081213"/>
              <a:ext cx="3381375" cy="397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𝐹𝐸</m:t>
                    </m:r>
                    <m:r>
                      <a:rPr lang="pt-BR" sz="1100" b="0" i="1">
                        <a:latin typeface="Cambria Math" panose="02040503050406030204" pitchFamily="18" charset="0"/>
                      </a:rPr>
                      <m:t>=</m:t>
                    </m:r>
                    <m:d>
                      <m:dPr>
                        <m:begChr m:val="["/>
                        <m:endChr m:val="]"/>
                        <m:ctrlPr>
                          <a:rPr lang="pt-BR" sz="1100" b="0" i="1">
                            <a:latin typeface="Cambria Math" panose="02040503050406030204" pitchFamily="18" charset="0"/>
                          </a:rPr>
                        </m:ctrlPr>
                      </m:dPr>
                      <m:e>
                        <m:d>
                          <m:dPr>
                            <m:ctrlPr>
                              <a:rPr lang="pt-BR" sz="1100" b="0" i="1">
                                <a:solidFill>
                                  <a:schemeClr val="tx1"/>
                                </a:solidFill>
                                <a:effectLst/>
                                <a:latin typeface="Cambria Math" panose="02040503050406030204" pitchFamily="18" charset="0"/>
                                <a:ea typeface="+mn-ea"/>
                                <a:cs typeface="+mn-cs"/>
                              </a:rPr>
                            </m:ctrlPr>
                          </m:dPr>
                          <m:e>
                            <m:r>
                              <a:rPr lang="pt-BR" sz="1100" b="0" i="1">
                                <a:solidFill>
                                  <a:schemeClr val="tx1"/>
                                </a:solidFill>
                                <a:effectLst/>
                                <a:latin typeface="Cambria Math" panose="02040503050406030204" pitchFamily="18" charset="0"/>
                                <a:ea typeface="+mn-ea"/>
                                <a:cs typeface="+mn-cs"/>
                              </a:rPr>
                              <m:t>𝑘</m:t>
                            </m:r>
                            <m:r>
                              <a:rPr lang="pt-BR" sz="1100" b="0" i="1">
                                <a:solidFill>
                                  <a:schemeClr val="tx1"/>
                                </a:solidFill>
                                <a:effectLst/>
                                <a:latin typeface="Cambria Math" panose="02040503050406030204" pitchFamily="18" charset="0"/>
                                <a:ea typeface="+mn-ea"/>
                                <a:cs typeface="+mn-cs"/>
                              </a:rPr>
                              <m:t> . </m:t>
                            </m:r>
                            <m:sSup>
                              <m:sSupPr>
                                <m:ctrlPr>
                                  <a:rPr lang="pt-BR" sz="1100" b="0" i="1">
                                    <a:solidFill>
                                      <a:schemeClr val="tx1"/>
                                    </a:solidFill>
                                    <a:effectLst/>
                                    <a:latin typeface="Cambria Math" panose="02040503050406030204" pitchFamily="18" charset="0"/>
                                    <a:ea typeface="+mn-ea"/>
                                    <a:cs typeface="+mn-cs"/>
                                  </a:rPr>
                                </m:ctrlPr>
                              </m:sSupPr>
                              <m:e>
                                <m:d>
                                  <m:dPr>
                                    <m:ctrlPr>
                                      <a:rPr lang="pt-BR" sz="1100" b="0" i="1">
                                        <a:solidFill>
                                          <a:schemeClr val="tx1"/>
                                        </a:solidFill>
                                        <a:effectLst/>
                                        <a:latin typeface="Cambria Math" panose="02040503050406030204" pitchFamily="18" charset="0"/>
                                        <a:ea typeface="+mn-ea"/>
                                        <a:cs typeface="+mn-cs"/>
                                      </a:rPr>
                                    </m:ctrlPr>
                                  </m:dPr>
                                  <m:e>
                                    <m:f>
                                      <m:fPr>
                                        <m:ctrlPr>
                                          <a:rPr lang="pt-BR" sz="1100" b="0" i="1">
                                            <a:solidFill>
                                              <a:schemeClr val="tx1"/>
                                            </a:solidFill>
                                            <a:effectLst/>
                                            <a:latin typeface="Cambria Math" panose="02040503050406030204" pitchFamily="18" charset="0"/>
                                            <a:ea typeface="+mn-ea"/>
                                            <a:cs typeface="+mn-cs"/>
                                          </a:rPr>
                                        </m:ctrlPr>
                                      </m:fPr>
                                      <m:num>
                                        <m:r>
                                          <a:rPr lang="pt-BR" sz="1100" b="0" i="1">
                                            <a:solidFill>
                                              <a:schemeClr val="tx1"/>
                                            </a:solidFill>
                                            <a:effectLst/>
                                            <a:latin typeface="Cambria Math" panose="02040503050406030204" pitchFamily="18" charset="0"/>
                                            <a:ea typeface="+mn-ea"/>
                                            <a:cs typeface="+mn-cs"/>
                                          </a:rPr>
                                          <m:t>𝑠</m:t>
                                        </m:r>
                                      </m:num>
                                      <m:den>
                                        <m:r>
                                          <a:rPr lang="pt-BR" sz="1100" b="0" i="1">
                                            <a:solidFill>
                                              <a:schemeClr val="tx1"/>
                                            </a:solidFill>
                                            <a:effectLst/>
                                            <a:latin typeface="Cambria Math" panose="02040503050406030204" pitchFamily="18" charset="0"/>
                                            <a:ea typeface="+mn-ea"/>
                                            <a:cs typeface="+mn-cs"/>
                                          </a:rPr>
                                          <m:t>12</m:t>
                                        </m:r>
                                      </m:den>
                                    </m:f>
                                  </m:e>
                                </m:d>
                              </m:e>
                              <m:sup>
                                <m:r>
                                  <a:rPr lang="pt-BR" sz="1100" b="0" i="1">
                                    <a:solidFill>
                                      <a:schemeClr val="tx1"/>
                                    </a:solidFill>
                                    <a:effectLst/>
                                    <a:latin typeface="Cambria Math" panose="02040503050406030204" pitchFamily="18" charset="0"/>
                                    <a:ea typeface="+mn-ea"/>
                                    <a:cs typeface="+mn-cs"/>
                                  </a:rPr>
                                  <m:t>𝑎</m:t>
                                </m:r>
                              </m:sup>
                            </m:sSup>
                            <m:r>
                              <a:rPr lang="pt-BR" sz="1100" b="0" i="1">
                                <a:solidFill>
                                  <a:schemeClr val="tx1"/>
                                </a:solidFill>
                                <a:effectLst/>
                                <a:latin typeface="Cambria Math" panose="02040503050406030204" pitchFamily="18" charset="0"/>
                                <a:ea typeface="+mn-ea"/>
                                <a:cs typeface="+mn-cs"/>
                              </a:rPr>
                              <m:t>.  </m:t>
                            </m:r>
                            <m:sSup>
                              <m:sSupPr>
                                <m:ctrlPr>
                                  <a:rPr lang="pt-BR" sz="1100" b="0" i="1">
                                    <a:solidFill>
                                      <a:schemeClr val="tx1"/>
                                    </a:solidFill>
                                    <a:effectLst/>
                                    <a:latin typeface="Cambria Math" panose="02040503050406030204" pitchFamily="18" charset="0"/>
                                    <a:ea typeface="+mn-ea"/>
                                    <a:cs typeface="+mn-cs"/>
                                  </a:rPr>
                                </m:ctrlPr>
                              </m:sSupPr>
                              <m:e>
                                <m:d>
                                  <m:dPr>
                                    <m:ctrlPr>
                                      <a:rPr lang="pt-BR" sz="1100" b="0" i="1">
                                        <a:solidFill>
                                          <a:schemeClr val="tx1"/>
                                        </a:solidFill>
                                        <a:effectLst/>
                                        <a:latin typeface="Cambria Math" panose="02040503050406030204" pitchFamily="18" charset="0"/>
                                        <a:ea typeface="+mn-ea"/>
                                        <a:cs typeface="+mn-cs"/>
                                      </a:rPr>
                                    </m:ctrlPr>
                                  </m:dPr>
                                  <m:e>
                                    <m:f>
                                      <m:fPr>
                                        <m:ctrlPr>
                                          <a:rPr lang="pt-BR" sz="1100" b="0" i="1">
                                            <a:solidFill>
                                              <a:schemeClr val="tx1"/>
                                            </a:solidFill>
                                            <a:effectLst/>
                                            <a:latin typeface="Cambria Math" panose="02040503050406030204" pitchFamily="18" charset="0"/>
                                            <a:ea typeface="+mn-ea"/>
                                            <a:cs typeface="+mn-cs"/>
                                          </a:rPr>
                                        </m:ctrlPr>
                                      </m:fPr>
                                      <m:num>
                                        <m:r>
                                          <a:rPr lang="pt-BR" sz="1100" b="0" i="1">
                                            <a:solidFill>
                                              <a:schemeClr val="tx1"/>
                                            </a:solidFill>
                                            <a:effectLst/>
                                            <a:latin typeface="Cambria Math" panose="02040503050406030204" pitchFamily="18" charset="0"/>
                                            <a:ea typeface="+mn-ea"/>
                                            <a:cs typeface="+mn-cs"/>
                                          </a:rPr>
                                          <m:t>𝑊</m:t>
                                        </m:r>
                                      </m:num>
                                      <m:den>
                                        <m:r>
                                          <a:rPr lang="pt-BR" sz="1100" b="0" i="1">
                                            <a:solidFill>
                                              <a:schemeClr val="tx1"/>
                                            </a:solidFill>
                                            <a:effectLst/>
                                            <a:latin typeface="Cambria Math" panose="02040503050406030204" pitchFamily="18" charset="0"/>
                                            <a:ea typeface="+mn-ea"/>
                                            <a:cs typeface="+mn-cs"/>
                                          </a:rPr>
                                          <m:t>3</m:t>
                                        </m:r>
                                      </m:den>
                                    </m:f>
                                  </m:e>
                                </m:d>
                              </m:e>
                              <m:sup>
                                <m:r>
                                  <a:rPr lang="pt-BR" sz="1100" b="0" i="1">
                                    <a:solidFill>
                                      <a:schemeClr val="tx1"/>
                                    </a:solidFill>
                                    <a:effectLst/>
                                    <a:latin typeface="Cambria Math" panose="02040503050406030204" pitchFamily="18" charset="0"/>
                                    <a:ea typeface="+mn-ea"/>
                                    <a:cs typeface="+mn-cs"/>
                                  </a:rPr>
                                  <m:t>𝑏</m:t>
                                </m:r>
                              </m:sup>
                            </m:sSup>
                          </m:e>
                        </m:d>
                        <m:r>
                          <a:rPr lang="pt-BR" sz="1100" b="0" i="1">
                            <a:solidFill>
                              <a:schemeClr val="tx1"/>
                            </a:solidFill>
                            <a:effectLst/>
                            <a:latin typeface="Cambria Math" panose="02040503050406030204" pitchFamily="18" charset="0"/>
                            <a:ea typeface="+mn-ea"/>
                            <a:cs typeface="+mn-cs"/>
                          </a:rPr>
                          <m:t> . (</m:t>
                        </m:r>
                        <m:d>
                          <m:dPr>
                            <m:ctrlPr>
                              <a:rPr lang="pt-BR" sz="1100" b="0" i="1">
                                <a:solidFill>
                                  <a:schemeClr val="tx1"/>
                                </a:solidFill>
                                <a:effectLst/>
                                <a:latin typeface="Cambria Math" panose="02040503050406030204" pitchFamily="18" charset="0"/>
                                <a:ea typeface="+mn-ea"/>
                                <a:cs typeface="+mn-cs"/>
                              </a:rPr>
                            </m:ctrlPr>
                          </m:dPr>
                          <m:e>
                            <m:r>
                              <a:rPr lang="pt-BR" sz="1100" b="0" i="1">
                                <a:solidFill>
                                  <a:schemeClr val="tx1"/>
                                </a:solidFill>
                                <a:effectLst/>
                                <a:latin typeface="Cambria Math" panose="02040503050406030204" pitchFamily="18" charset="0"/>
                                <a:ea typeface="+mn-ea"/>
                                <a:cs typeface="+mn-cs"/>
                              </a:rPr>
                              <m:t>365−</m:t>
                            </m:r>
                            <m:r>
                              <a:rPr lang="pt-BR" sz="1100" b="0" i="1">
                                <a:solidFill>
                                  <a:schemeClr val="tx1"/>
                                </a:solidFill>
                                <a:effectLst/>
                                <a:latin typeface="Cambria Math" panose="02040503050406030204" pitchFamily="18" charset="0"/>
                                <a:ea typeface="+mn-ea"/>
                                <a:cs typeface="+mn-cs"/>
                              </a:rPr>
                              <m:t>𝑃</m:t>
                            </m:r>
                            <m:r>
                              <a:rPr lang="pt-BR" sz="1100" b="0" i="1">
                                <a:solidFill>
                                  <a:schemeClr val="tx1"/>
                                </a:solidFill>
                                <a:effectLst/>
                                <a:latin typeface="Cambria Math" panose="02040503050406030204" pitchFamily="18" charset="0"/>
                                <a:ea typeface="+mn-ea"/>
                                <a:cs typeface="+mn-cs"/>
                              </a:rPr>
                              <m:t>)/365)</m:t>
                            </m:r>
                          </m:e>
                        </m:d>
                      </m:e>
                    </m:d>
                    <m:r>
                      <a:rPr lang="pt-BR" sz="1100" b="0" i="1">
                        <a:latin typeface="Cambria Math" panose="02040503050406030204" pitchFamily="18" charset="0"/>
                      </a:rPr>
                      <m:t> </m:t>
                    </m:r>
                  </m:oMath>
                </m:oMathPara>
              </a14:m>
              <a:endParaRPr lang="pt-BR" sz="1100"/>
            </a:p>
          </xdr:txBody>
        </xdr:sp>
      </mc:Choice>
      <mc:Fallback xmlns="">
        <xdr:sp macro="" textlink="">
          <xdr:nvSpPr>
            <xdr:cNvPr id="3" name="CaixaDeTexto 2">
              <a:extLst>
                <a:ext uri="{FF2B5EF4-FFF2-40B4-BE49-F238E27FC236}">
                  <a16:creationId xmlns="" xmlns:a16="http://schemas.microsoft.com/office/drawing/2014/main" xmlns:a14="http://schemas.microsoft.com/office/drawing/2010/main" id="{00000000-0008-0000-0400-000002000000}"/>
                </a:ext>
              </a:extLst>
            </xdr:cNvPr>
            <xdr:cNvSpPr txBox="1"/>
          </xdr:nvSpPr>
          <xdr:spPr>
            <a:xfrm>
              <a:off x="838200" y="2081213"/>
              <a:ext cx="3381375" cy="397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𝐹𝐸=[</a:t>
              </a:r>
              <a:r>
                <a:rPr lang="pt-BR" sz="1100" b="0" i="0">
                  <a:solidFill>
                    <a:schemeClr val="tx1"/>
                  </a:solidFill>
                  <a:effectLst/>
                  <a:latin typeface="Cambria Math" panose="02040503050406030204" pitchFamily="18" charset="0"/>
                  <a:ea typeface="+mn-ea"/>
                  <a:cs typeface="+mn-cs"/>
                </a:rPr>
                <a:t>(𝑘 . (𝑠/12)^𝑎.  (𝑊/3)^𝑏 )  . ((365−𝑃)/365))] </a:t>
              </a:r>
              <a:r>
                <a:rPr lang="pt-BR" sz="1100" b="0" i="0">
                  <a:latin typeface="Cambria Math" panose="02040503050406030204" pitchFamily="18" charset="0"/>
                </a:rPr>
                <a:t> </a:t>
              </a:r>
              <a:endParaRPr lang="pt-BR" sz="1100"/>
            </a:p>
          </xdr:txBody>
        </xdr:sp>
      </mc:Fallback>
    </mc:AlternateContent>
    <xdr:clientData/>
  </xdr:oneCellAnchor>
  <xdr:twoCellAnchor>
    <xdr:from>
      <xdr:col>3</xdr:col>
      <xdr:colOff>47626</xdr:colOff>
      <xdr:row>9</xdr:row>
      <xdr:rowOff>152401</xdr:rowOff>
    </xdr:from>
    <xdr:to>
      <xdr:col>4</xdr:col>
      <xdr:colOff>257175</xdr:colOff>
      <xdr:row>11</xdr:row>
      <xdr:rowOff>152401</xdr:rowOff>
    </xdr:to>
    <xdr:sp macro="" textlink="">
      <xdr:nvSpPr>
        <xdr:cNvPr id="4" name="Elipse 3">
          <a:extLst>
            <a:ext uri="{FF2B5EF4-FFF2-40B4-BE49-F238E27FC236}">
              <a16:creationId xmlns:a16="http://schemas.microsoft.com/office/drawing/2014/main" xmlns="" id="{00000000-0008-0000-0400-000003000000}"/>
            </a:ext>
          </a:extLst>
        </xdr:cNvPr>
        <xdr:cNvSpPr/>
      </xdr:nvSpPr>
      <xdr:spPr>
        <a:xfrm>
          <a:off x="2705101" y="3390901"/>
          <a:ext cx="1076324" cy="38100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pt-BR"/>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zoomScaleNormal="100" workbookViewId="0">
      <selection activeCell="A10" sqref="A10"/>
    </sheetView>
  </sheetViews>
  <sheetFormatPr defaultRowHeight="15" x14ac:dyDescent="0.25"/>
  <cols>
    <col min="1" max="1" width="21.5703125" customWidth="1"/>
    <col min="2" max="3" width="20.42578125" customWidth="1"/>
    <col min="4" max="5" width="13.7109375" customWidth="1"/>
    <col min="6" max="6" width="18.5703125" customWidth="1"/>
    <col min="7" max="7" width="16.5703125" customWidth="1"/>
    <col min="8" max="8" width="18.5703125" customWidth="1"/>
  </cols>
  <sheetData>
    <row r="1" spans="1:7" x14ac:dyDescent="0.25">
      <c r="A1" s="3" t="s">
        <v>181</v>
      </c>
    </row>
    <row r="3" spans="1:7" x14ac:dyDescent="0.25">
      <c r="A3" s="107" t="s">
        <v>109</v>
      </c>
      <c r="B3" s="108"/>
      <c r="E3" s="1"/>
    </row>
    <row r="4" spans="1:7" x14ac:dyDescent="0.25">
      <c r="A4" s="2" t="s">
        <v>110</v>
      </c>
      <c r="B4" s="81" t="s">
        <v>111</v>
      </c>
      <c r="C4" s="1"/>
      <c r="D4" s="1"/>
      <c r="E4" s="1"/>
    </row>
    <row r="5" spans="1:7" x14ac:dyDescent="0.25">
      <c r="A5" s="1"/>
      <c r="B5" s="1"/>
      <c r="C5" s="1"/>
      <c r="D5" s="1"/>
      <c r="E5" s="1"/>
    </row>
    <row r="6" spans="1:7" x14ac:dyDescent="0.25">
      <c r="A6" s="98" t="s">
        <v>112</v>
      </c>
      <c r="B6" s="98" t="s">
        <v>153</v>
      </c>
      <c r="C6" s="98" t="s">
        <v>154</v>
      </c>
      <c r="D6" s="98" t="s">
        <v>155</v>
      </c>
      <c r="E6" s="98" t="s">
        <v>156</v>
      </c>
      <c r="F6" s="98" t="s">
        <v>147</v>
      </c>
      <c r="G6" s="98" t="s">
        <v>148</v>
      </c>
    </row>
    <row r="7" spans="1:7" x14ac:dyDescent="0.25">
      <c r="A7" s="2" t="s">
        <v>122</v>
      </c>
      <c r="B7" s="101">
        <v>29660.41</v>
      </c>
      <c r="C7" s="101">
        <v>93518.91</v>
      </c>
      <c r="D7" s="101">
        <v>93639.98</v>
      </c>
      <c r="E7" s="100">
        <f>B7+C7-D7</f>
        <v>29539.340000000011</v>
      </c>
      <c r="F7" s="100">
        <v>17000</v>
      </c>
      <c r="G7" s="81" t="s">
        <v>104</v>
      </c>
    </row>
    <row r="8" spans="1:7" x14ac:dyDescent="0.25">
      <c r="A8" s="2" t="s">
        <v>123</v>
      </c>
      <c r="B8" s="101">
        <v>16453.66</v>
      </c>
      <c r="C8" s="101">
        <v>23586.58</v>
      </c>
      <c r="D8" s="101">
        <v>19687.38</v>
      </c>
      <c r="E8" s="100">
        <f t="shared" ref="E8:E9" si="0">B8+C8-D8</f>
        <v>20352.860000000004</v>
      </c>
      <c r="F8" s="100">
        <v>7000</v>
      </c>
      <c r="G8" s="81">
        <v>500</v>
      </c>
    </row>
    <row r="9" spans="1:7" x14ac:dyDescent="0.25">
      <c r="A9" s="2" t="s">
        <v>113</v>
      </c>
      <c r="B9" s="101">
        <v>0</v>
      </c>
      <c r="C9" s="101">
        <v>4686.92</v>
      </c>
      <c r="D9" s="101">
        <v>2420.02</v>
      </c>
      <c r="E9" s="100">
        <f t="shared" si="0"/>
        <v>2266.9</v>
      </c>
      <c r="F9" s="100">
        <v>2000</v>
      </c>
      <c r="G9" s="81" t="s">
        <v>104</v>
      </c>
    </row>
    <row r="10" spans="1:7" x14ac:dyDescent="0.25">
      <c r="A10" s="81" t="s">
        <v>103</v>
      </c>
      <c r="B10" s="82">
        <f t="shared" ref="B10:G10" si="1">SUM(B7:B9)</f>
        <v>46114.07</v>
      </c>
      <c r="C10" s="82">
        <f t="shared" si="1"/>
        <v>121792.41</v>
      </c>
      <c r="D10" s="82">
        <f t="shared" si="1"/>
        <v>115747.38</v>
      </c>
      <c r="E10" s="82">
        <f t="shared" si="1"/>
        <v>52159.100000000013</v>
      </c>
      <c r="F10" s="81">
        <f t="shared" si="1"/>
        <v>26000</v>
      </c>
      <c r="G10" s="81">
        <f t="shared" si="1"/>
        <v>500</v>
      </c>
    </row>
    <row r="11" spans="1:7" x14ac:dyDescent="0.25">
      <c r="A11" s="1"/>
      <c r="B11" s="76"/>
      <c r="C11" s="76"/>
      <c r="D11" s="82"/>
      <c r="E11" s="1"/>
    </row>
    <row r="12" spans="1:7" x14ac:dyDescent="0.25">
      <c r="A12" s="1"/>
      <c r="B12" s="1"/>
      <c r="C12" s="1"/>
      <c r="D12" s="1"/>
      <c r="E12" s="1"/>
    </row>
    <row r="13" spans="1:7" x14ac:dyDescent="0.25">
      <c r="A13" s="109" t="s">
        <v>98</v>
      </c>
      <c r="B13" s="109"/>
      <c r="C13" s="109"/>
      <c r="D13" s="109"/>
      <c r="E13" s="109"/>
      <c r="F13" s="109"/>
    </row>
    <row r="14" spans="1:7" x14ac:dyDescent="0.25">
      <c r="A14" s="98" t="s">
        <v>105</v>
      </c>
      <c r="B14" s="98" t="s">
        <v>18</v>
      </c>
      <c r="C14" s="98" t="s">
        <v>107</v>
      </c>
      <c r="D14" s="98" t="s">
        <v>106</v>
      </c>
      <c r="E14" s="98" t="s">
        <v>108</v>
      </c>
      <c r="F14" s="98" t="s">
        <v>146</v>
      </c>
    </row>
    <row r="15" spans="1:7" x14ac:dyDescent="0.25">
      <c r="A15" s="1" t="s">
        <v>25</v>
      </c>
      <c r="B15" s="76">
        <v>2</v>
      </c>
      <c r="C15" s="76" t="s">
        <v>115</v>
      </c>
      <c r="D15" s="76" t="s">
        <v>114</v>
      </c>
      <c r="E15" s="76" t="s">
        <v>127</v>
      </c>
      <c r="F15" s="93">
        <f>(3800/365)/3</f>
        <v>3.4703196347031966</v>
      </c>
    </row>
    <row r="16" spans="1:7" x14ac:dyDescent="0.25">
      <c r="A16" s="1" t="s">
        <v>25</v>
      </c>
      <c r="B16" s="76">
        <v>1</v>
      </c>
      <c r="C16" s="76" t="s">
        <v>115</v>
      </c>
      <c r="D16" s="76" t="s">
        <v>126</v>
      </c>
      <c r="E16" s="76">
        <v>2010</v>
      </c>
      <c r="F16" s="93">
        <f>(3800/365)/3</f>
        <v>3.4703196347031966</v>
      </c>
    </row>
    <row r="17" spans="1:5" x14ac:dyDescent="0.25">
      <c r="A17" s="1"/>
      <c r="B17" s="1"/>
      <c r="C17" s="1"/>
      <c r="D17" s="1"/>
      <c r="E17" s="1"/>
    </row>
    <row r="18" spans="1:5" x14ac:dyDescent="0.25">
      <c r="A18" s="107" t="s">
        <v>124</v>
      </c>
      <c r="B18" s="108"/>
    </row>
    <row r="19" spans="1:5" x14ac:dyDescent="0.25">
      <c r="A19" s="1" t="s">
        <v>125</v>
      </c>
      <c r="B19" s="76">
        <v>33</v>
      </c>
      <c r="C19" s="1"/>
      <c r="D19" s="1"/>
    </row>
    <row r="20" spans="1:5" x14ac:dyDescent="0.25">
      <c r="A20" s="1"/>
    </row>
  </sheetData>
  <sheetProtection password="B056" sheet="1" objects="1" scenarios="1"/>
  <mergeCells count="3">
    <mergeCell ref="A18:B18"/>
    <mergeCell ref="A3:B3"/>
    <mergeCell ref="A13:F13"/>
  </mergeCells>
  <pageMargins left="0.511811024" right="0.511811024" top="0.78740157499999996" bottom="0.78740157499999996" header="0.31496062000000002" footer="0.31496062000000002"/>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abSelected="1" workbookViewId="0">
      <selection activeCell="J6" sqref="J6"/>
    </sheetView>
  </sheetViews>
  <sheetFormatPr defaultRowHeight="15" customHeight="1" x14ac:dyDescent="0.25"/>
  <cols>
    <col min="1" max="1" width="19.42578125" style="2" customWidth="1"/>
    <col min="2" max="16384" width="9.140625" style="2"/>
  </cols>
  <sheetData>
    <row r="1" spans="1:9" ht="15" customHeight="1" x14ac:dyDescent="0.25">
      <c r="A1" s="166" t="s">
        <v>102</v>
      </c>
      <c r="B1" s="149" t="s">
        <v>1</v>
      </c>
      <c r="C1" s="150"/>
      <c r="D1" s="150"/>
      <c r="E1" s="150"/>
      <c r="F1" s="150"/>
      <c r="G1" s="150"/>
      <c r="H1" s="150"/>
    </row>
    <row r="2" spans="1:9" ht="15" customHeight="1" x14ac:dyDescent="0.25">
      <c r="A2" s="166"/>
      <c r="B2" s="5" t="s">
        <v>2</v>
      </c>
      <c r="C2" s="5" t="s">
        <v>3</v>
      </c>
      <c r="D2" s="5" t="s">
        <v>20</v>
      </c>
      <c r="E2" s="5" t="s">
        <v>5</v>
      </c>
      <c r="F2" s="5" t="s">
        <v>6</v>
      </c>
      <c r="G2" s="5" t="s">
        <v>4</v>
      </c>
      <c r="H2" s="5" t="s">
        <v>182</v>
      </c>
    </row>
    <row r="3" spans="1:9" ht="15" customHeight="1" x14ac:dyDescent="0.25">
      <c r="A3" s="2" t="s">
        <v>83</v>
      </c>
      <c r="B3" s="39">
        <f>'Emissão Transferências'!I13</f>
        <v>2.3875094920922688E-2</v>
      </c>
      <c r="C3" s="39">
        <f>'Emissão Transferências'!J13</f>
        <v>1.1292274624760729E-2</v>
      </c>
      <c r="D3" s="39">
        <f>'Emissão Transferências'!K13</f>
        <v>1.7099730146066248E-3</v>
      </c>
      <c r="E3" s="39" t="s">
        <v>104</v>
      </c>
      <c r="F3" s="39" t="s">
        <v>104</v>
      </c>
      <c r="G3" s="39" t="s">
        <v>104</v>
      </c>
      <c r="H3" s="39" t="s">
        <v>104</v>
      </c>
    </row>
    <row r="4" spans="1:9" ht="15" customHeight="1" x14ac:dyDescent="0.25">
      <c r="A4" s="2" t="s">
        <v>98</v>
      </c>
      <c r="B4" s="39">
        <f>'Emissão Maq e Equip'!K7</f>
        <v>1.2858499436963558E-2</v>
      </c>
      <c r="C4" s="39">
        <f>'Emissão Maq e Equip'!L7</f>
        <v>1.2858499436963558E-2</v>
      </c>
      <c r="D4" s="39">
        <f>'Emissão Maq e Equip'!M7</f>
        <v>1.2858499436963558E-2</v>
      </c>
      <c r="E4" s="39">
        <f>'Emissão Maq e Equip'!N7</f>
        <v>0.2616851639886017</v>
      </c>
      <c r="F4" s="39">
        <f>'Emissão Maq e Equip'!O7</f>
        <v>2.6685743955455791E-4</v>
      </c>
      <c r="G4" s="39">
        <f>'Emissão Maq e Equip'!P7</f>
        <v>0.11096391459414827</v>
      </c>
      <c r="H4" s="39">
        <f>'Emissão Maq e Equip'!Q7</f>
        <v>3.035336711403927E-2</v>
      </c>
    </row>
    <row r="5" spans="1:9" ht="15" customHeight="1" x14ac:dyDescent="0.25">
      <c r="A5" s="2" t="s">
        <v>99</v>
      </c>
      <c r="B5" s="39">
        <f>'Emissão Britagem e Peneiramento'!F4+'Emissão Britagem e Peneiramento'!F10</f>
        <v>3.6055936073059361E-2</v>
      </c>
      <c r="C5" s="39">
        <f>'Emissão Britagem e Peneiramento'!G4+'Emissão Britagem e Peneiramento'!G10</f>
        <v>1.2351598173515981E-2</v>
      </c>
      <c r="D5" s="39">
        <f>'Emissão Britagem e Peneiramento'!H4+'Emissão Britagem e Peneiramento'!H10</f>
        <v>8.4262344536317139E-4</v>
      </c>
      <c r="E5" s="39" t="s">
        <v>104</v>
      </c>
      <c r="F5" s="39" t="s">
        <v>104</v>
      </c>
      <c r="G5" s="39" t="s">
        <v>104</v>
      </c>
      <c r="H5" s="39" t="s">
        <v>104</v>
      </c>
    </row>
    <row r="6" spans="1:9" ht="15" customHeight="1" x14ac:dyDescent="0.25">
      <c r="A6" s="2" t="s">
        <v>100</v>
      </c>
      <c r="B6" s="39">
        <f>'Emissão Vias '!V7</f>
        <v>0.61153422803291768</v>
      </c>
      <c r="C6" s="39">
        <f>'Emissão Vias '!W7</f>
        <v>0.17441469865853015</v>
      </c>
      <c r="D6" s="39">
        <f>'Emissão Vias '!X7</f>
        <v>1.7566570230253008E-2</v>
      </c>
      <c r="E6" s="39">
        <f>'Emissão Vias '!Y7</f>
        <v>4.3190800465930613E-3</v>
      </c>
      <c r="F6" s="39">
        <f>'Emissão Vias '!Z7</f>
        <v>3.309143186155223E-6</v>
      </c>
      <c r="G6" s="39">
        <f>'Emissão Vias '!AA7</f>
        <v>8.2524694771365253E-4</v>
      </c>
      <c r="H6" s="39">
        <f>'Emissão Vias '!AB7</f>
        <v>1.9683049226657236E-4</v>
      </c>
    </row>
    <row r="7" spans="1:9" ht="15" customHeight="1" x14ac:dyDescent="0.25">
      <c r="A7" s="2" t="s">
        <v>101</v>
      </c>
      <c r="B7" s="39">
        <v>2.0734284465358979</v>
      </c>
      <c r="C7" s="39">
        <v>1.0367142232679489</v>
      </c>
      <c r="D7" s="39">
        <v>0.15550713349019232</v>
      </c>
      <c r="E7" s="39" t="s">
        <v>104</v>
      </c>
      <c r="F7" s="39" t="s">
        <v>104</v>
      </c>
      <c r="G7" s="39" t="s">
        <v>104</v>
      </c>
      <c r="H7" s="39" t="s">
        <v>104</v>
      </c>
    </row>
    <row r="8" spans="1:9" ht="15" customHeight="1" x14ac:dyDescent="0.25">
      <c r="A8" s="67" t="s">
        <v>178</v>
      </c>
      <c r="B8" s="16">
        <f>SUM(B3:B7)</f>
        <v>2.7577522049997611</v>
      </c>
      <c r="C8" s="16">
        <f t="shared" ref="C8:H8" si="0">SUM(C3:C7)</f>
        <v>1.2476312941617194</v>
      </c>
      <c r="D8" s="16">
        <f>SUM(D3:D7)</f>
        <v>0.18848479961737868</v>
      </c>
      <c r="E8" s="16">
        <f>SUM(E3:E7)</f>
        <v>0.26600424403519474</v>
      </c>
      <c r="F8" s="16">
        <f t="shared" si="0"/>
        <v>2.7016658274071312E-4</v>
      </c>
      <c r="G8" s="16">
        <f>SUM(G3:G7)</f>
        <v>0.11178916154186193</v>
      </c>
      <c r="H8" s="16">
        <f t="shared" si="0"/>
        <v>3.0550197606305843E-2</v>
      </c>
      <c r="I8" s="50"/>
    </row>
    <row r="10" spans="1:9" ht="15" customHeight="1" x14ac:dyDescent="0.25">
      <c r="A10" s="2" t="s">
        <v>185</v>
      </c>
    </row>
  </sheetData>
  <sheetProtection password="B056" sheet="1" objects="1" scenarios="1"/>
  <mergeCells count="2">
    <mergeCell ref="B1:H1"/>
    <mergeCell ref="A1:A2"/>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workbookViewId="0">
      <selection activeCell="A2" sqref="A2"/>
    </sheetView>
  </sheetViews>
  <sheetFormatPr defaultRowHeight="15" x14ac:dyDescent="0.25"/>
  <cols>
    <col min="1" max="1" width="26.5703125" customWidth="1"/>
    <col min="2" max="2" width="25" customWidth="1"/>
    <col min="3" max="4" width="9.42578125" bestFit="1" customWidth="1"/>
    <col min="5" max="5" width="10.42578125" bestFit="1" customWidth="1"/>
    <col min="6" max="7" width="9.42578125" bestFit="1" customWidth="1"/>
    <col min="8" max="8" width="10.7109375" bestFit="1" customWidth="1"/>
    <col min="9" max="9" width="9.42578125" bestFit="1" customWidth="1"/>
    <col min="11" max="11" width="12.7109375" bestFit="1" customWidth="1"/>
  </cols>
  <sheetData>
    <row r="1" spans="1:19" x14ac:dyDescent="0.25">
      <c r="A1" s="2" t="s">
        <v>23</v>
      </c>
    </row>
    <row r="2" spans="1:19" x14ac:dyDescent="0.25">
      <c r="A2" s="7" t="s">
        <v>7</v>
      </c>
      <c r="B2" s="7" t="s">
        <v>8</v>
      </c>
      <c r="C2" s="7" t="s">
        <v>9</v>
      </c>
      <c r="D2" s="7" t="s">
        <v>10</v>
      </c>
      <c r="E2" s="7" t="s">
        <v>11</v>
      </c>
      <c r="F2" s="7" t="s">
        <v>12</v>
      </c>
      <c r="G2" s="7" t="s">
        <v>13</v>
      </c>
      <c r="H2" s="7" t="s">
        <v>14</v>
      </c>
      <c r="I2" s="7" t="s">
        <v>15</v>
      </c>
    </row>
    <row r="3" spans="1:19" x14ac:dyDescent="0.25">
      <c r="A3" s="131" t="s">
        <v>128</v>
      </c>
      <c r="B3" s="17" t="s">
        <v>130</v>
      </c>
      <c r="C3" s="68">
        <v>3.7000218430658419E-3</v>
      </c>
      <c r="D3" s="68">
        <v>6.2634101982439475E-2</v>
      </c>
      <c r="E3" s="68">
        <v>9.743111874295214E-5</v>
      </c>
      <c r="F3" s="68">
        <v>3.1726510581346248E-2</v>
      </c>
      <c r="G3" s="68">
        <v>9.617331005027584E-3</v>
      </c>
      <c r="H3" s="68">
        <v>7.6789352734510308</v>
      </c>
      <c r="I3" s="68">
        <v>8.6775630615361235E-4</v>
      </c>
    </row>
    <row r="4" spans="1:19" x14ac:dyDescent="0.25">
      <c r="A4" s="132"/>
      <c r="B4" s="17" t="s">
        <v>131</v>
      </c>
      <c r="C4" s="68">
        <v>1.8399628356360241E-2</v>
      </c>
      <c r="D4" s="68">
        <v>0.15591083736515837</v>
      </c>
      <c r="E4" s="68">
        <v>1.8265583778656955E-4</v>
      </c>
      <c r="F4" s="68">
        <v>0.1935344365160718</v>
      </c>
      <c r="G4" s="68">
        <v>8.2192831300703303E-2</v>
      </c>
      <c r="H4" s="68">
        <v>14.129245507464486</v>
      </c>
      <c r="I4" s="68">
        <v>7.4161293208883728E-3</v>
      </c>
    </row>
    <row r="5" spans="1:19" x14ac:dyDescent="0.25">
      <c r="A5" s="132"/>
      <c r="B5" s="17" t="s">
        <v>132</v>
      </c>
      <c r="C5" s="68">
        <v>3.3448764765636754E-2</v>
      </c>
      <c r="D5" s="68">
        <v>0.3681523181903652</v>
      </c>
      <c r="E5" s="68">
        <v>3.134708504215872E-4</v>
      </c>
      <c r="F5" s="68">
        <v>0.19793122454097767</v>
      </c>
      <c r="G5" s="68">
        <v>6.2778128266698749E-2</v>
      </c>
      <c r="H5" s="68">
        <v>26.722693407793006</v>
      </c>
      <c r="I5" s="68">
        <v>5.6643699593085083E-3</v>
      </c>
    </row>
    <row r="6" spans="1:19" x14ac:dyDescent="0.25">
      <c r="A6" s="132"/>
      <c r="B6" s="17" t="s">
        <v>133</v>
      </c>
      <c r="C6" s="68">
        <v>3.325451731672846E-2</v>
      </c>
      <c r="D6" s="68">
        <v>0.59096242118882292</v>
      </c>
      <c r="E6" s="68">
        <v>5.4259957372580889E-4</v>
      </c>
      <c r="F6" s="68">
        <v>0.28953177409349906</v>
      </c>
      <c r="G6" s="68">
        <v>7.5243801426827045E-2</v>
      </c>
      <c r="H6" s="68">
        <v>48.223711418672806</v>
      </c>
      <c r="I6" s="68">
        <v>6.7891273836079673E-3</v>
      </c>
    </row>
    <row r="7" spans="1:19" x14ac:dyDescent="0.25">
      <c r="A7" s="132"/>
      <c r="B7" s="17" t="s">
        <v>134</v>
      </c>
      <c r="C7" s="15">
        <v>2.9009654356216857E-2</v>
      </c>
      <c r="D7" s="15">
        <v>0.78746681018600329</v>
      </c>
      <c r="E7" s="15">
        <v>7.6033065817187793E-4</v>
      </c>
      <c r="F7" s="15">
        <v>0.21226135211348907</v>
      </c>
      <c r="G7" s="15">
        <v>7.5911800065735072E-2</v>
      </c>
      <c r="H7" s="15">
        <v>67.574644600470606</v>
      </c>
      <c r="I7" s="15">
        <v>6.8493999113846422E-3</v>
      </c>
    </row>
    <row r="8" spans="1:19" x14ac:dyDescent="0.25">
      <c r="A8" s="132"/>
      <c r="B8" s="17" t="s">
        <v>135</v>
      </c>
      <c r="C8" s="15">
        <v>4.169760719486422E-2</v>
      </c>
      <c r="D8" s="15">
        <v>1.110583803811519</v>
      </c>
      <c r="E8" s="15">
        <v>1.0551973170190355E-3</v>
      </c>
      <c r="F8" s="15">
        <v>0.40296945869392969</v>
      </c>
      <c r="G8" s="15">
        <v>0.10860846066555514</v>
      </c>
      <c r="H8" s="15">
        <v>107.505102453333</v>
      </c>
      <c r="I8" s="15">
        <v>9.7995688083525809E-3</v>
      </c>
    </row>
    <row r="9" spans="1:19" x14ac:dyDescent="0.25">
      <c r="A9" s="132"/>
      <c r="B9" s="17" t="s">
        <v>136</v>
      </c>
      <c r="C9" s="15">
        <v>8.6389290470800795E-2</v>
      </c>
      <c r="D9" s="15">
        <v>2.3356878692086727</v>
      </c>
      <c r="E9" s="15">
        <v>2.2143706679412858E-3</v>
      </c>
      <c r="F9" s="15">
        <v>0.82233724987200518</v>
      </c>
      <c r="G9" s="15">
        <v>0.22474335659556449</v>
      </c>
      <c r="H9" s="15">
        <v>220.23186528550329</v>
      </c>
      <c r="I9" s="15">
        <v>2.0278235854442137E-2</v>
      </c>
    </row>
    <row r="10" spans="1:19" x14ac:dyDescent="0.25">
      <c r="A10" s="132"/>
      <c r="B10" s="17" t="s">
        <v>137</v>
      </c>
      <c r="C10" s="15">
        <v>0.10723346580155503</v>
      </c>
      <c r="D10" s="15">
        <v>3.4948154074498077</v>
      </c>
      <c r="E10" s="15">
        <v>2.708511738188684E-3</v>
      </c>
      <c r="F10" s="15">
        <v>1.1774964073746066</v>
      </c>
      <c r="G10" s="15">
        <v>0.31237996642578547</v>
      </c>
      <c r="H10" s="15">
        <v>269.37703179835518</v>
      </c>
      <c r="I10" s="15">
        <v>2.8185540671371988E-2</v>
      </c>
    </row>
    <row r="11" spans="1:19" x14ac:dyDescent="0.25">
      <c r="A11" s="131" t="s">
        <v>129</v>
      </c>
      <c r="B11" s="17" t="s">
        <v>138</v>
      </c>
      <c r="C11" s="68">
        <v>2.9202341720045702E-3</v>
      </c>
      <c r="D11" s="68">
        <v>5.9604858390788933E-2</v>
      </c>
      <c r="E11" s="68">
        <v>9.7431140625364363E-5</v>
      </c>
      <c r="F11" s="68">
        <v>3.1618351598451472E-2</v>
      </c>
      <c r="G11" s="68">
        <v>9.3412964088336672E-3</v>
      </c>
      <c r="H11" s="68">
        <v>7.6789368974368148</v>
      </c>
      <c r="I11" s="68">
        <v>8.4285006674393343E-4</v>
      </c>
      <c r="J11" s="18"/>
      <c r="K11" s="18"/>
      <c r="L11" s="69"/>
      <c r="M11" s="70"/>
      <c r="N11" s="70"/>
      <c r="O11" s="70"/>
      <c r="P11" s="70"/>
      <c r="Q11" s="70"/>
      <c r="R11" s="70"/>
      <c r="S11" s="70"/>
    </row>
    <row r="12" spans="1:19" x14ac:dyDescent="0.25">
      <c r="A12" s="132"/>
      <c r="B12" s="17" t="s">
        <v>139</v>
      </c>
      <c r="C12" s="68">
        <v>1.6391981904910563E-2</v>
      </c>
      <c r="D12" s="68">
        <v>0.15117337261768726</v>
      </c>
      <c r="E12" s="68">
        <v>1.8265580223355516E-4</v>
      </c>
      <c r="F12" s="68">
        <v>0.18165232980065088</v>
      </c>
      <c r="G12" s="68">
        <v>7.0744796614581676E-2</v>
      </c>
      <c r="H12" s="68">
        <v>14.129242349546733</v>
      </c>
      <c r="I12" s="68">
        <v>6.3831885543589612E-3</v>
      </c>
      <c r="L12" s="70"/>
      <c r="M12" s="70"/>
      <c r="N12" s="70"/>
      <c r="O12" s="70"/>
      <c r="P12" s="70"/>
      <c r="Q12" s="70"/>
      <c r="R12" s="70"/>
      <c r="S12" s="70"/>
    </row>
    <row r="13" spans="1:19" x14ac:dyDescent="0.25">
      <c r="A13" s="132"/>
      <c r="B13" s="17" t="s">
        <v>140</v>
      </c>
      <c r="C13" s="68">
        <v>2.995466208489856E-2</v>
      </c>
      <c r="D13" s="68">
        <v>0.32780250501962283</v>
      </c>
      <c r="E13" s="68">
        <v>3.1347084901286391E-4</v>
      </c>
      <c r="F13" s="68">
        <v>0.19360351372005194</v>
      </c>
      <c r="G13" s="68">
        <v>5.4701662763641072E-2</v>
      </c>
      <c r="H13" s="68">
        <v>26.7226905350851</v>
      </c>
      <c r="I13" s="68">
        <v>4.935643662346543E-3</v>
      </c>
      <c r="L13" s="70"/>
      <c r="M13" s="70"/>
      <c r="N13" s="70"/>
      <c r="O13" s="70"/>
      <c r="P13" s="70"/>
      <c r="Q13" s="70"/>
      <c r="R13" s="70"/>
      <c r="S13" s="70"/>
    </row>
    <row r="14" spans="1:19" x14ac:dyDescent="0.25">
      <c r="A14" s="132"/>
      <c r="B14" s="17" t="s">
        <v>141</v>
      </c>
      <c r="C14" s="68">
        <v>3.0132794272788564E-2</v>
      </c>
      <c r="D14" s="68">
        <v>0.52221973246255726</v>
      </c>
      <c r="E14" s="68">
        <v>5.4259962140923684E-4</v>
      </c>
      <c r="F14" s="68">
        <v>0.28692149096083081</v>
      </c>
      <c r="G14" s="68">
        <v>6.693164269738372E-2</v>
      </c>
      <c r="H14" s="68">
        <v>48.223731813202029</v>
      </c>
      <c r="I14" s="68">
        <v>6.0391344522409086E-3</v>
      </c>
      <c r="L14" s="70"/>
      <c r="M14" s="70"/>
      <c r="N14" s="70"/>
      <c r="O14" s="70"/>
      <c r="P14" s="70"/>
      <c r="Q14" s="70"/>
      <c r="R14" s="70"/>
      <c r="S14" s="70"/>
    </row>
    <row r="15" spans="1:19" x14ac:dyDescent="0.25">
      <c r="A15" s="132"/>
      <c r="B15" s="17" t="s">
        <v>142</v>
      </c>
      <c r="C15" s="15">
        <v>2.5539363464009892E-2</v>
      </c>
      <c r="D15" s="15">
        <v>0.69657734888031786</v>
      </c>
      <c r="E15" s="15">
        <v>7.6033067631068642E-4</v>
      </c>
      <c r="F15" s="15">
        <v>0.19094980745467444</v>
      </c>
      <c r="G15" s="15">
        <v>6.7742052653934487E-2</v>
      </c>
      <c r="H15" s="15">
        <v>67.57463981590324</v>
      </c>
      <c r="I15" s="15">
        <v>6.1122575850232662E-3</v>
      </c>
      <c r="L15" s="70"/>
      <c r="M15" s="70"/>
      <c r="N15" s="70"/>
      <c r="O15" s="70"/>
      <c r="P15" s="70"/>
      <c r="Q15" s="70"/>
      <c r="R15" s="70"/>
      <c r="S15" s="70"/>
    </row>
    <row r="16" spans="1:19" x14ac:dyDescent="0.25">
      <c r="A16" s="132"/>
      <c r="B16" s="17" t="s">
        <v>143</v>
      </c>
      <c r="C16" s="15">
        <v>3.7157707966845858E-2</v>
      </c>
      <c r="D16" s="15">
        <v>0.98354779109154167</v>
      </c>
      <c r="E16" s="15">
        <v>1.0551975559500272E-3</v>
      </c>
      <c r="F16" s="15">
        <v>0.34692613118564036</v>
      </c>
      <c r="G16" s="15">
        <v>9.8542163016599807E-2</v>
      </c>
      <c r="H16" s="15">
        <v>107.50507618522252</v>
      </c>
      <c r="I16" s="15">
        <v>8.8913043244424911E-3</v>
      </c>
    </row>
    <row r="17" spans="1:9" x14ac:dyDescent="0.25">
      <c r="A17" s="132"/>
      <c r="B17" s="17" t="s">
        <v>144</v>
      </c>
      <c r="C17" s="15">
        <v>7.7112205330647318E-2</v>
      </c>
      <c r="D17" s="15">
        <v>2.0711054686161838</v>
      </c>
      <c r="E17" s="15">
        <v>2.2143705132836259E-3</v>
      </c>
      <c r="F17" s="15">
        <v>0.70874287286222937</v>
      </c>
      <c r="G17" s="15">
        <v>0.20337490522686835</v>
      </c>
      <c r="H17" s="15">
        <v>220.23187519793501</v>
      </c>
      <c r="I17" s="15">
        <v>1.8350194654257062E-2</v>
      </c>
    </row>
    <row r="18" spans="1:9" x14ac:dyDescent="0.25">
      <c r="A18" s="132"/>
      <c r="B18" s="17" t="s">
        <v>145</v>
      </c>
      <c r="C18" s="15">
        <v>9.7787961121556896E-2</v>
      </c>
      <c r="D18" s="15">
        <v>3.2371999151248954</v>
      </c>
      <c r="E18" s="15">
        <v>2.7085132338435592E-3</v>
      </c>
      <c r="F18" s="15">
        <v>1.0118685763382951</v>
      </c>
      <c r="G18" s="15">
        <v>0.27914071620004927</v>
      </c>
      <c r="H18" s="15">
        <v>269.3771366521035</v>
      </c>
      <c r="I18" s="15">
        <v>2.5186413863979819E-2</v>
      </c>
    </row>
    <row r="20" spans="1:9" x14ac:dyDescent="0.25">
      <c r="A20" s="110" t="s">
        <v>21</v>
      </c>
      <c r="B20" s="113"/>
      <c r="C20" s="114"/>
      <c r="D20" s="114"/>
      <c r="E20" s="115"/>
    </row>
    <row r="21" spans="1:9" x14ac:dyDescent="0.25">
      <c r="A21" s="111"/>
      <c r="B21" s="116"/>
      <c r="C21" s="117"/>
      <c r="D21" s="117"/>
      <c r="E21" s="118"/>
    </row>
    <row r="22" spans="1:9" x14ac:dyDescent="0.25">
      <c r="A22" s="111"/>
      <c r="B22" s="119"/>
      <c r="C22" s="120"/>
      <c r="D22" s="120"/>
      <c r="E22" s="121"/>
    </row>
    <row r="23" spans="1:9" x14ac:dyDescent="0.25">
      <c r="A23" s="111"/>
      <c r="B23" s="122" t="s">
        <v>22</v>
      </c>
      <c r="C23" s="123"/>
      <c r="D23" s="123"/>
      <c r="E23" s="124"/>
    </row>
    <row r="24" spans="1:9" x14ac:dyDescent="0.25">
      <c r="A24" s="111"/>
      <c r="B24" s="125"/>
      <c r="C24" s="126"/>
      <c r="D24" s="126"/>
      <c r="E24" s="127"/>
    </row>
    <row r="25" spans="1:9" x14ac:dyDescent="0.25">
      <c r="A25" s="111"/>
      <c r="B25" s="125"/>
      <c r="C25" s="126"/>
      <c r="D25" s="126"/>
      <c r="E25" s="127"/>
    </row>
    <row r="26" spans="1:9" x14ac:dyDescent="0.25">
      <c r="A26" s="112"/>
      <c r="B26" s="128"/>
      <c r="C26" s="129"/>
      <c r="D26" s="129"/>
      <c r="E26" s="130"/>
    </row>
    <row r="28" spans="1:9" x14ac:dyDescent="0.25">
      <c r="A28" s="2"/>
    </row>
    <row r="29" spans="1:9" x14ac:dyDescent="0.25">
      <c r="A29" s="2"/>
    </row>
  </sheetData>
  <sheetProtection password="B056" sheet="1" objects="1" scenarios="1"/>
  <mergeCells count="5">
    <mergeCell ref="A20:A26"/>
    <mergeCell ref="B20:E22"/>
    <mergeCell ref="B23:E26"/>
    <mergeCell ref="A11:A18"/>
    <mergeCell ref="A3:A10"/>
  </mergeCells>
  <pageMargins left="0.511811024" right="0.511811024" top="0.78740157499999996" bottom="0.78740157499999996" header="0.31496062000000002" footer="0.31496062000000002"/>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D19" sqref="D19"/>
    </sheetView>
  </sheetViews>
  <sheetFormatPr defaultRowHeight="15" x14ac:dyDescent="0.25"/>
  <cols>
    <col min="1" max="1" width="28.140625" bestFit="1" customWidth="1"/>
    <col min="2" max="7" width="14.5703125" customWidth="1"/>
  </cols>
  <sheetData>
    <row r="1" spans="1:5" x14ac:dyDescent="0.25">
      <c r="A1" s="133" t="s">
        <v>31</v>
      </c>
      <c r="B1" s="134"/>
      <c r="C1" s="134"/>
      <c r="D1" s="134"/>
    </row>
    <row r="2" spans="1:5" x14ac:dyDescent="0.25">
      <c r="A2" s="13"/>
      <c r="B2" s="13" t="s">
        <v>2</v>
      </c>
      <c r="C2" s="13" t="s">
        <v>27</v>
      </c>
      <c r="D2" s="13" t="s">
        <v>28</v>
      </c>
    </row>
    <row r="3" spans="1:5" x14ac:dyDescent="0.25">
      <c r="A3" s="12" t="s">
        <v>29</v>
      </c>
      <c r="B3" s="61">
        <v>0.74</v>
      </c>
      <c r="C3" s="61">
        <v>0.35</v>
      </c>
      <c r="D3" s="61">
        <v>5.2999999999999999E-2</v>
      </c>
    </row>
    <row r="5" spans="1:5" x14ac:dyDescent="0.25">
      <c r="A5" s="110" t="s">
        <v>21</v>
      </c>
      <c r="B5" s="22"/>
      <c r="C5" s="23"/>
      <c r="D5" s="23"/>
      <c r="E5" s="28"/>
    </row>
    <row r="6" spans="1:5" x14ac:dyDescent="0.25">
      <c r="A6" s="111"/>
      <c r="B6" s="24"/>
      <c r="C6" s="25"/>
      <c r="D6" s="25"/>
      <c r="E6" s="28"/>
    </row>
    <row r="7" spans="1:5" x14ac:dyDescent="0.25">
      <c r="A7" s="111"/>
      <c r="B7" s="26"/>
      <c r="C7" s="27"/>
      <c r="D7" s="27"/>
      <c r="E7" s="28"/>
    </row>
    <row r="8" spans="1:5" ht="15" customHeight="1" x14ac:dyDescent="0.25">
      <c r="A8" s="111"/>
      <c r="B8" s="122" t="s">
        <v>30</v>
      </c>
      <c r="C8" s="123"/>
      <c r="D8" s="123"/>
      <c r="E8" s="29"/>
    </row>
    <row r="9" spans="1:5" x14ac:dyDescent="0.25">
      <c r="A9" s="111"/>
      <c r="B9" s="125"/>
      <c r="C9" s="126"/>
      <c r="D9" s="126"/>
      <c r="E9" s="29"/>
    </row>
    <row r="10" spans="1:5" ht="17.25" customHeight="1" x14ac:dyDescent="0.25">
      <c r="A10" s="111"/>
      <c r="B10" s="125"/>
      <c r="C10" s="126"/>
      <c r="D10" s="126"/>
      <c r="E10" s="29"/>
    </row>
    <row r="11" spans="1:5" ht="19.5" customHeight="1" x14ac:dyDescent="0.25">
      <c r="A11" s="112"/>
      <c r="B11" s="128"/>
      <c r="C11" s="129"/>
      <c r="D11" s="129"/>
      <c r="E11" s="29"/>
    </row>
  </sheetData>
  <sheetProtection password="B056" sheet="1" objects="1" scenarios="1"/>
  <mergeCells count="3">
    <mergeCell ref="A1:D1"/>
    <mergeCell ref="A5:A11"/>
    <mergeCell ref="B8:D11"/>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0"/>
  <sheetViews>
    <sheetView workbookViewId="0">
      <selection activeCell="B4" sqref="B4"/>
    </sheetView>
  </sheetViews>
  <sheetFormatPr defaultRowHeight="15" x14ac:dyDescent="0.25"/>
  <cols>
    <col min="1" max="1" width="24.42578125" customWidth="1"/>
    <col min="2" max="5" width="20.42578125" customWidth="1"/>
    <col min="6" max="6" width="20.85546875" customWidth="1"/>
    <col min="7" max="7" width="18.42578125" customWidth="1"/>
  </cols>
  <sheetData>
    <row r="1" spans="1:7" x14ac:dyDescent="0.25">
      <c r="A1" s="2" t="s">
        <v>84</v>
      </c>
    </row>
    <row r="2" spans="1:7" x14ac:dyDescent="0.25">
      <c r="A2" s="136" t="s">
        <v>85</v>
      </c>
      <c r="B2" s="137"/>
      <c r="C2" s="137"/>
      <c r="D2" s="137"/>
      <c r="E2" s="137"/>
      <c r="F2" s="137"/>
      <c r="G2" s="137"/>
    </row>
    <row r="3" spans="1:7" ht="15" customHeight="1" x14ac:dyDescent="0.25">
      <c r="A3" s="135" t="s">
        <v>86</v>
      </c>
      <c r="B3" s="135"/>
      <c r="C3" s="135"/>
      <c r="D3" s="135"/>
      <c r="E3" s="135"/>
      <c r="F3" s="135"/>
      <c r="G3" s="135"/>
    </row>
    <row r="4" spans="1:7" x14ac:dyDescent="0.25">
      <c r="A4" s="55" t="s">
        <v>78</v>
      </c>
      <c r="B4" s="56" t="s">
        <v>2</v>
      </c>
      <c r="C4" s="56" t="s">
        <v>91</v>
      </c>
      <c r="D4" s="56" t="s">
        <v>27</v>
      </c>
      <c r="E4" s="56" t="s">
        <v>91</v>
      </c>
      <c r="F4" s="56" t="s">
        <v>82</v>
      </c>
      <c r="G4" s="56" t="s">
        <v>91</v>
      </c>
    </row>
    <row r="5" spans="1:7" x14ac:dyDescent="0.25">
      <c r="A5" s="64" t="s">
        <v>87</v>
      </c>
      <c r="B5" s="65">
        <v>2.7000000000000001E-3</v>
      </c>
      <c r="C5" s="65" t="s">
        <v>92</v>
      </c>
      <c r="D5" s="65">
        <v>1.1999999999999999E-3</v>
      </c>
      <c r="E5" s="65" t="s">
        <v>93</v>
      </c>
      <c r="F5" s="65" t="s">
        <v>80</v>
      </c>
      <c r="G5" s="49"/>
    </row>
    <row r="6" spans="1:7" x14ac:dyDescent="0.25">
      <c r="A6" s="20" t="s">
        <v>88</v>
      </c>
      <c r="B6" s="61">
        <v>5.9999999999999995E-4</v>
      </c>
      <c r="C6" s="61" t="s">
        <v>92</v>
      </c>
      <c r="D6" s="61">
        <v>2.7E-4</v>
      </c>
      <c r="E6" s="61" t="s">
        <v>93</v>
      </c>
      <c r="F6" s="61">
        <v>5.0000000000000002E-5</v>
      </c>
      <c r="G6" s="31" t="s">
        <v>92</v>
      </c>
    </row>
    <row r="7" spans="1:7" x14ac:dyDescent="0.25">
      <c r="A7" s="52" t="s">
        <v>79</v>
      </c>
      <c r="B7" s="57">
        <v>1.2500000000000001E-2</v>
      </c>
      <c r="C7" s="57" t="s">
        <v>92</v>
      </c>
      <c r="D7" s="57">
        <v>4.3E-3</v>
      </c>
      <c r="E7" s="57" t="s">
        <v>93</v>
      </c>
      <c r="F7" s="57" t="s">
        <v>80</v>
      </c>
      <c r="G7" s="49"/>
    </row>
    <row r="8" spans="1:7" x14ac:dyDescent="0.25">
      <c r="A8" s="2" t="s">
        <v>89</v>
      </c>
      <c r="B8" s="31">
        <v>1.1000000000000001E-3</v>
      </c>
      <c r="C8" s="31" t="s">
        <v>92</v>
      </c>
      <c r="D8" s="31">
        <v>3.6999999999999999E-4</v>
      </c>
      <c r="E8" s="31" t="s">
        <v>93</v>
      </c>
      <c r="F8" s="58">
        <v>2.5000000000000001E-5</v>
      </c>
      <c r="G8" s="31" t="s">
        <v>92</v>
      </c>
    </row>
    <row r="9" spans="1:7" x14ac:dyDescent="0.25">
      <c r="A9" s="2"/>
      <c r="B9" s="1"/>
      <c r="C9" s="1"/>
      <c r="D9" s="1"/>
      <c r="E9" s="1"/>
    </row>
    <row r="10" spans="1:7" x14ac:dyDescent="0.25">
      <c r="A10" s="14" t="s">
        <v>165</v>
      </c>
      <c r="D10" s="71"/>
    </row>
    <row r="11" spans="1:7" x14ac:dyDescent="0.25">
      <c r="A11" s="136" t="s">
        <v>158</v>
      </c>
      <c r="B11" s="137"/>
      <c r="C11" s="137"/>
      <c r="D11" s="92"/>
      <c r="E11" s="92"/>
      <c r="F11" s="92"/>
      <c r="G11" s="92"/>
    </row>
    <row r="12" spans="1:7" ht="26.25" customHeight="1" x14ac:dyDescent="0.25">
      <c r="A12" s="138" t="s">
        <v>163</v>
      </c>
      <c r="B12" s="139"/>
      <c r="C12" s="140"/>
      <c r="D12" s="89"/>
      <c r="E12" s="89"/>
      <c r="F12" s="89"/>
      <c r="G12" s="89"/>
    </row>
    <row r="13" spans="1:7" x14ac:dyDescent="0.25">
      <c r="A13" s="79" t="s">
        <v>78</v>
      </c>
      <c r="B13" s="80" t="s">
        <v>2</v>
      </c>
      <c r="C13" s="80" t="s">
        <v>91</v>
      </c>
      <c r="D13" s="47"/>
      <c r="E13" s="47"/>
      <c r="F13" s="47"/>
      <c r="G13" s="47"/>
    </row>
    <row r="14" spans="1:7" x14ac:dyDescent="0.25">
      <c r="A14" s="64" t="s">
        <v>159</v>
      </c>
      <c r="B14" s="76">
        <v>1.0999999999999999E-2</v>
      </c>
      <c r="C14" s="81" t="s">
        <v>92</v>
      </c>
    </row>
    <row r="15" spans="1:7" ht="15" customHeight="1" x14ac:dyDescent="0.25">
      <c r="A15" s="141" t="s">
        <v>164</v>
      </c>
      <c r="B15" s="141"/>
      <c r="C15" s="141"/>
      <c r="D15" s="72"/>
      <c r="F15" s="71"/>
    </row>
    <row r="16" spans="1:7" x14ac:dyDescent="0.25">
      <c r="A16" s="141"/>
      <c r="B16" s="141"/>
      <c r="C16" s="141"/>
      <c r="D16" s="72"/>
      <c r="F16" s="71"/>
    </row>
    <row r="17" spans="1:3" x14ac:dyDescent="0.25">
      <c r="A17" s="141"/>
      <c r="B17" s="141"/>
      <c r="C17" s="141"/>
    </row>
    <row r="18" spans="1:3" x14ac:dyDescent="0.25">
      <c r="A18" s="141"/>
      <c r="B18" s="141"/>
      <c r="C18" s="141"/>
    </row>
    <row r="19" spans="1:3" x14ac:dyDescent="0.25">
      <c r="A19" s="95"/>
      <c r="B19" s="95"/>
      <c r="C19" s="95"/>
    </row>
    <row r="20" spans="1:3" x14ac:dyDescent="0.25">
      <c r="A20" s="95"/>
      <c r="B20" s="95"/>
      <c r="C20" s="95"/>
    </row>
  </sheetData>
  <sheetProtection password="B056" sheet="1" objects="1" scenarios="1"/>
  <mergeCells count="5">
    <mergeCell ref="A3:G3"/>
    <mergeCell ref="A2:G2"/>
    <mergeCell ref="A12:C12"/>
    <mergeCell ref="A11:C11"/>
    <mergeCell ref="A15:C18"/>
  </mergeCells>
  <pageMargins left="0.511811024" right="0.511811024" top="0.78740157499999996" bottom="0.78740157499999996" header="0.31496062000000002" footer="0.31496062000000002"/>
  <pageSetup paperSize="9"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5"/>
  <sheetViews>
    <sheetView workbookViewId="0">
      <selection activeCell="J25" sqref="J25"/>
    </sheetView>
  </sheetViews>
  <sheetFormatPr defaultRowHeight="15" x14ac:dyDescent="0.25"/>
  <cols>
    <col min="1" max="4" width="13.42578125" customWidth="1"/>
    <col min="9" max="9" width="9.85546875" bestFit="1" customWidth="1"/>
    <col min="10" max="10" width="21.85546875" bestFit="1" customWidth="1"/>
    <col min="11" max="11" width="18.42578125" customWidth="1"/>
    <col min="12" max="12" width="12.28515625" customWidth="1"/>
    <col min="13" max="13" width="17.42578125" customWidth="1"/>
    <col min="14" max="14" width="11.28515625" bestFit="1" customWidth="1"/>
    <col min="15" max="15" width="11.5703125" bestFit="1" customWidth="1"/>
  </cols>
  <sheetData>
    <row r="1" spans="1:13" x14ac:dyDescent="0.25">
      <c r="A1" s="2" t="s">
        <v>35</v>
      </c>
      <c r="B1" s="2"/>
      <c r="C1" s="2"/>
      <c r="D1" s="2"/>
    </row>
    <row r="2" spans="1:13" x14ac:dyDescent="0.25">
      <c r="A2" s="142" t="s">
        <v>36</v>
      </c>
      <c r="B2" s="142"/>
      <c r="C2" s="142"/>
      <c r="D2" s="142"/>
    </row>
    <row r="3" spans="1:13" x14ac:dyDescent="0.25">
      <c r="A3" s="143" t="s">
        <v>37</v>
      </c>
      <c r="B3" s="143"/>
      <c r="C3" s="143"/>
      <c r="D3" s="143"/>
      <c r="I3" s="145" t="s">
        <v>50</v>
      </c>
      <c r="J3" s="145"/>
      <c r="K3" s="145"/>
      <c r="L3" s="145"/>
      <c r="M3" s="145"/>
    </row>
    <row r="4" spans="1:13" ht="22.5" x14ac:dyDescent="0.25">
      <c r="A4" s="144" t="s">
        <v>38</v>
      </c>
      <c r="B4" s="144" t="s">
        <v>39</v>
      </c>
      <c r="C4" s="144"/>
      <c r="D4" s="144"/>
      <c r="I4" s="96" t="s">
        <v>51</v>
      </c>
      <c r="J4" s="96" t="s">
        <v>52</v>
      </c>
      <c r="K4" s="97" t="s">
        <v>53</v>
      </c>
      <c r="L4" s="96" t="s">
        <v>54</v>
      </c>
      <c r="M4" s="96" t="s">
        <v>55</v>
      </c>
    </row>
    <row r="5" spans="1:13" x14ac:dyDescent="0.25">
      <c r="A5" s="144"/>
      <c r="B5" s="36" t="s">
        <v>40</v>
      </c>
      <c r="C5" s="36" t="s">
        <v>41</v>
      </c>
      <c r="D5" s="36" t="s">
        <v>42</v>
      </c>
      <c r="I5" s="43" t="s">
        <v>56</v>
      </c>
      <c r="J5" s="43">
        <v>0</v>
      </c>
      <c r="K5" s="43">
        <v>0</v>
      </c>
      <c r="L5" s="43">
        <v>31</v>
      </c>
      <c r="M5" s="44">
        <f t="shared" ref="M5:M16" si="0">(L5-K5)/L5</f>
        <v>1</v>
      </c>
    </row>
    <row r="6" spans="1:13" x14ac:dyDescent="0.25">
      <c r="A6" s="37" t="s">
        <v>43</v>
      </c>
      <c r="B6" s="37">
        <v>0.15</v>
      </c>
      <c r="C6" s="37">
        <v>1.5</v>
      </c>
      <c r="D6" s="37">
        <v>4.9000000000000004</v>
      </c>
      <c r="I6" s="43" t="s">
        <v>57</v>
      </c>
      <c r="J6" s="43">
        <v>52</v>
      </c>
      <c r="K6" s="43">
        <v>7</v>
      </c>
      <c r="L6" s="43">
        <v>28</v>
      </c>
      <c r="M6" s="44">
        <f t="shared" si="0"/>
        <v>0.75</v>
      </c>
    </row>
    <row r="7" spans="1:13" x14ac:dyDescent="0.25">
      <c r="A7" s="37" t="s">
        <v>44</v>
      </c>
      <c r="B7" s="37">
        <v>0.9</v>
      </c>
      <c r="C7" s="37">
        <v>0.9</v>
      </c>
      <c r="D7" s="37">
        <v>0.7</v>
      </c>
      <c r="I7" s="43" t="s">
        <v>58</v>
      </c>
      <c r="J7" s="43">
        <v>69</v>
      </c>
      <c r="K7" s="43">
        <v>7</v>
      </c>
      <c r="L7" s="43">
        <v>31</v>
      </c>
      <c r="M7" s="44">
        <f t="shared" si="0"/>
        <v>0.77419354838709675</v>
      </c>
    </row>
    <row r="8" spans="1:13" x14ac:dyDescent="0.25">
      <c r="A8" s="37" t="s">
        <v>45</v>
      </c>
      <c r="B8" s="37">
        <v>0.45</v>
      </c>
      <c r="C8" s="37">
        <v>0.45</v>
      </c>
      <c r="D8" s="37">
        <v>0.45</v>
      </c>
      <c r="I8" s="43" t="s">
        <v>59</v>
      </c>
      <c r="J8" s="43">
        <v>44</v>
      </c>
      <c r="K8" s="43">
        <v>8</v>
      </c>
      <c r="L8" s="43">
        <v>30</v>
      </c>
      <c r="M8" s="44">
        <f t="shared" si="0"/>
        <v>0.73333333333333328</v>
      </c>
    </row>
    <row r="9" spans="1:13" x14ac:dyDescent="0.25">
      <c r="A9" s="37" t="s">
        <v>46</v>
      </c>
      <c r="B9" s="14">
        <v>281.89999999999998</v>
      </c>
      <c r="C9" s="37" t="s">
        <v>47</v>
      </c>
      <c r="D9" s="37"/>
      <c r="I9" s="43" t="s">
        <v>60</v>
      </c>
      <c r="J9" s="43">
        <v>185.8</v>
      </c>
      <c r="K9" s="43">
        <v>16</v>
      </c>
      <c r="L9" s="43">
        <v>31</v>
      </c>
      <c r="M9" s="44">
        <f t="shared" si="0"/>
        <v>0.4838709677419355</v>
      </c>
    </row>
    <row r="10" spans="1:13" x14ac:dyDescent="0.25">
      <c r="A10" s="110" t="s">
        <v>21</v>
      </c>
      <c r="B10" s="113"/>
      <c r="C10" s="114"/>
      <c r="D10" s="114"/>
      <c r="E10" s="115"/>
      <c r="I10" s="43" t="s">
        <v>61</v>
      </c>
      <c r="J10" s="43">
        <v>119.2</v>
      </c>
      <c r="K10" s="43">
        <v>9</v>
      </c>
      <c r="L10" s="43">
        <v>30</v>
      </c>
      <c r="M10" s="44">
        <f t="shared" si="0"/>
        <v>0.7</v>
      </c>
    </row>
    <row r="11" spans="1:13" x14ac:dyDescent="0.25">
      <c r="A11" s="111"/>
      <c r="B11" s="116"/>
      <c r="C11" s="117"/>
      <c r="D11" s="117"/>
      <c r="E11" s="118"/>
      <c r="I11" s="43" t="s">
        <v>62</v>
      </c>
      <c r="J11" s="43">
        <v>17.8</v>
      </c>
      <c r="K11" s="43">
        <v>6</v>
      </c>
      <c r="L11" s="43">
        <v>31</v>
      </c>
      <c r="M11" s="44">
        <f t="shared" si="0"/>
        <v>0.80645161290322576</v>
      </c>
    </row>
    <row r="12" spans="1:13" ht="15" customHeight="1" x14ac:dyDescent="0.25">
      <c r="A12" s="111"/>
      <c r="B12" s="119"/>
      <c r="C12" s="120"/>
      <c r="D12" s="120"/>
      <c r="E12" s="121"/>
      <c r="I12" s="43" t="s">
        <v>63</v>
      </c>
      <c r="J12" s="43">
        <v>70.2</v>
      </c>
      <c r="K12" s="43">
        <v>11</v>
      </c>
      <c r="L12" s="43">
        <v>31</v>
      </c>
      <c r="M12" s="44">
        <f t="shared" si="0"/>
        <v>0.64516129032258063</v>
      </c>
    </row>
    <row r="13" spans="1:13" x14ac:dyDescent="0.25">
      <c r="A13" s="111"/>
      <c r="B13" s="122" t="s">
        <v>69</v>
      </c>
      <c r="C13" s="123"/>
      <c r="D13" s="123"/>
      <c r="E13" s="124"/>
      <c r="I13" s="43" t="s">
        <v>64</v>
      </c>
      <c r="J13" s="43">
        <v>25.2</v>
      </c>
      <c r="K13" s="43">
        <v>7</v>
      </c>
      <c r="L13" s="43">
        <v>30</v>
      </c>
      <c r="M13" s="44">
        <f t="shared" si="0"/>
        <v>0.76666666666666672</v>
      </c>
    </row>
    <row r="14" spans="1:13" x14ac:dyDescent="0.25">
      <c r="A14" s="111"/>
      <c r="B14" s="125"/>
      <c r="C14" s="126"/>
      <c r="D14" s="126"/>
      <c r="E14" s="127"/>
      <c r="I14" s="43" t="s">
        <v>65</v>
      </c>
      <c r="J14" s="43">
        <v>54.4</v>
      </c>
      <c r="K14" s="43">
        <v>6</v>
      </c>
      <c r="L14" s="43">
        <v>31</v>
      </c>
      <c r="M14" s="44">
        <f t="shared" si="0"/>
        <v>0.80645161290322576</v>
      </c>
    </row>
    <row r="15" spans="1:13" x14ac:dyDescent="0.25">
      <c r="A15" s="111"/>
      <c r="B15" s="125"/>
      <c r="C15" s="126"/>
      <c r="D15" s="126"/>
      <c r="E15" s="127"/>
      <c r="I15" s="43" t="s">
        <v>66</v>
      </c>
      <c r="J15" s="45">
        <v>48.6</v>
      </c>
      <c r="K15" s="43">
        <v>9</v>
      </c>
      <c r="L15" s="43">
        <v>30</v>
      </c>
      <c r="M15" s="44">
        <f t="shared" si="0"/>
        <v>0.7</v>
      </c>
    </row>
    <row r="16" spans="1:13" x14ac:dyDescent="0.25">
      <c r="A16" s="111"/>
      <c r="B16" s="125"/>
      <c r="C16" s="126"/>
      <c r="D16" s="126"/>
      <c r="E16" s="127"/>
      <c r="I16" s="43" t="s">
        <v>67</v>
      </c>
      <c r="J16" s="43">
        <v>91.4</v>
      </c>
      <c r="K16" s="43">
        <v>6</v>
      </c>
      <c r="L16" s="43">
        <v>31</v>
      </c>
      <c r="M16" s="44">
        <f t="shared" si="0"/>
        <v>0.80645161290322576</v>
      </c>
    </row>
    <row r="17" spans="1:10" x14ac:dyDescent="0.25">
      <c r="A17" s="111"/>
      <c r="B17" s="125"/>
      <c r="C17" s="126"/>
      <c r="D17" s="126"/>
      <c r="E17" s="127"/>
      <c r="I17" s="42" t="s">
        <v>68</v>
      </c>
      <c r="J17" s="8">
        <f>(365-SUM('FE-Vias'!K5:K16))/365</f>
        <v>0.74794520547945209</v>
      </c>
    </row>
    <row r="18" spans="1:10" x14ac:dyDescent="0.25">
      <c r="A18" s="111"/>
      <c r="B18" s="125"/>
      <c r="C18" s="126"/>
      <c r="D18" s="126"/>
      <c r="E18" s="127"/>
    </row>
    <row r="19" spans="1:10" x14ac:dyDescent="0.25">
      <c r="A19" s="112"/>
      <c r="B19" s="128"/>
      <c r="C19" s="129"/>
      <c r="D19" s="129"/>
      <c r="E19" s="130"/>
    </row>
    <row r="22" spans="1:10" x14ac:dyDescent="0.25">
      <c r="A22" s="109" t="s">
        <v>70</v>
      </c>
      <c r="B22" s="109" t="s">
        <v>71</v>
      </c>
      <c r="C22" s="109"/>
      <c r="D22" s="109"/>
      <c r="E22" s="109"/>
      <c r="F22" s="109"/>
      <c r="G22" s="109"/>
      <c r="H22" s="109"/>
    </row>
    <row r="23" spans="1:10" x14ac:dyDescent="0.25">
      <c r="A23" s="109"/>
      <c r="B23" s="109" t="s">
        <v>72</v>
      </c>
      <c r="C23" s="109"/>
      <c r="D23" s="109"/>
      <c r="E23" s="109"/>
      <c r="F23" s="109"/>
      <c r="G23" s="109"/>
      <c r="H23" s="109"/>
    </row>
    <row r="24" spans="1:10" x14ac:dyDescent="0.25">
      <c r="A24" s="109"/>
      <c r="B24" s="41" t="s">
        <v>2</v>
      </c>
      <c r="C24" s="41" t="s">
        <v>27</v>
      </c>
      <c r="D24" s="41" t="s">
        <v>75</v>
      </c>
      <c r="E24" s="41" t="s">
        <v>76</v>
      </c>
      <c r="F24" s="41" t="s">
        <v>77</v>
      </c>
      <c r="G24" s="41" t="s">
        <v>4</v>
      </c>
      <c r="H24" s="41" t="s">
        <v>73</v>
      </c>
    </row>
    <row r="25" spans="1:10" x14ac:dyDescent="0.25">
      <c r="A25" s="73" t="s">
        <v>74</v>
      </c>
      <c r="B25" s="103">
        <v>0.17489827604766656</v>
      </c>
      <c r="C25" s="103">
        <v>0.17489827604766656</v>
      </c>
      <c r="D25" s="103">
        <v>0.17489827604766656</v>
      </c>
      <c r="E25" s="103">
        <v>5.4345140567386743</v>
      </c>
      <c r="F25" s="103">
        <v>4.163753615797702E-3</v>
      </c>
      <c r="G25" s="103">
        <v>1.0383730075038093</v>
      </c>
      <c r="H25" s="103">
        <v>0.24766340643796464</v>
      </c>
    </row>
  </sheetData>
  <sheetProtection password="B056" sheet="1" objects="1" scenarios="1"/>
  <mergeCells count="11">
    <mergeCell ref="A2:D2"/>
    <mergeCell ref="A3:D3"/>
    <mergeCell ref="A4:A5"/>
    <mergeCell ref="B4:D4"/>
    <mergeCell ref="I3:M3"/>
    <mergeCell ref="A10:A19"/>
    <mergeCell ref="B10:E12"/>
    <mergeCell ref="B13:E19"/>
    <mergeCell ref="A22:A24"/>
    <mergeCell ref="B22:H22"/>
    <mergeCell ref="B23:H23"/>
  </mergeCells>
  <pageMargins left="0.511811024" right="0.511811024" top="0.78740157499999996" bottom="0.78740157499999996" header="0.31496062000000002" footer="0.31496062000000002"/>
  <pageSetup paperSize="9" orientation="portrait" horizontalDpi="0" verticalDpi="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0"/>
  <sheetViews>
    <sheetView zoomScaleNormal="100" workbookViewId="0">
      <selection activeCell="J18" sqref="J18"/>
    </sheetView>
  </sheetViews>
  <sheetFormatPr defaultRowHeight="15" customHeight="1" x14ac:dyDescent="0.2"/>
  <cols>
    <col min="1" max="1" width="25" style="1" customWidth="1"/>
    <col min="2" max="2" width="9.7109375" style="1" customWidth="1"/>
    <col min="3" max="3" width="11.28515625" style="1" customWidth="1"/>
    <col min="4" max="4" width="9.28515625" style="1" customWidth="1"/>
    <col min="5" max="5" width="13.42578125" style="1" customWidth="1"/>
    <col min="6" max="6" width="25.5703125" style="1" customWidth="1"/>
    <col min="7" max="8" width="13.7109375" style="1" customWidth="1"/>
    <col min="9" max="9" width="12.140625" style="1" customWidth="1"/>
    <col min="10" max="10" width="12" style="1" customWidth="1"/>
    <col min="11" max="16" width="8.7109375" style="1" customWidth="1"/>
    <col min="17" max="17" width="10.42578125" style="1" bestFit="1" customWidth="1"/>
    <col min="18" max="16384" width="9.140625" style="1"/>
  </cols>
  <sheetData>
    <row r="1" spans="1:18" ht="15" customHeight="1" x14ac:dyDescent="0.2">
      <c r="A1" s="3" t="s">
        <v>181</v>
      </c>
      <c r="B1" s="3"/>
      <c r="C1" s="3"/>
      <c r="D1" s="3"/>
    </row>
    <row r="2" spans="1:18" ht="15" customHeight="1" x14ac:dyDescent="0.2">
      <c r="A2" s="147" t="s">
        <v>0</v>
      </c>
      <c r="B2" s="147" t="s">
        <v>106</v>
      </c>
      <c r="C2" s="147" t="s">
        <v>107</v>
      </c>
      <c r="D2" s="147" t="s">
        <v>108</v>
      </c>
      <c r="E2" s="147" t="s">
        <v>16</v>
      </c>
      <c r="F2" s="147" t="s">
        <v>17</v>
      </c>
      <c r="G2" s="151" t="s">
        <v>183</v>
      </c>
      <c r="H2" s="151" t="s">
        <v>184</v>
      </c>
      <c r="I2" s="147" t="s">
        <v>18</v>
      </c>
      <c r="J2" s="147" t="s">
        <v>19</v>
      </c>
      <c r="K2" s="149" t="s">
        <v>1</v>
      </c>
      <c r="L2" s="150"/>
      <c r="M2" s="150"/>
      <c r="N2" s="150"/>
      <c r="O2" s="150"/>
      <c r="P2" s="150"/>
      <c r="Q2" s="150"/>
    </row>
    <row r="3" spans="1:18" ht="15" customHeight="1" x14ac:dyDescent="0.2">
      <c r="A3" s="148"/>
      <c r="B3" s="148"/>
      <c r="C3" s="148"/>
      <c r="D3" s="148"/>
      <c r="E3" s="148"/>
      <c r="F3" s="148"/>
      <c r="G3" s="151"/>
      <c r="H3" s="151"/>
      <c r="I3" s="148"/>
      <c r="J3" s="148"/>
      <c r="K3" s="5" t="s">
        <v>2</v>
      </c>
      <c r="L3" s="5" t="s">
        <v>3</v>
      </c>
      <c r="M3" s="5" t="s">
        <v>20</v>
      </c>
      <c r="N3" s="5" t="s">
        <v>5</v>
      </c>
      <c r="O3" s="5" t="s">
        <v>6</v>
      </c>
      <c r="P3" s="5" t="s">
        <v>4</v>
      </c>
      <c r="Q3" s="5" t="s">
        <v>182</v>
      </c>
    </row>
    <row r="4" spans="1:18" ht="15" customHeight="1" x14ac:dyDescent="0.2">
      <c r="A4" s="3" t="str">
        <f>Dados!A15</f>
        <v>Pá Carregadeira</v>
      </c>
      <c r="B4" s="6" t="str">
        <f>Dados!C15</f>
        <v>Volvo</v>
      </c>
      <c r="C4" s="6" t="str">
        <f>Dados!D15</f>
        <v>L90F</v>
      </c>
      <c r="D4" s="6">
        <v>2008</v>
      </c>
      <c r="E4" s="11">
        <v>175</v>
      </c>
      <c r="F4" s="2" t="s">
        <v>133</v>
      </c>
      <c r="G4" s="6">
        <v>-20.214658</v>
      </c>
      <c r="H4" s="6">
        <v>-40.359620999999997</v>
      </c>
      <c r="I4" s="6">
        <v>1</v>
      </c>
      <c r="J4" s="11">
        <f>Dados!F15</f>
        <v>3.4703196347031966</v>
      </c>
      <c r="K4" s="68">
        <f>(INDEX(FE_Equip,MATCH($F4,Pot_Equip,0),2))*I4*J4/(24)</f>
        <v>4.8084918494508437E-3</v>
      </c>
      <c r="L4" s="68">
        <f t="shared" ref="L4" si="0">K4</f>
        <v>4.8084918494508437E-3</v>
      </c>
      <c r="M4" s="68">
        <f t="shared" ref="M4" si="1">K4</f>
        <v>4.8084918494508437E-3</v>
      </c>
      <c r="N4" s="68">
        <f>(INDEX(FE_Equip,MATCH($F4,Pot_Equip,0),3))*I4*J4/(24)</f>
        <v>8.5451187234304685E-2</v>
      </c>
      <c r="O4" s="68">
        <f>(INDEX(FE_Equip,MATCH($F4,Pot_Equip,0),4))*I4*J4/(24)</f>
        <v>7.8458081436760804E-5</v>
      </c>
      <c r="P4" s="68">
        <f>(INDEX(FE_Equip,MATCH($F4,Pot_Equip,0),5))*I4*J4/(24)</f>
        <v>4.1865325021130002E-2</v>
      </c>
      <c r="Q4" s="68">
        <f>(INDEX(FE_Equip,MATCH($F4,Pot_Equip,0),6))*I4*J4/(24)</f>
        <v>1.0880001728384429E-2</v>
      </c>
    </row>
    <row r="5" spans="1:18" ht="15" customHeight="1" x14ac:dyDescent="0.2">
      <c r="A5" s="3" t="str">
        <f>Dados!A15</f>
        <v>Pá Carregadeira</v>
      </c>
      <c r="B5" s="6" t="str">
        <f>Dados!C16</f>
        <v>Volvo</v>
      </c>
      <c r="C5" s="6" t="str">
        <f>Dados!D16</f>
        <v>L70F</v>
      </c>
      <c r="D5" s="6">
        <v>2010</v>
      </c>
      <c r="E5" s="11">
        <v>175</v>
      </c>
      <c r="F5" s="2" t="s">
        <v>142</v>
      </c>
      <c r="G5" s="6">
        <v>-20.214658</v>
      </c>
      <c r="H5" s="6">
        <v>-40.359620999999997</v>
      </c>
      <c r="I5" s="6">
        <v>1</v>
      </c>
      <c r="J5" s="11">
        <f>Dados!F15</f>
        <v>3.4703196347031966</v>
      </c>
      <c r="K5" s="68">
        <f>(INDEX(FE_Equip,MATCH($F5,Pot_Equip,0),2))*I5*J5/(24)</f>
        <v>3.6929064369572908E-3</v>
      </c>
      <c r="L5" s="68">
        <f t="shared" ref="L5:L6" si="2">K5</f>
        <v>3.6929064369572908E-3</v>
      </c>
      <c r="M5" s="68">
        <f t="shared" ref="M5:M6" si="3">K5</f>
        <v>3.6929064369572908E-3</v>
      </c>
      <c r="N5" s="68">
        <f>(INDEX(FE_Equip,MATCH($F5,Pot_Equip,0),3))*I5*J5/(24)</f>
        <v>0.10072275212120274</v>
      </c>
      <c r="O5" s="68">
        <f>(INDEX(FE_Equip,MATCH($F5,Pot_Equip,0),4))*I5*J5/(24)</f>
        <v>1.0994126978617232E-4</v>
      </c>
      <c r="P5" s="68">
        <f>(INDEX(FE_Equip,MATCH($F5,Pot_Equip,0),5))*I5*J5/(24)</f>
        <v>2.7610702752197982E-2</v>
      </c>
      <c r="Q5" s="68">
        <f>(INDEX(FE_Equip,MATCH($F5,Pot_Equip,0),6))*I5*J5/(24)</f>
        <v>9.7952739758352756E-3</v>
      </c>
    </row>
    <row r="6" spans="1:18" ht="15" customHeight="1" x14ac:dyDescent="0.2">
      <c r="A6" s="3" t="str">
        <f>Dados!A16</f>
        <v>Pá Carregadeira</v>
      </c>
      <c r="B6" s="6" t="str">
        <f>Dados!C16</f>
        <v>Volvo</v>
      </c>
      <c r="C6" s="6" t="str">
        <f>Dados!D16</f>
        <v>L70F</v>
      </c>
      <c r="D6" s="6">
        <f>Dados!E16</f>
        <v>2010</v>
      </c>
      <c r="E6" s="11">
        <v>171</v>
      </c>
      <c r="F6" s="2" t="s">
        <v>141</v>
      </c>
      <c r="G6" s="6">
        <v>-20.214658</v>
      </c>
      <c r="H6" s="6">
        <v>-40.359620999999997</v>
      </c>
      <c r="I6" s="6">
        <f>Dados!B16</f>
        <v>1</v>
      </c>
      <c r="J6" s="11">
        <f>Dados!F16</f>
        <v>3.4703196347031966</v>
      </c>
      <c r="K6" s="68">
        <f>(INDEX(FE_Equip,MATCH($F6,Pot_Equip,0),2))*I6*J6/(24)</f>
        <v>4.3571011505554244E-3</v>
      </c>
      <c r="L6" s="68">
        <f t="shared" si="2"/>
        <v>4.3571011505554244E-3</v>
      </c>
      <c r="M6" s="68">
        <f t="shared" si="3"/>
        <v>4.3571011505554244E-3</v>
      </c>
      <c r="N6" s="68">
        <f>(INDEX(FE_Equip,MATCH($F6,Pot_Equip,0),3))*I6*J6/(24)</f>
        <v>7.5511224633094273E-2</v>
      </c>
      <c r="O6" s="68">
        <f>(INDEX(FE_Equip,MATCH($F6,Pot_Equip,0),4))*I6*J6/(24)</f>
        <v>7.8458088331624811E-5</v>
      </c>
      <c r="P6" s="68">
        <f>(INDEX(FE_Equip,MATCH($F6,Pot_Equip,0),5))*I6*J6/(24)</f>
        <v>4.1487886820820288E-2</v>
      </c>
      <c r="Q6" s="68">
        <f>(INDEX(FE_Equip,MATCH($F6,Pot_Equip,0),6))*I6*J6/(24)</f>
        <v>9.6780914098195652E-3</v>
      </c>
    </row>
    <row r="7" spans="1:18" ht="15" customHeight="1" x14ac:dyDescent="0.2">
      <c r="A7" s="146" t="s">
        <v>178</v>
      </c>
      <c r="B7" s="146"/>
      <c r="C7" s="146"/>
      <c r="D7" s="146"/>
      <c r="E7" s="146"/>
      <c r="F7" s="146"/>
      <c r="G7" s="146"/>
      <c r="H7" s="146"/>
      <c r="I7" s="146"/>
      <c r="J7" s="146"/>
      <c r="K7" s="16">
        <f>SUM(K4:K6)</f>
        <v>1.2858499436963558E-2</v>
      </c>
      <c r="L7" s="16">
        <f t="shared" ref="L7:Q7" si="4">SUM(L4:L6)</f>
        <v>1.2858499436963558E-2</v>
      </c>
      <c r="M7" s="16">
        <f t="shared" si="4"/>
        <v>1.2858499436963558E-2</v>
      </c>
      <c r="N7" s="16">
        <f t="shared" si="4"/>
        <v>0.2616851639886017</v>
      </c>
      <c r="O7" s="16">
        <f t="shared" si="4"/>
        <v>2.6685743955455791E-4</v>
      </c>
      <c r="P7" s="16">
        <f t="shared" si="4"/>
        <v>0.11096391459414827</v>
      </c>
      <c r="Q7" s="16">
        <f t="shared" si="4"/>
        <v>3.035336711403927E-2</v>
      </c>
      <c r="R7" s="19"/>
    </row>
    <row r="8" spans="1:18" ht="15" customHeight="1" x14ac:dyDescent="0.2">
      <c r="A8" s="33"/>
      <c r="B8" s="33"/>
      <c r="C8" s="33"/>
      <c r="D8" s="33"/>
      <c r="E8" s="40"/>
      <c r="J8" s="33"/>
      <c r="K8" s="9"/>
      <c r="L8" s="9"/>
      <c r="M8" s="9"/>
      <c r="N8" s="9"/>
      <c r="O8" s="10"/>
      <c r="P8" s="9"/>
      <c r="Q8" s="9"/>
    </row>
    <row r="9" spans="1:18" ht="15" customHeight="1" x14ac:dyDescent="0.2">
      <c r="A9" s="33"/>
      <c r="K9" s="47"/>
      <c r="L9" s="47"/>
      <c r="M9" s="47"/>
      <c r="N9" s="47"/>
      <c r="O9" s="47"/>
    </row>
    <row r="10" spans="1:18" ht="15" customHeight="1" x14ac:dyDescent="0.25">
      <c r="A10" s="46"/>
      <c r="B10" s="46"/>
      <c r="C10" s="46"/>
      <c r="D10" s="46"/>
      <c r="E10" s="46"/>
      <c r="F10" s="46"/>
      <c r="G10" s="46"/>
      <c r="H10" s="46"/>
      <c r="I10" s="46"/>
    </row>
  </sheetData>
  <sheetProtection password="B056" sheet="1" objects="1" scenarios="1"/>
  <mergeCells count="12">
    <mergeCell ref="A7:J7"/>
    <mergeCell ref="J2:J3"/>
    <mergeCell ref="K2:Q2"/>
    <mergeCell ref="A2:A3"/>
    <mergeCell ref="E2:E3"/>
    <mergeCell ref="F2:F3"/>
    <mergeCell ref="I2:I3"/>
    <mergeCell ref="G2:G3"/>
    <mergeCell ref="H2:H3"/>
    <mergeCell ref="B2:B3"/>
    <mergeCell ref="C2:C3"/>
    <mergeCell ref="D2:D3"/>
  </mergeCells>
  <dataValidations disablePrompts="1" count="1">
    <dataValidation type="list" allowBlank="1" showInputMessage="1" showErrorMessage="1" sqref="F4:F6">
      <formula1>Pot_Equip</formula1>
    </dataValidation>
  </dataValidations>
  <pageMargins left="0.511811024" right="0.511811024" top="0.78740157499999996" bottom="0.78740157499999996" header="0.31496062000000002" footer="0.31496062000000002"/>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9"/>
  <sheetViews>
    <sheetView workbookViewId="0">
      <selection activeCell="E27" sqref="E27"/>
    </sheetView>
  </sheetViews>
  <sheetFormatPr defaultRowHeight="15" x14ac:dyDescent="0.25"/>
  <cols>
    <col min="1" max="1" width="40.5703125" bestFit="1" customWidth="1"/>
    <col min="2" max="3" width="18.140625" customWidth="1"/>
    <col min="4" max="5" width="18.28515625" customWidth="1"/>
    <col min="6" max="11" width="11" customWidth="1"/>
  </cols>
  <sheetData>
    <row r="1" spans="1:12" ht="15" customHeight="1" x14ac:dyDescent="0.25">
      <c r="A1" s="154" t="s">
        <v>0</v>
      </c>
      <c r="B1" s="151" t="s">
        <v>183</v>
      </c>
      <c r="C1" s="151" t="s">
        <v>184</v>
      </c>
      <c r="D1" s="155" t="s">
        <v>166</v>
      </c>
      <c r="E1" s="156" t="s">
        <v>167</v>
      </c>
      <c r="F1" s="158" t="s">
        <v>168</v>
      </c>
      <c r="G1" s="159"/>
      <c r="H1" s="160"/>
      <c r="I1" s="158" t="s">
        <v>1</v>
      </c>
      <c r="J1" s="159"/>
      <c r="K1" s="160"/>
    </row>
    <row r="2" spans="1:12" x14ac:dyDescent="0.25">
      <c r="A2" s="154"/>
      <c r="B2" s="151"/>
      <c r="C2" s="151"/>
      <c r="D2" s="155"/>
      <c r="E2" s="157"/>
      <c r="F2" s="34" t="s">
        <v>26</v>
      </c>
      <c r="G2" s="34" t="s">
        <v>48</v>
      </c>
      <c r="H2" s="34" t="s">
        <v>49</v>
      </c>
      <c r="I2" s="34" t="s">
        <v>26</v>
      </c>
      <c r="J2" s="34" t="s">
        <v>48</v>
      </c>
      <c r="K2" s="34" t="s">
        <v>49</v>
      </c>
    </row>
    <row r="3" spans="1:12" x14ac:dyDescent="0.25">
      <c r="A3" s="20" t="s">
        <v>116</v>
      </c>
      <c r="B3" s="90">
        <v>-20.214938</v>
      </c>
      <c r="C3" s="90">
        <v>-40.360354999999998</v>
      </c>
      <c r="D3" s="54">
        <f>Dados!C7/8760</f>
        <v>10.675674657534246</v>
      </c>
      <c r="E3" s="91">
        <v>4.8</v>
      </c>
      <c r="F3" s="104">
        <f>'FE-Transferências'!$B$3*0.0016*(($B$15/2.2)^1.3)/(($E3/2)^1.4)</f>
        <v>8.0407154561724329E-4</v>
      </c>
      <c r="G3" s="104">
        <f>'FE-Transferências'!$C$3*0.0016*(($B$15/2.2)^1.3)/(($E3/2)^1.4)</f>
        <v>3.8030410941356093E-4</v>
      </c>
      <c r="H3" s="104">
        <f>'FE-Transferências'!$D$3*0.0016*(($B$15/2.2)^1.3)/(($E3/2)^1.4)</f>
        <v>5.7588907996910663E-5</v>
      </c>
      <c r="I3" s="85">
        <f t="shared" ref="I3" si="0">F3*$D3</f>
        <v>8.584006222390396E-3</v>
      </c>
      <c r="J3" s="85">
        <f t="shared" ref="J3" si="1">G3*$D3</f>
        <v>4.0600029430224839E-3</v>
      </c>
      <c r="K3" s="85">
        <f t="shared" ref="K3" si="2">H3*$D3</f>
        <v>6.1480044565769042E-4</v>
      </c>
    </row>
    <row r="4" spans="1:12" x14ac:dyDescent="0.25">
      <c r="A4" s="20" t="s">
        <v>149</v>
      </c>
      <c r="B4" s="90">
        <v>-20.214938</v>
      </c>
      <c r="C4" s="90">
        <v>-40.360354999999998</v>
      </c>
      <c r="D4" s="54">
        <f>Dados!C8/8760</f>
        <v>2.6925319634703198</v>
      </c>
      <c r="E4" s="91">
        <v>7.8</v>
      </c>
      <c r="F4" s="104">
        <f>'FE-Transferências'!$B$3*0.0016*(($B$15/2.2)^1.3)/(($E4/2)^1.4)</f>
        <v>4.0747407466847573E-4</v>
      </c>
      <c r="G4" s="104">
        <f>'FE-Transferências'!$C$3*0.0016*(($B$15/2.2)^1.3)/(($E4/2)^1.4)</f>
        <v>1.927242245053601E-4</v>
      </c>
      <c r="H4" s="104">
        <f>'FE-Transferências'!$D$3*0.0016*(($B$15/2.2)^1.3)/(($E4/2)^1.4)</f>
        <v>2.9183953996525963E-5</v>
      </c>
      <c r="I4" s="85">
        <f t="shared" ref="I4:I12" si="3">F4*$D4</f>
        <v>1.0971369703303626E-3</v>
      </c>
      <c r="J4" s="85">
        <f t="shared" ref="J4:J12" si="4">G4*$D4</f>
        <v>5.1891613461571193E-4</v>
      </c>
      <c r="K4" s="85">
        <f t="shared" ref="K4:K12" si="5">H4*$D4</f>
        <v>7.8578728956093532E-5</v>
      </c>
    </row>
    <row r="5" spans="1:12" x14ac:dyDescent="0.25">
      <c r="A5" s="20" t="s">
        <v>117</v>
      </c>
      <c r="B5" s="90">
        <v>-20.214938</v>
      </c>
      <c r="C5" s="90">
        <v>-40.360354999999998</v>
      </c>
      <c r="D5" s="54">
        <f>Dados!C9/8760</f>
        <v>0.5350365296803653</v>
      </c>
      <c r="E5" s="91">
        <v>5.4</v>
      </c>
      <c r="F5" s="104">
        <f>'FE-Transferências'!$B$3*0.0016*(($B$15/2.2)^1.3)/(($E5/2)^1.4)</f>
        <v>6.818379382369118E-4</v>
      </c>
      <c r="G5" s="104">
        <f>'FE-Transferências'!$C$3*0.0016*(($B$15/2.2)^1.3)/(($E5/2)^1.4)</f>
        <v>3.2249091673367447E-4</v>
      </c>
      <c r="H5" s="104">
        <f>'FE-Transferências'!$D$3*0.0016*(($B$15/2.2)^1.3)/(($E5/2)^1.4)</f>
        <v>4.8834338819670712E-5</v>
      </c>
      <c r="I5" s="85">
        <f t="shared" si="3"/>
        <v>3.6480820427869253E-4</v>
      </c>
      <c r="J5" s="85">
        <f t="shared" si="4"/>
        <v>1.7254442094262484E-4</v>
      </c>
      <c r="K5" s="85">
        <f t="shared" si="5"/>
        <v>2.6128155171311765E-5</v>
      </c>
    </row>
    <row r="6" spans="1:12" s="48" customFormat="1" x14ac:dyDescent="0.25">
      <c r="A6" s="60" t="s">
        <v>162</v>
      </c>
      <c r="B6" s="90">
        <v>-20.214938</v>
      </c>
      <c r="C6" s="90">
        <v>-40.360354999999998</v>
      </c>
      <c r="D6" s="54">
        <f>2*Dados!G8/8760</f>
        <v>0.11415525114155251</v>
      </c>
      <c r="E6" s="91">
        <v>7.8</v>
      </c>
      <c r="F6" s="104">
        <f>'FE-Transferências'!$B$3*0.0016*(($B$15/2.2)^1.3)/(($E6/2)^1.4)</f>
        <v>4.0747407466847573E-4</v>
      </c>
      <c r="G6" s="104">
        <f>'FE-Transferências'!$C$3*0.0016*(($B$15/2.2)^1.3)/(($E6/2)^1.4)</f>
        <v>1.927242245053601E-4</v>
      </c>
      <c r="H6" s="104">
        <f>'FE-Transferências'!$D$3*0.0016*(($B$15/2.2)^1.3)/(($E6/2)^1.4)</f>
        <v>2.9183953996525963E-5</v>
      </c>
      <c r="I6" s="85">
        <f t="shared" si="3"/>
        <v>4.6515305327451565E-5</v>
      </c>
      <c r="J6" s="85">
        <f t="shared" si="4"/>
        <v>2.200048224947033E-5</v>
      </c>
      <c r="K6" s="85">
        <f t="shared" si="5"/>
        <v>3.3315015977769363E-6</v>
      </c>
    </row>
    <row r="7" spans="1:12" x14ac:dyDescent="0.25">
      <c r="A7" s="60" t="s">
        <v>118</v>
      </c>
      <c r="B7" s="90">
        <v>-20.214938</v>
      </c>
      <c r="C7" s="90">
        <v>-40.360354999999998</v>
      </c>
      <c r="D7" s="54">
        <f>2*Dados!F7/8760</f>
        <v>3.8812785388127855</v>
      </c>
      <c r="E7" s="91">
        <v>4.8</v>
      </c>
      <c r="F7" s="104">
        <f>'FE-Transferências'!$B$3*0.0016*(($B$15/2.2)^1.3)/(($E7/2)^1.4)</f>
        <v>8.0407154561724329E-4</v>
      </c>
      <c r="G7" s="104">
        <f>'FE-Transferências'!$C$3*0.0016*(($B$15/2.2)^1.3)/(($E7/2)^1.4)</f>
        <v>3.8030410941356093E-4</v>
      </c>
      <c r="H7" s="104">
        <f>'FE-Transferências'!$D$3*0.0016*(($B$15/2.2)^1.3)/(($E7/2)^1.4)</f>
        <v>5.7588907996910663E-5</v>
      </c>
      <c r="I7" s="85">
        <f t="shared" si="3"/>
        <v>3.1208256336742318E-3</v>
      </c>
      <c r="J7" s="85">
        <f t="shared" si="4"/>
        <v>1.4760661780891635E-3</v>
      </c>
      <c r="K7" s="85">
        <f t="shared" si="5"/>
        <v>2.2351859268207337E-4</v>
      </c>
    </row>
    <row r="8" spans="1:12" x14ac:dyDescent="0.25">
      <c r="A8" s="60" t="s">
        <v>150</v>
      </c>
      <c r="B8" s="90">
        <v>-20.214938</v>
      </c>
      <c r="C8" s="90">
        <v>-40.360354999999998</v>
      </c>
      <c r="D8" s="54">
        <f>2*Dados!F8/8760</f>
        <v>1.5981735159817352</v>
      </c>
      <c r="E8" s="91">
        <v>7.8</v>
      </c>
      <c r="F8" s="104">
        <f>'FE-Transferências'!$B$3*0.0016*(($B$15/2.2)^1.3)/(($E8/2)^1.4)</f>
        <v>4.0747407466847573E-4</v>
      </c>
      <c r="G8" s="104">
        <f>'FE-Transferências'!$C$3*0.0016*(($B$15/2.2)^1.3)/(($E8/2)^1.4)</f>
        <v>1.927242245053601E-4</v>
      </c>
      <c r="H8" s="104">
        <f>'FE-Transferências'!$D$3*0.0016*(($B$15/2.2)^1.3)/(($E8/2)^1.4)</f>
        <v>2.9183953996525963E-5</v>
      </c>
      <c r="I8" s="85">
        <f t="shared" si="3"/>
        <v>6.5121427458432197E-4</v>
      </c>
      <c r="J8" s="85">
        <f t="shared" si="4"/>
        <v>3.0800675149258462E-4</v>
      </c>
      <c r="K8" s="85">
        <f t="shared" si="5"/>
        <v>4.6641022368877112E-5</v>
      </c>
    </row>
    <row r="9" spans="1:12" x14ac:dyDescent="0.25">
      <c r="A9" s="60" t="s">
        <v>119</v>
      </c>
      <c r="B9" s="90">
        <v>-20.214938</v>
      </c>
      <c r="C9" s="90">
        <v>-40.360354999999998</v>
      </c>
      <c r="D9" s="54">
        <f>2*Dados!F9/8760</f>
        <v>0.45662100456621002</v>
      </c>
      <c r="E9" s="91">
        <v>5.4</v>
      </c>
      <c r="F9" s="104">
        <f>'FE-Transferências'!$B$3*0.0016*(($B$15/2.2)^1.3)/(($E9/2)^1.4)</f>
        <v>6.818379382369118E-4</v>
      </c>
      <c r="G9" s="104">
        <f>'FE-Transferências'!$C$3*0.0016*(($B$15/2.2)^1.3)/(($E9/2)^1.4)</f>
        <v>3.2249091673367447E-4</v>
      </c>
      <c r="H9" s="104">
        <f>'FE-Transferências'!$D$3*0.0016*(($B$15/2.2)^1.3)/(($E9/2)^1.4)</f>
        <v>4.8834338819670712E-5</v>
      </c>
      <c r="I9" s="85">
        <f t="shared" si="3"/>
        <v>3.1134152430909215E-4</v>
      </c>
      <c r="J9" s="85">
        <f t="shared" si="4"/>
        <v>1.4725612636240843E-4</v>
      </c>
      <c r="K9" s="85">
        <f t="shared" si="5"/>
        <v>2.2298784849164706E-5</v>
      </c>
    </row>
    <row r="10" spans="1:12" x14ac:dyDescent="0.25">
      <c r="A10" s="60" t="s">
        <v>120</v>
      </c>
      <c r="B10" s="90">
        <v>-20.214938</v>
      </c>
      <c r="C10" s="90">
        <v>-40.360354999999998</v>
      </c>
      <c r="D10" s="78">
        <f>Dados!D7/8760</f>
        <v>10.689495433789954</v>
      </c>
      <c r="E10" s="91">
        <v>4.8</v>
      </c>
      <c r="F10" s="104">
        <f>'FE-Transferências'!$B$3*0.0016*(($B$15/2.2)^1.3)/(($E10/2)^1.4)</f>
        <v>8.0407154561724329E-4</v>
      </c>
      <c r="G10" s="104">
        <f>'FE-Transferências'!$C$3*0.0016*(($B$15/2.2)^1.3)/(($E10/2)^1.4)</f>
        <v>3.8030410941356093E-4</v>
      </c>
      <c r="H10" s="104">
        <f>'FE-Transferências'!$D$3*0.0016*(($B$15/2.2)^1.3)/(($E10/2)^1.4)</f>
        <v>5.7588907996910663E-5</v>
      </c>
      <c r="I10" s="85">
        <f t="shared" si="3"/>
        <v>8.595119115315953E-3</v>
      </c>
      <c r="J10" s="85">
        <f t="shared" si="4"/>
        <v>4.0652590410278147E-3</v>
      </c>
      <c r="K10" s="85">
        <f t="shared" si="5"/>
        <v>6.1559636906992625E-4</v>
      </c>
    </row>
    <row r="11" spans="1:12" x14ac:dyDescent="0.25">
      <c r="A11" s="60" t="s">
        <v>151</v>
      </c>
      <c r="B11" s="90">
        <v>-20.214938</v>
      </c>
      <c r="C11" s="90">
        <v>-40.360354999999998</v>
      </c>
      <c r="D11" s="78">
        <f>Dados!D8/8760</f>
        <v>2.2474178082191782</v>
      </c>
      <c r="E11" s="91">
        <v>7.8</v>
      </c>
      <c r="F11" s="104">
        <f>'FE-Transferências'!$B$3*0.0016*(($B$15/2.2)^1.3)/(($E11/2)^1.4)</f>
        <v>4.0747407466847573E-4</v>
      </c>
      <c r="G11" s="104">
        <f>'FE-Transferências'!$C$3*0.0016*(($B$15/2.2)^1.3)/(($E11/2)^1.4)</f>
        <v>1.927242245053601E-4</v>
      </c>
      <c r="H11" s="104">
        <f>'FE-Transferências'!$D$3*0.0016*(($B$15/2.2)^1.3)/(($E11/2)^1.4)</f>
        <v>2.9183953996525963E-5</v>
      </c>
      <c r="I11" s="85">
        <f t="shared" si="3"/>
        <v>9.1576449179756351E-4</v>
      </c>
      <c r="J11" s="85">
        <f t="shared" si="4"/>
        <v>4.3313185422857721E-4</v>
      </c>
      <c r="K11" s="85">
        <f t="shared" si="5"/>
        <v>6.5588537926041706E-5</v>
      </c>
    </row>
    <row r="12" spans="1:12" x14ac:dyDescent="0.25">
      <c r="A12" s="60" t="s">
        <v>121</v>
      </c>
      <c r="B12" s="90">
        <v>-20.214938</v>
      </c>
      <c r="C12" s="90">
        <v>-40.360354999999998</v>
      </c>
      <c r="D12" s="78">
        <f>Dados!D9/8760</f>
        <v>0.27625799086757991</v>
      </c>
      <c r="E12" s="91">
        <v>5.4</v>
      </c>
      <c r="F12" s="104">
        <f>'FE-Transferências'!$B$3*0.0016*(($B$15/2.2)^1.3)/(($E12/2)^1.4)</f>
        <v>6.818379382369118E-4</v>
      </c>
      <c r="G12" s="104">
        <f>'FE-Transferências'!$C$3*0.0016*(($B$15/2.2)^1.3)/(($E12/2)^1.4)</f>
        <v>3.2249091673367447E-4</v>
      </c>
      <c r="H12" s="104">
        <f>'FE-Transferências'!$D$3*0.0016*(($B$15/2.2)^1.3)/(($E12/2)^1.4)</f>
        <v>4.8834338819670712E-5</v>
      </c>
      <c r="I12" s="85">
        <f t="shared" si="3"/>
        <v>1.8836317891462228E-4</v>
      </c>
      <c r="J12" s="85">
        <f t="shared" si="4"/>
        <v>8.9090692729888916E-5</v>
      </c>
      <c r="K12" s="85">
        <f t="shared" si="5"/>
        <v>1.3490876327668894E-5</v>
      </c>
      <c r="L12" s="33"/>
    </row>
    <row r="13" spans="1:12" x14ac:dyDescent="0.25">
      <c r="A13" s="152" t="s">
        <v>178</v>
      </c>
      <c r="B13" s="152"/>
      <c r="C13" s="152"/>
      <c r="D13" s="152"/>
      <c r="E13" s="152"/>
      <c r="F13" s="152"/>
      <c r="G13" s="152"/>
      <c r="H13" s="153"/>
      <c r="I13" s="30">
        <f>SUM(I3:I12)</f>
        <v>2.3875094920922688E-2</v>
      </c>
      <c r="J13" s="30">
        <f>SUM(J3:J12)</f>
        <v>1.1292274624760729E-2</v>
      </c>
      <c r="K13" s="16">
        <f>SUM(K3:K12)</f>
        <v>1.7099730146066248E-3</v>
      </c>
      <c r="L13" s="21"/>
    </row>
    <row r="14" spans="1:12" x14ac:dyDescent="0.25">
      <c r="C14" s="33"/>
      <c r="D14" s="33"/>
      <c r="E14" s="33"/>
    </row>
    <row r="15" spans="1:12" x14ac:dyDescent="0.25">
      <c r="A15" s="32" t="s">
        <v>32</v>
      </c>
      <c r="B15" s="105">
        <v>4.1937865160171146</v>
      </c>
    </row>
    <row r="17" spans="1:1" x14ac:dyDescent="0.25">
      <c r="A17" s="1"/>
    </row>
    <row r="19" spans="1:1" x14ac:dyDescent="0.25">
      <c r="A19" s="33"/>
    </row>
  </sheetData>
  <sheetProtection password="B056" sheet="1" objects="1" scenarios="1"/>
  <mergeCells count="8">
    <mergeCell ref="A13:H13"/>
    <mergeCell ref="A1:A2"/>
    <mergeCell ref="D1:D2"/>
    <mergeCell ref="E1:E2"/>
    <mergeCell ref="I1:K1"/>
    <mergeCell ref="F1:H1"/>
    <mergeCell ref="B1:B2"/>
    <mergeCell ref="C1:C2"/>
  </mergeCells>
  <pageMargins left="0.511811024" right="0.511811024" top="0.78740157499999996" bottom="0.78740157499999996" header="0.31496062000000002" footer="0.31496062000000002"/>
  <pageSetup paperSize="9"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6"/>
  <sheetViews>
    <sheetView zoomScaleNormal="100" workbookViewId="0">
      <selection activeCell="H26" sqref="H26"/>
    </sheetView>
  </sheetViews>
  <sheetFormatPr defaultRowHeight="15" x14ac:dyDescent="0.25"/>
  <cols>
    <col min="1" max="1" width="52.140625" bestFit="1" customWidth="1"/>
    <col min="2" max="2" width="13.7109375" customWidth="1"/>
    <col min="3" max="3" width="13.140625" customWidth="1"/>
    <col min="4" max="6" width="11.140625" customWidth="1"/>
    <col min="7" max="7" width="9.28515625" customWidth="1"/>
    <col min="8" max="8" width="11" customWidth="1"/>
  </cols>
  <sheetData>
    <row r="1" spans="1:9" ht="18" customHeight="1" x14ac:dyDescent="0.25">
      <c r="A1" s="155" t="s">
        <v>0</v>
      </c>
      <c r="B1" s="155" t="s">
        <v>169</v>
      </c>
      <c r="C1" s="161" t="s">
        <v>168</v>
      </c>
      <c r="D1" s="162"/>
      <c r="E1" s="162"/>
      <c r="F1" s="159" t="s">
        <v>1</v>
      </c>
      <c r="G1" s="159"/>
      <c r="H1" s="160"/>
    </row>
    <row r="2" spans="1:9" ht="18" customHeight="1" x14ac:dyDescent="0.25">
      <c r="A2" s="155"/>
      <c r="B2" s="155"/>
      <c r="C2" s="59" t="s">
        <v>26</v>
      </c>
      <c r="D2" s="59" t="s">
        <v>48</v>
      </c>
      <c r="E2" s="99" t="s">
        <v>90</v>
      </c>
      <c r="F2" s="99" t="s">
        <v>26</v>
      </c>
      <c r="G2" s="51" t="s">
        <v>48</v>
      </c>
      <c r="H2" s="51" t="s">
        <v>90</v>
      </c>
    </row>
    <row r="3" spans="1:9" x14ac:dyDescent="0.25">
      <c r="A3" s="4" t="s">
        <v>157</v>
      </c>
      <c r="B3" s="54">
        <f>Dados!G8/8760</f>
        <v>5.7077625570776253E-2</v>
      </c>
      <c r="C3" s="53">
        <f>'FE-Britagem e Peneiramento'!B5</f>
        <v>2.7000000000000001E-3</v>
      </c>
      <c r="D3" s="53">
        <f>'FE-Britagem e Peneiramento'!D5</f>
        <v>1.1999999999999999E-3</v>
      </c>
      <c r="E3" s="66">
        <f>('FE-Britagem e Peneiramento'!$F$6/'FE-Britagem e Peneiramento'!$D$6)*'FE-Britagem e Peneiramento'!$D$5</f>
        <v>2.2222222222222223E-4</v>
      </c>
      <c r="F3" s="84">
        <f>B3*C3</f>
        <v>1.5410958904109589E-4</v>
      </c>
      <c r="G3" s="84">
        <f>B3*D3</f>
        <v>6.8493150684931502E-5</v>
      </c>
      <c r="H3" s="85">
        <f>B3*E3</f>
        <v>1.2683916793505835E-5</v>
      </c>
    </row>
    <row r="4" spans="1:9" x14ac:dyDescent="0.25">
      <c r="A4" s="163" t="s">
        <v>179</v>
      </c>
      <c r="B4" s="143"/>
      <c r="C4" s="143"/>
      <c r="D4" s="143"/>
      <c r="E4" s="143"/>
      <c r="F4" s="16">
        <f>SUM(F3:F3)</f>
        <v>1.5410958904109589E-4</v>
      </c>
      <c r="G4" s="16">
        <f>SUM(G3:G3)</f>
        <v>6.8493150684931502E-5</v>
      </c>
      <c r="H4" s="16">
        <f>SUM(H3:H3)</f>
        <v>1.2683916793505835E-5</v>
      </c>
    </row>
    <row r="5" spans="1:9" x14ac:dyDescent="0.25">
      <c r="A5" s="62"/>
      <c r="C5" s="1"/>
      <c r="D5" s="1"/>
      <c r="E5" s="1"/>
      <c r="F5" s="1"/>
      <c r="G5" s="1"/>
      <c r="H5" s="1"/>
    </row>
    <row r="6" spans="1:9" ht="19.5" customHeight="1" x14ac:dyDescent="0.25">
      <c r="A6" s="155" t="s">
        <v>0</v>
      </c>
      <c r="B6" s="155" t="s">
        <v>169</v>
      </c>
      <c r="C6" s="161" t="s">
        <v>168</v>
      </c>
      <c r="D6" s="162"/>
      <c r="E6" s="162"/>
      <c r="F6" s="159" t="s">
        <v>1</v>
      </c>
      <c r="G6" s="159"/>
      <c r="H6" s="160"/>
    </row>
    <row r="7" spans="1:9" ht="15.75" customHeight="1" x14ac:dyDescent="0.25">
      <c r="A7" s="155"/>
      <c r="B7" s="155"/>
      <c r="C7" s="59" t="s">
        <v>26</v>
      </c>
      <c r="D7" s="59" t="s">
        <v>48</v>
      </c>
      <c r="E7" s="59" t="s">
        <v>90</v>
      </c>
      <c r="F7" s="59" t="s">
        <v>26</v>
      </c>
      <c r="G7" s="59" t="s">
        <v>48</v>
      </c>
      <c r="H7" s="59" t="s">
        <v>90</v>
      </c>
    </row>
    <row r="8" spans="1:9" x14ac:dyDescent="0.25">
      <c r="A8" s="4" t="s">
        <v>160</v>
      </c>
      <c r="B8" s="54">
        <f>Dados!F8/8760</f>
        <v>0.79908675799086759</v>
      </c>
      <c r="C8" s="47">
        <f>'FE-Britagem e Peneiramento'!B14</f>
        <v>1.0999999999999999E-2</v>
      </c>
      <c r="D8" s="47">
        <f>('FE-Britagem e Peneiramento'!$D$8/'FE-Britagem e Peneiramento'!$B$8)*'FE-Britagem e Peneiramento'!$B$14</f>
        <v>3.6999999999999997E-3</v>
      </c>
      <c r="E8" s="63">
        <f>('FE-Britagem e Peneiramento'!$F$8/'FE-Britagem e Peneiramento'!$B$8)*'FE-Britagem e Peneiramento'!$B$14</f>
        <v>2.5000000000000001E-4</v>
      </c>
      <c r="F8" s="66">
        <f>$B$8*C8</f>
        <v>8.7899543378995425E-3</v>
      </c>
      <c r="G8" s="66">
        <f>$B$8*D8</f>
        <v>2.9566210045662098E-3</v>
      </c>
      <c r="H8" s="66">
        <f>$B$8*E8</f>
        <v>1.9977168949771691E-4</v>
      </c>
    </row>
    <row r="9" spans="1:9" x14ac:dyDescent="0.25">
      <c r="A9" s="37" t="s">
        <v>161</v>
      </c>
      <c r="B9" s="86">
        <f>(Dados!F7+Dados!F9)/8760</f>
        <v>2.1689497716894977</v>
      </c>
      <c r="C9" s="87">
        <f>'FE-Britagem e Peneiramento'!B7</f>
        <v>1.2500000000000001E-2</v>
      </c>
      <c r="D9" s="87">
        <f>'FE-Britagem e Peneiramento'!D7</f>
        <v>4.3E-3</v>
      </c>
      <c r="E9" s="88">
        <f>('FE-Britagem e Peneiramento'!$F$8/'FE-Britagem e Peneiramento'!$D$8)*'FE-Britagem e Peneiramento'!$D$7</f>
        <v>2.9054054054054054E-4</v>
      </c>
      <c r="F9" s="66">
        <f>$B$9*C9</f>
        <v>2.7111872146118723E-2</v>
      </c>
      <c r="G9" s="66">
        <f>$B$9*D9</f>
        <v>9.3264840182648405E-3</v>
      </c>
      <c r="H9" s="66">
        <f>$B$9*E9</f>
        <v>6.3016783907194869E-4</v>
      </c>
    </row>
    <row r="10" spans="1:9" x14ac:dyDescent="0.25">
      <c r="A10" s="143" t="s">
        <v>180</v>
      </c>
      <c r="B10" s="143"/>
      <c r="C10" s="143"/>
      <c r="D10" s="143"/>
      <c r="E10" s="143"/>
      <c r="F10" s="16">
        <f>SUM(F8:F9)</f>
        <v>3.5901826484018268E-2</v>
      </c>
      <c r="G10" s="16">
        <f>SUM(G8:G9)</f>
        <v>1.228310502283105E-2</v>
      </c>
      <c r="H10" s="16">
        <f>SUM(H8:H9)</f>
        <v>8.299395285696656E-4</v>
      </c>
    </row>
    <row r="11" spans="1:9" x14ac:dyDescent="0.25">
      <c r="A11" s="33"/>
      <c r="B11" s="1"/>
      <c r="C11" s="1"/>
      <c r="D11" s="33"/>
      <c r="E11" s="1"/>
      <c r="F11" s="1"/>
      <c r="G11" s="1"/>
      <c r="H11" s="1"/>
      <c r="I11" s="1"/>
    </row>
    <row r="13" spans="1:9" x14ac:dyDescent="0.25">
      <c r="A13" s="1"/>
    </row>
    <row r="15" spans="1:9" x14ac:dyDescent="0.25">
      <c r="A15" s="33"/>
    </row>
    <row r="16" spans="1:9" x14ac:dyDescent="0.25">
      <c r="A16" s="33"/>
    </row>
  </sheetData>
  <sheetProtection password="B056" sheet="1" objects="1" scenarios="1"/>
  <mergeCells count="10">
    <mergeCell ref="A10:E10"/>
    <mergeCell ref="F1:H1"/>
    <mergeCell ref="C1:E1"/>
    <mergeCell ref="A1:A2"/>
    <mergeCell ref="B1:B2"/>
    <mergeCell ref="A4:E4"/>
    <mergeCell ref="F6:H6"/>
    <mergeCell ref="C6:E6"/>
    <mergeCell ref="A6:A7"/>
    <mergeCell ref="B6:B7"/>
  </mergeCells>
  <pageMargins left="0.511811024" right="0.511811024" top="0.78740157499999996" bottom="0.78740157499999996" header="0.31496062000000002" footer="0.31496062000000002"/>
  <pageSetup paperSize="9"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9"/>
  <sheetViews>
    <sheetView topLeftCell="J1" zoomScaleNormal="100" workbookViewId="0">
      <selection activeCell="U19" sqref="U19"/>
    </sheetView>
  </sheetViews>
  <sheetFormatPr defaultRowHeight="15" x14ac:dyDescent="0.25"/>
  <cols>
    <col min="1" max="1" width="18.7109375" customWidth="1"/>
    <col min="2" max="2" width="13.85546875" customWidth="1"/>
    <col min="3" max="4" width="13" customWidth="1"/>
    <col min="5" max="5" width="13.85546875" customWidth="1"/>
    <col min="6" max="6" width="14.28515625" customWidth="1"/>
    <col min="7" max="7" width="10.42578125" customWidth="1"/>
    <col min="8" max="8" width="11.85546875" customWidth="1"/>
    <col min="9" max="11" width="14.85546875" customWidth="1"/>
    <col min="12" max="14" width="13.7109375" customWidth="1"/>
  </cols>
  <sheetData>
    <row r="1" spans="1:28" x14ac:dyDescent="0.25">
      <c r="A1" s="3" t="s">
        <v>181</v>
      </c>
    </row>
    <row r="2" spans="1:28" ht="15" customHeight="1" x14ac:dyDescent="0.25">
      <c r="A2" s="155" t="s">
        <v>33</v>
      </c>
      <c r="B2" s="155" t="s">
        <v>24</v>
      </c>
      <c r="C2" s="151" t="s">
        <v>183</v>
      </c>
      <c r="D2" s="151" t="s">
        <v>184</v>
      </c>
      <c r="E2" s="155" t="s">
        <v>170</v>
      </c>
      <c r="F2" s="155" t="s">
        <v>171</v>
      </c>
      <c r="G2" s="155" t="s">
        <v>172</v>
      </c>
      <c r="H2" s="156" t="s">
        <v>173</v>
      </c>
      <c r="I2" s="164" t="s">
        <v>174</v>
      </c>
      <c r="J2" s="156" t="s">
        <v>81</v>
      </c>
      <c r="K2" s="156" t="s">
        <v>175</v>
      </c>
      <c r="L2" s="161" t="s">
        <v>176</v>
      </c>
      <c r="M2" s="162"/>
      <c r="N2" s="162"/>
      <c r="O2" s="155" t="s">
        <v>177</v>
      </c>
      <c r="P2" s="155"/>
      <c r="Q2" s="155"/>
      <c r="R2" s="155"/>
      <c r="S2" s="155"/>
      <c r="T2" s="155"/>
      <c r="U2" s="155"/>
      <c r="V2" s="154" t="s">
        <v>1</v>
      </c>
      <c r="W2" s="154"/>
      <c r="X2" s="154"/>
      <c r="Y2" s="154"/>
      <c r="Z2" s="154"/>
      <c r="AA2" s="154"/>
      <c r="AB2" s="154"/>
    </row>
    <row r="3" spans="1:28" x14ac:dyDescent="0.25">
      <c r="A3" s="155"/>
      <c r="B3" s="155"/>
      <c r="C3" s="151"/>
      <c r="D3" s="151"/>
      <c r="E3" s="155"/>
      <c r="F3" s="155"/>
      <c r="G3" s="155"/>
      <c r="H3" s="157"/>
      <c r="I3" s="165"/>
      <c r="J3" s="157"/>
      <c r="K3" s="157"/>
      <c r="L3" s="34" t="s">
        <v>2</v>
      </c>
      <c r="M3" s="34" t="s">
        <v>3</v>
      </c>
      <c r="N3" s="38" t="s">
        <v>152</v>
      </c>
      <c r="O3" s="34" t="s">
        <v>2</v>
      </c>
      <c r="P3" s="34" t="s">
        <v>3</v>
      </c>
      <c r="Q3" s="34" t="s">
        <v>152</v>
      </c>
      <c r="R3" s="34" t="s">
        <v>5</v>
      </c>
      <c r="S3" s="34" t="s">
        <v>6</v>
      </c>
      <c r="T3" s="34" t="s">
        <v>4</v>
      </c>
      <c r="U3" s="102" t="s">
        <v>182</v>
      </c>
      <c r="V3" s="34" t="s">
        <v>2</v>
      </c>
      <c r="W3" s="34" t="s">
        <v>3</v>
      </c>
      <c r="X3" s="34" t="s">
        <v>152</v>
      </c>
      <c r="Y3" s="34" t="s">
        <v>5</v>
      </c>
      <c r="Z3" s="34" t="s">
        <v>6</v>
      </c>
      <c r="AA3" s="34" t="s">
        <v>4</v>
      </c>
      <c r="AB3" s="34" t="s">
        <v>182</v>
      </c>
    </row>
    <row r="4" spans="1:28" x14ac:dyDescent="0.25">
      <c r="A4" s="35" t="s">
        <v>95</v>
      </c>
      <c r="B4" s="31" t="s">
        <v>34</v>
      </c>
      <c r="C4" s="81">
        <v>-20.215008000000001</v>
      </c>
      <c r="D4" s="81">
        <v>-40.358704000000003</v>
      </c>
      <c r="E4" s="31">
        <v>101</v>
      </c>
      <c r="F4" s="83">
        <f>Dados!$B$19/24</f>
        <v>1.375</v>
      </c>
      <c r="G4" s="8">
        <f>2*(E4*F4/1000)</f>
        <v>0.27775</v>
      </c>
      <c r="H4" s="6">
        <v>8.4</v>
      </c>
      <c r="I4" s="6">
        <v>16</v>
      </c>
      <c r="J4" s="6" t="s">
        <v>94</v>
      </c>
      <c r="K4" s="6">
        <v>55</v>
      </c>
      <c r="L4" s="8">
        <f>('FE-Vias'!$D$6*((H4/12)^'FE-Vias'!$D$7)*((I4/3)^'FE-Vias'!$D$8)*'FE-Vias'!$B$9/1000)*'FE-Vias'!$J$17</f>
        <v>1.7095389259460456</v>
      </c>
      <c r="M4" s="8">
        <f>('FE-Vias'!$C$6*((H4/12)^'FE-Vias'!$C$7)*((I4/3)^'FE-Vias'!$C$8)*'FE-Vias'!$B$9/1000)*'FE-Vias'!$J$17</f>
        <v>0.48729704869774915</v>
      </c>
      <c r="N4" s="8">
        <f>('FE-Vias'!$B$6*((H4/12)^'FE-Vias'!$B$7)*((I4/3)^'FE-Vias'!$B$8)*'FE-Vias'!$B$9/1000)*'FE-Vias'!$J$17</f>
        <v>4.8729704869774917E-2</v>
      </c>
      <c r="O4" s="85">
        <f>'FE-Vias'!B25/1000</f>
        <v>1.7489827604766657E-4</v>
      </c>
      <c r="P4" s="85">
        <f>'FE-Vias'!C25/1000</f>
        <v>1.7489827604766657E-4</v>
      </c>
      <c r="Q4" s="85">
        <f>'FE-Vias'!D25/1000</f>
        <v>1.7489827604766657E-4</v>
      </c>
      <c r="R4" s="85">
        <f>'FE-Vias'!E25/1000</f>
        <v>5.4345140567386742E-3</v>
      </c>
      <c r="S4" s="106">
        <f>'FE-Vias'!$F$25/1000</f>
        <v>4.1637536157977016E-6</v>
      </c>
      <c r="T4" s="85">
        <f>'FE-Vias'!$G$25/1000</f>
        <v>1.0383730075038094E-3</v>
      </c>
      <c r="U4" s="85">
        <f>'FE-Vias'!H25/1000</f>
        <v>2.4766340643796463E-4</v>
      </c>
      <c r="V4" s="39">
        <f>(L4*G4*(1-K4/100))+(O4*G4)</f>
        <v>0.21371957450285359</v>
      </c>
      <c r="W4" s="39">
        <f>(M4*G4*(1-K4/100))+(P4*G4)</f>
        <v>6.0954617870282148E-2</v>
      </c>
      <c r="X4" s="39">
        <f>(N4*G4*(1-K4/100))+(Q4*G4)</f>
        <v>6.139181983583231E-3</v>
      </c>
      <c r="Y4" s="39">
        <f>R4*G4</f>
        <v>1.5094362792591666E-3</v>
      </c>
      <c r="Z4" s="39">
        <f>S4*G4</f>
        <v>1.1564825667878115E-6</v>
      </c>
      <c r="AA4" s="39">
        <f>T4*G4</f>
        <v>2.8840810283418304E-4</v>
      </c>
      <c r="AB4" s="39">
        <f>U4*G4</f>
        <v>6.8788511138144674E-5</v>
      </c>
    </row>
    <row r="5" spans="1:28" s="48" customFormat="1" x14ac:dyDescent="0.25">
      <c r="A5" s="77" t="s">
        <v>96</v>
      </c>
      <c r="B5" s="6" t="s">
        <v>34</v>
      </c>
      <c r="C5" s="94">
        <v>-20.214680999999999</v>
      </c>
      <c r="D5" s="94">
        <v>-40.359527</v>
      </c>
      <c r="E5" s="6">
        <v>216</v>
      </c>
      <c r="F5" s="83">
        <f>Dados!$B$19/24/2</f>
        <v>0.6875</v>
      </c>
      <c r="G5" s="8">
        <f>2*(E5*F5/1000)</f>
        <v>0.29699999999999999</v>
      </c>
      <c r="H5" s="6">
        <v>8.4</v>
      </c>
      <c r="I5" s="6">
        <v>16</v>
      </c>
      <c r="J5" s="6" t="s">
        <v>94</v>
      </c>
      <c r="K5" s="6">
        <v>55</v>
      </c>
      <c r="L5" s="75">
        <f>('FE-Vias'!$D$6*((H5/12)^'FE-Vias'!$D$7)*((I5/3)^'FE-Vias'!$D$8)*'FE-Vias'!$B$9/1000)*'FE-Vias'!$J$17</f>
        <v>1.7095389259460456</v>
      </c>
      <c r="M5" s="75">
        <f>('FE-Vias'!$C$6*((H5/12)^'FE-Vias'!$C$7)*((I5/3)^'FE-Vias'!$C$8)*'FE-Vias'!$B$9/1000)*'FE-Vias'!$J$17</f>
        <v>0.48729704869774915</v>
      </c>
      <c r="N5" s="75">
        <f>('FE-Vias'!$B$6*((H5/12)^'FE-Vias'!$B$7)*((I5/3)^'FE-Vias'!$B$8)*'FE-Vias'!$B$9/1000)*'FE-Vias'!$J$17</f>
        <v>4.8729704869774917E-2</v>
      </c>
      <c r="O5" s="85">
        <f>'FE-Vias'!$B$25/1000</f>
        <v>1.7489827604766657E-4</v>
      </c>
      <c r="P5" s="85">
        <f>'FE-Vias'!$C$25/1000</f>
        <v>1.7489827604766657E-4</v>
      </c>
      <c r="Q5" s="85">
        <f>'FE-Vias'!$D$25/1000</f>
        <v>1.7489827604766657E-4</v>
      </c>
      <c r="R5" s="85">
        <f>'FE-Vias'!$E$25/1000</f>
        <v>5.4345140567386742E-3</v>
      </c>
      <c r="S5" s="106">
        <f>'FE-Vias'!$F$25/1000</f>
        <v>4.1637536157977016E-6</v>
      </c>
      <c r="T5" s="85">
        <f>'FE-Vias'!$G$25/1000</f>
        <v>1.0383730075038094E-3</v>
      </c>
      <c r="U5" s="85">
        <f>'FE-Vias'!$H$25/1000</f>
        <v>2.4766340643796463E-4</v>
      </c>
      <c r="V5" s="39">
        <f t="shared" ref="V5:V6" si="0">(L5*G5*(1-K5/100))+(O5*G5)</f>
        <v>0.22853182224067509</v>
      </c>
      <c r="W5" s="39">
        <f t="shared" ref="W5:W6" si="1">(M5*G5*(1-K5/100))+(P5*G5)</f>
        <v>6.517919534644033E-2</v>
      </c>
      <c r="X5" s="39">
        <f t="shared" ref="X5:X6" si="2">(N5*G5*(1-K5/100))+(Q5*G5)</f>
        <v>6.5646698438315736E-3</v>
      </c>
      <c r="Y5" s="39">
        <f t="shared" ref="Y5:Y6" si="3">R5*G5</f>
        <v>1.6140506748513863E-3</v>
      </c>
      <c r="Z5" s="39">
        <f t="shared" ref="Z5:Z6" si="4">S5*G5</f>
        <v>1.2366348238919174E-6</v>
      </c>
      <c r="AA5" s="39">
        <f t="shared" ref="AA5:AA6" si="5">T5*G5</f>
        <v>3.0839678322863137E-4</v>
      </c>
      <c r="AB5" s="39">
        <f t="shared" ref="AB5:AB6" si="6">U5*G5</f>
        <v>7.3556031712075496E-5</v>
      </c>
    </row>
    <row r="6" spans="1:28" s="48" customFormat="1" x14ac:dyDescent="0.25">
      <c r="A6" s="77" t="s">
        <v>97</v>
      </c>
      <c r="B6" s="6" t="s">
        <v>34</v>
      </c>
      <c r="C6" s="6">
        <v>-20.214195</v>
      </c>
      <c r="D6" s="6">
        <v>-40.359206999999998</v>
      </c>
      <c r="E6" s="6">
        <v>160</v>
      </c>
      <c r="F6" s="83">
        <f>Dados!$B$19/24/2</f>
        <v>0.6875</v>
      </c>
      <c r="G6" s="8">
        <f>2*(E6*F6/1000)</f>
        <v>0.22</v>
      </c>
      <c r="H6" s="6">
        <v>8.4</v>
      </c>
      <c r="I6" s="6">
        <v>16</v>
      </c>
      <c r="J6" s="6" t="s">
        <v>94</v>
      </c>
      <c r="K6" s="6">
        <v>55</v>
      </c>
      <c r="L6" s="75">
        <f>('FE-Vias'!$D$6*((H6/12)^'FE-Vias'!$D$7)*((I6/3)^'FE-Vias'!$D$8)*'FE-Vias'!$B$9/1000)*'FE-Vias'!$J$17</f>
        <v>1.7095389259460456</v>
      </c>
      <c r="M6" s="75">
        <f>('FE-Vias'!$C$6*((H6/12)^'FE-Vias'!$C$7)*((I6/3)^'FE-Vias'!$C$8)*'FE-Vias'!$B$9/1000)*'FE-Vias'!$J$17</f>
        <v>0.48729704869774915</v>
      </c>
      <c r="N6" s="75">
        <f>('FE-Vias'!$B$6*((H6/12)^'FE-Vias'!$B$7)*((I6/3)^'FE-Vias'!$B$8)*'FE-Vias'!$B$9/1000)*'FE-Vias'!$J$17</f>
        <v>4.8729704869774917E-2</v>
      </c>
      <c r="O6" s="85">
        <f>'FE-Vias'!$B$25/1000</f>
        <v>1.7489827604766657E-4</v>
      </c>
      <c r="P6" s="85">
        <f>'FE-Vias'!$C$25/1000</f>
        <v>1.7489827604766657E-4</v>
      </c>
      <c r="Q6" s="85">
        <f>'FE-Vias'!$D$25/1000</f>
        <v>1.7489827604766657E-4</v>
      </c>
      <c r="R6" s="85">
        <f>'FE-Vias'!$E$25/1000</f>
        <v>5.4345140567386742E-3</v>
      </c>
      <c r="S6" s="106">
        <f>'FE-Vias'!$F$25/1000</f>
        <v>4.1637536157977016E-6</v>
      </c>
      <c r="T6" s="85">
        <f>'FE-Vias'!$G$25/1000</f>
        <v>1.0383730075038094E-3</v>
      </c>
      <c r="U6" s="85">
        <f>'FE-Vias'!$H$25/1000</f>
        <v>2.4766340643796463E-4</v>
      </c>
      <c r="V6" s="39">
        <f t="shared" si="0"/>
        <v>0.16928283128938898</v>
      </c>
      <c r="W6" s="39">
        <f t="shared" si="1"/>
        <v>4.8280885441807656E-2</v>
      </c>
      <c r="X6" s="39">
        <f t="shared" si="2"/>
        <v>4.8627184028382031E-3</v>
      </c>
      <c r="Y6" s="39">
        <f t="shared" si="3"/>
        <v>1.1955930924825084E-3</v>
      </c>
      <c r="Z6" s="39">
        <f t="shared" si="4"/>
        <v>9.160257954754943E-7</v>
      </c>
      <c r="AA6" s="39">
        <f t="shared" si="5"/>
        <v>2.2844206165083806E-4</v>
      </c>
      <c r="AB6" s="39">
        <f t="shared" si="6"/>
        <v>5.4485949416352215E-5</v>
      </c>
    </row>
    <row r="7" spans="1:28" x14ac:dyDescent="0.25">
      <c r="A7" s="146" t="s">
        <v>178</v>
      </c>
      <c r="B7" s="146"/>
      <c r="C7" s="146"/>
      <c r="D7" s="146"/>
      <c r="E7" s="146"/>
      <c r="F7" s="146"/>
      <c r="G7" s="146"/>
      <c r="H7" s="146"/>
      <c r="I7" s="146"/>
      <c r="J7" s="146"/>
      <c r="K7" s="146"/>
      <c r="L7" s="146"/>
      <c r="M7" s="146"/>
      <c r="N7" s="146"/>
      <c r="O7" s="146"/>
      <c r="P7" s="146"/>
      <c r="Q7" s="146"/>
      <c r="R7" s="146"/>
      <c r="S7" s="146"/>
      <c r="T7" s="146"/>
      <c r="U7" s="146"/>
      <c r="V7" s="16">
        <f t="shared" ref="V7:AB7" si="7">SUM(V4:V6)</f>
        <v>0.61153422803291768</v>
      </c>
      <c r="W7" s="16">
        <f t="shared" si="7"/>
        <v>0.17441469865853015</v>
      </c>
      <c r="X7" s="16">
        <f t="shared" si="7"/>
        <v>1.7566570230253008E-2</v>
      </c>
      <c r="Y7" s="16">
        <f t="shared" si="7"/>
        <v>4.3190800465930613E-3</v>
      </c>
      <c r="Z7" s="16">
        <f t="shared" si="7"/>
        <v>3.309143186155223E-6</v>
      </c>
      <c r="AA7" s="16">
        <f t="shared" si="7"/>
        <v>8.2524694771365253E-4</v>
      </c>
      <c r="AB7" s="16">
        <f t="shared" si="7"/>
        <v>1.9683049226657236E-4</v>
      </c>
    </row>
    <row r="8" spans="1:28" x14ac:dyDescent="0.25">
      <c r="C8" s="33"/>
      <c r="I8" s="33"/>
      <c r="J8" s="33"/>
    </row>
    <row r="9" spans="1:28" x14ac:dyDescent="0.25">
      <c r="B9" s="74"/>
      <c r="H9" s="33"/>
    </row>
  </sheetData>
  <sheetProtection password="B056" sheet="1" objects="1" scenarios="1"/>
  <mergeCells count="15">
    <mergeCell ref="V2:AB2"/>
    <mergeCell ref="F2:F3"/>
    <mergeCell ref="G2:G3"/>
    <mergeCell ref="H2:H3"/>
    <mergeCell ref="I2:I3"/>
    <mergeCell ref="L2:N2"/>
    <mergeCell ref="O2:U2"/>
    <mergeCell ref="K2:K3"/>
    <mergeCell ref="J2:J3"/>
    <mergeCell ref="A7:U7"/>
    <mergeCell ref="A2:A3"/>
    <mergeCell ref="B2:B3"/>
    <mergeCell ref="C2:C3"/>
    <mergeCell ref="D2:D3"/>
    <mergeCell ref="E2:E3"/>
  </mergeCells>
  <pageMargins left="0.511811024" right="0.511811024" top="0.78740157499999996" bottom="0.78740157499999996" header="0.31496062000000002" footer="0.31496062000000002"/>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2</vt:i4>
      </vt:variant>
    </vt:vector>
  </HeadingPairs>
  <TitlesOfParts>
    <vt:vector size="12" baseType="lpstr">
      <vt:lpstr>Dados</vt:lpstr>
      <vt:lpstr>FE-Maq Equip</vt:lpstr>
      <vt:lpstr>FE-Transferências</vt:lpstr>
      <vt:lpstr>FE-Britagem e Peneiramento</vt:lpstr>
      <vt:lpstr>FE-Vias</vt:lpstr>
      <vt:lpstr>Emissão Maq e Equip</vt:lpstr>
      <vt:lpstr>Emissão Transferências</vt:lpstr>
      <vt:lpstr>Emissão Britagem e Peneiramento</vt:lpstr>
      <vt:lpstr>Emissão Vias </vt:lpstr>
      <vt:lpstr>Resumo</vt:lpstr>
      <vt:lpstr>FE_Equip</vt:lpstr>
      <vt:lpstr>Pot_Equip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Andrielly Moutinho Knupp</dc:creator>
  <cp:lastModifiedBy>Vanessa Brusco Filete</cp:lastModifiedBy>
  <dcterms:created xsi:type="dcterms:W3CDTF">2016-12-13T12:13:55Z</dcterms:created>
  <dcterms:modified xsi:type="dcterms:W3CDTF">2019-06-06T19:45:25Z</dcterms:modified>
</cp:coreProperties>
</file>