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Vale\Difusas\"/>
    </mc:Choice>
  </mc:AlternateContent>
  <bookViews>
    <workbookView xWindow="0" yWindow="0" windowWidth="24000" windowHeight="9735" tabRatio="610" activeTab="7"/>
  </bookViews>
  <sheets>
    <sheet name="Usinas" sheetId="1" r:id="rId1"/>
    <sheet name="Materiais" sheetId="2" r:id="rId2"/>
    <sheet name="Tubarão - Rota" sheetId="5" r:id="rId3"/>
    <sheet name="TPM - Rota" sheetId="6" r:id="rId4"/>
    <sheet name="TR - Geral" sheetId="10" r:id="rId5"/>
    <sheet name="TPD - Rota" sheetId="7" r:id="rId6"/>
    <sheet name="TR-TPD" sheetId="11" r:id="rId7"/>
    <sheet name="Controles" sheetId="1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4" i="10" l="1"/>
  <c r="O174" i="10"/>
  <c r="M174" i="10"/>
  <c r="M3" i="10"/>
  <c r="N3" i="10"/>
  <c r="O3" i="10"/>
  <c r="M4" i="10"/>
  <c r="N4" i="10"/>
  <c r="O4" i="10"/>
  <c r="G4" i="10"/>
  <c r="G3" i="10"/>
  <c r="L69" i="10" l="1"/>
  <c r="L62" i="10"/>
  <c r="L157" i="10"/>
  <c r="L144" i="10"/>
  <c r="L132" i="10"/>
  <c r="L105" i="10"/>
  <c r="L81" i="10"/>
  <c r="L151" i="10"/>
  <c r="L138" i="10"/>
  <c r="L126" i="10"/>
  <c r="L99" i="10"/>
  <c r="L75" i="10"/>
  <c r="L145" i="10" l="1"/>
  <c r="L133" i="10"/>
  <c r="L111" i="10"/>
  <c r="L108" i="10"/>
  <c r="L90" i="10"/>
  <c r="L85" i="10"/>
  <c r="L67" i="10"/>
  <c r="L107" i="10"/>
  <c r="L89" i="10"/>
  <c r="L84" i="10"/>
  <c r="L66" i="10"/>
  <c r="L156" i="10"/>
  <c r="L155" i="10"/>
  <c r="L154" i="10"/>
  <c r="L153" i="10"/>
  <c r="L152" i="10"/>
  <c r="L150" i="10"/>
  <c r="L149" i="10"/>
  <c r="L148" i="10"/>
  <c r="L147" i="10"/>
  <c r="L146" i="10"/>
  <c r="L143" i="10"/>
  <c r="L142" i="10"/>
  <c r="L141" i="10"/>
  <c r="L140" i="10"/>
  <c r="L139" i="10"/>
  <c r="L137" i="10"/>
  <c r="L136" i="10"/>
  <c r="L135" i="10"/>
  <c r="L134" i="10"/>
  <c r="L131" i="10"/>
  <c r="L130" i="10"/>
  <c r="L129" i="10"/>
  <c r="L128" i="10"/>
  <c r="L127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0" i="10"/>
  <c r="L109" i="10"/>
  <c r="L106" i="10"/>
  <c r="L104" i="10"/>
  <c r="L103" i="10"/>
  <c r="L102" i="10"/>
  <c r="L101" i="10"/>
  <c r="L100" i="10"/>
  <c r="L98" i="10"/>
  <c r="L97" i="10"/>
  <c r="L96" i="10"/>
  <c r="L95" i="10"/>
  <c r="L94" i="10"/>
  <c r="L93" i="10"/>
  <c r="L92" i="10"/>
  <c r="L91" i="10"/>
  <c r="L88" i="10"/>
  <c r="L87" i="10"/>
  <c r="L86" i="10"/>
  <c r="L83" i="10"/>
  <c r="L82" i="10"/>
  <c r="L80" i="10"/>
  <c r="L79" i="10"/>
  <c r="L78" i="10"/>
  <c r="L77" i="10"/>
  <c r="L76" i="10"/>
  <c r="L74" i="10"/>
  <c r="L73" i="10"/>
  <c r="L72" i="10"/>
  <c r="L71" i="10"/>
  <c r="L70" i="10"/>
  <c r="L68" i="10"/>
  <c r="L65" i="10"/>
  <c r="L64" i="10"/>
  <c r="L63" i="10"/>
  <c r="J172" i="10"/>
  <c r="J171" i="10"/>
  <c r="J170" i="10"/>
  <c r="J168" i="10"/>
  <c r="J167" i="10"/>
  <c r="J166" i="10"/>
  <c r="J164" i="10"/>
  <c r="J163" i="10"/>
  <c r="J162" i="10"/>
  <c r="J161" i="10"/>
  <c r="J160" i="10"/>
  <c r="J159" i="10"/>
  <c r="J156" i="10"/>
  <c r="J155" i="10"/>
  <c r="J154" i="10"/>
  <c r="J153" i="10"/>
  <c r="J152" i="10"/>
  <c r="J68" i="10"/>
  <c r="J150" i="10" l="1"/>
  <c r="J149" i="10"/>
  <c r="J148" i="10"/>
  <c r="J147" i="10"/>
  <c r="J146" i="10"/>
  <c r="J143" i="10"/>
  <c r="J142" i="10"/>
  <c r="J141" i="10"/>
  <c r="J140" i="10"/>
  <c r="J139" i="10"/>
  <c r="J137" i="10"/>
  <c r="J136" i="10"/>
  <c r="J135" i="10"/>
  <c r="J134" i="10"/>
  <c r="J131" i="10"/>
  <c r="J130" i="10"/>
  <c r="J129" i="10"/>
  <c r="J128" i="10"/>
  <c r="J127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0" i="10"/>
  <c r="J109" i="10"/>
  <c r="J106" i="10"/>
  <c r="J104" i="10"/>
  <c r="J103" i="10"/>
  <c r="J102" i="10"/>
  <c r="J101" i="10"/>
  <c r="J100" i="10"/>
  <c r="J98" i="10"/>
  <c r="J97" i="10"/>
  <c r="J96" i="10"/>
  <c r="J95" i="10"/>
  <c r="J94" i="10"/>
  <c r="J93" i="10"/>
  <c r="J92" i="10"/>
  <c r="J91" i="10"/>
  <c r="J88" i="10"/>
  <c r="J87" i="10"/>
  <c r="J86" i="10"/>
  <c r="J83" i="10"/>
  <c r="J82" i="10"/>
  <c r="J80" i="10"/>
  <c r="J79" i="10"/>
  <c r="J78" i="10"/>
  <c r="J77" i="10"/>
  <c r="J76" i="10"/>
  <c r="J74" i="10"/>
  <c r="J73" i="10"/>
  <c r="J72" i="10"/>
  <c r="J71" i="10"/>
  <c r="J70" i="10"/>
  <c r="J69" i="10"/>
  <c r="J65" i="10"/>
  <c r="J64" i="10"/>
  <c r="J63" i="10"/>
  <c r="J59" i="10"/>
  <c r="J58" i="10"/>
  <c r="J57" i="10"/>
  <c r="J56" i="10"/>
  <c r="J55" i="10"/>
  <c r="J53" i="10"/>
  <c r="J52" i="10"/>
  <c r="J51" i="10"/>
  <c r="J50" i="10"/>
  <c r="J49" i="10"/>
  <c r="J48" i="10"/>
  <c r="J45" i="10"/>
  <c r="J44" i="10"/>
  <c r="J43" i="10"/>
  <c r="J40" i="10"/>
  <c r="J39" i="10"/>
  <c r="J38" i="10"/>
  <c r="J37" i="10"/>
  <c r="J35" i="10"/>
  <c r="U17" i="7" l="1"/>
  <c r="X18" i="7"/>
  <c r="M24" i="11" l="1"/>
  <c r="P24" i="11" s="1"/>
  <c r="C35" i="11"/>
  <c r="L21" i="11" s="1"/>
  <c r="O21" i="11" s="1"/>
  <c r="D35" i="11"/>
  <c r="M22" i="11" s="1"/>
  <c r="P22" i="11" s="1"/>
  <c r="E35" i="11"/>
  <c r="N23" i="11" s="1"/>
  <c r="Q23" i="11" s="1"/>
  <c r="O18" i="11"/>
  <c r="P18" i="11"/>
  <c r="Q18" i="11"/>
  <c r="P17" i="11"/>
  <c r="Q17" i="11"/>
  <c r="O17" i="11"/>
  <c r="M18" i="11"/>
  <c r="N18" i="11"/>
  <c r="L18" i="11"/>
  <c r="M17" i="11"/>
  <c r="N17" i="11"/>
  <c r="L17" i="11"/>
  <c r="C34" i="11"/>
  <c r="D34" i="11"/>
  <c r="E34" i="11"/>
  <c r="N20" i="11" l="1"/>
  <c r="Q20" i="11" s="1"/>
  <c r="M23" i="11"/>
  <c r="P23" i="11" s="1"/>
  <c r="M20" i="11"/>
  <c r="P20" i="11" s="1"/>
  <c r="N21" i="11"/>
  <c r="Q21" i="11" s="1"/>
  <c r="N24" i="11"/>
  <c r="Q24" i="11" s="1"/>
  <c r="M21" i="11"/>
  <c r="P21" i="11" s="1"/>
  <c r="L22" i="11"/>
  <c r="O22" i="11" s="1"/>
  <c r="L19" i="11"/>
  <c r="O19" i="11" s="1"/>
  <c r="L23" i="11"/>
  <c r="O23" i="11" s="1"/>
  <c r="N19" i="11"/>
  <c r="Q19" i="11" s="1"/>
  <c r="L24" i="11"/>
  <c r="O24" i="11" s="1"/>
  <c r="N22" i="11"/>
  <c r="Q22" i="11" s="1"/>
  <c r="L20" i="11"/>
  <c r="O20" i="11" s="1"/>
  <c r="M19" i="11"/>
  <c r="P19" i="11" s="1"/>
  <c r="H20" i="11"/>
  <c r="H21" i="11" s="1"/>
  <c r="H22" i="11" s="1"/>
  <c r="H23" i="11" s="1"/>
  <c r="H24" i="11" s="1"/>
  <c r="I17" i="11"/>
  <c r="I18" i="11" s="1"/>
  <c r="H19" i="11"/>
  <c r="M3" i="11" l="1"/>
  <c r="N3" i="11"/>
  <c r="N16" i="11"/>
  <c r="M16" i="11"/>
  <c r="L16" i="11"/>
  <c r="N15" i="11"/>
  <c r="M15" i="11"/>
  <c r="L15" i="11"/>
  <c r="N14" i="11"/>
  <c r="M14" i="11"/>
  <c r="L14" i="11"/>
  <c r="N13" i="11"/>
  <c r="M13" i="11"/>
  <c r="L13" i="11"/>
  <c r="N12" i="11"/>
  <c r="M12" i="11"/>
  <c r="L12" i="11"/>
  <c r="N11" i="11"/>
  <c r="M11" i="11"/>
  <c r="L11" i="11"/>
  <c r="N10" i="11"/>
  <c r="M10" i="11"/>
  <c r="L10" i="11"/>
  <c r="N9" i="11"/>
  <c r="M9" i="11"/>
  <c r="L9" i="11"/>
  <c r="N8" i="11"/>
  <c r="M8" i="11"/>
  <c r="L8" i="11"/>
  <c r="N7" i="11"/>
  <c r="M7" i="11"/>
  <c r="L7" i="11"/>
  <c r="N6" i="11"/>
  <c r="M6" i="11"/>
  <c r="L6" i="11"/>
  <c r="N5" i="11"/>
  <c r="M5" i="11"/>
  <c r="L5" i="11"/>
  <c r="N4" i="11"/>
  <c r="M4" i="11"/>
  <c r="L4" i="11"/>
  <c r="L3" i="11"/>
  <c r="G3" i="11"/>
  <c r="G4" i="11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F3" i="11"/>
  <c r="E3" i="11"/>
  <c r="E4" i="11" s="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C182" i="10"/>
  <c r="D182" i="10"/>
  <c r="E182" i="10"/>
  <c r="C183" i="10"/>
  <c r="D183" i="10"/>
  <c r="E183" i="10"/>
  <c r="C184" i="10"/>
  <c r="D184" i="10"/>
  <c r="E184" i="10"/>
  <c r="E181" i="10"/>
  <c r="D181" i="10"/>
  <c r="C181" i="10"/>
  <c r="Q3" i="11" l="1"/>
  <c r="O3" i="11"/>
  <c r="F4" i="11"/>
  <c r="O4" i="11" s="1"/>
  <c r="P3" i="11"/>
  <c r="H61" i="10"/>
  <c r="F170" i="10"/>
  <c r="K14" i="6"/>
  <c r="L30" i="6"/>
  <c r="L26" i="6"/>
  <c r="J26" i="6"/>
  <c r="F165" i="10"/>
  <c r="F158" i="10"/>
  <c r="N158" i="10" l="1"/>
  <c r="O158" i="10"/>
  <c r="M158" i="10"/>
  <c r="O165" i="10"/>
  <c r="N165" i="10"/>
  <c r="M165" i="10"/>
  <c r="O170" i="10"/>
  <c r="M170" i="10"/>
  <c r="N170" i="10"/>
  <c r="N61" i="10"/>
  <c r="O61" i="10"/>
  <c r="M61" i="10"/>
  <c r="F5" i="11"/>
  <c r="P4" i="11"/>
  <c r="Q4" i="11"/>
  <c r="F171" i="10"/>
  <c r="F159" i="10"/>
  <c r="F166" i="10"/>
  <c r="M171" i="10" l="1"/>
  <c r="N171" i="10"/>
  <c r="O171" i="10"/>
  <c r="M166" i="10"/>
  <c r="N166" i="10"/>
  <c r="O166" i="10"/>
  <c r="M159" i="10"/>
  <c r="N159" i="10"/>
  <c r="O159" i="10"/>
  <c r="F6" i="11"/>
  <c r="Q5" i="11"/>
  <c r="O5" i="11"/>
  <c r="P5" i="11"/>
  <c r="F160" i="10"/>
  <c r="F172" i="10"/>
  <c r="F167" i="10"/>
  <c r="H145" i="10"/>
  <c r="H146" i="10" s="1"/>
  <c r="H147" i="10" s="1"/>
  <c r="H148" i="10" s="1"/>
  <c r="H149" i="10" s="1"/>
  <c r="H150" i="10" s="1"/>
  <c r="H151" i="10" s="1"/>
  <c r="E145" i="10"/>
  <c r="H133" i="10"/>
  <c r="H134" i="10" s="1"/>
  <c r="H135" i="10" s="1"/>
  <c r="H136" i="10" s="1"/>
  <c r="H137" i="10" s="1"/>
  <c r="H138" i="10" s="1"/>
  <c r="E133" i="10"/>
  <c r="H111" i="10"/>
  <c r="H108" i="10"/>
  <c r="H106" i="10"/>
  <c r="H90" i="10"/>
  <c r="H85" i="10"/>
  <c r="H82" i="10"/>
  <c r="H67" i="10"/>
  <c r="H62" i="10"/>
  <c r="O62" i="10" l="1"/>
  <c r="M62" i="10"/>
  <c r="N62" i="10"/>
  <c r="O90" i="10"/>
  <c r="M90" i="10"/>
  <c r="N90" i="10"/>
  <c r="N133" i="10"/>
  <c r="M133" i="10"/>
  <c r="O133" i="10"/>
  <c r="M167" i="10"/>
  <c r="N167" i="10"/>
  <c r="O167" i="10"/>
  <c r="N67" i="10"/>
  <c r="M67" i="10"/>
  <c r="O67" i="10"/>
  <c r="N106" i="10"/>
  <c r="O106" i="10"/>
  <c r="M106" i="10"/>
  <c r="F173" i="10"/>
  <c r="N172" i="10"/>
  <c r="O172" i="10"/>
  <c r="M172" i="10"/>
  <c r="M82" i="10"/>
  <c r="O82" i="10"/>
  <c r="N82" i="10"/>
  <c r="N108" i="10"/>
  <c r="O108" i="10"/>
  <c r="M108" i="10"/>
  <c r="M145" i="10"/>
  <c r="O145" i="10"/>
  <c r="N145" i="10"/>
  <c r="N160" i="10"/>
  <c r="M160" i="10"/>
  <c r="O160" i="10"/>
  <c r="M85" i="10"/>
  <c r="O85" i="10"/>
  <c r="N85" i="10"/>
  <c r="N111" i="10"/>
  <c r="M111" i="10"/>
  <c r="O111" i="10"/>
  <c r="F7" i="11"/>
  <c r="O6" i="11"/>
  <c r="P6" i="11"/>
  <c r="Q6" i="11"/>
  <c r="F161" i="10"/>
  <c r="F168" i="10"/>
  <c r="H83" i="10"/>
  <c r="E146" i="10"/>
  <c r="H63" i="10"/>
  <c r="H91" i="10"/>
  <c r="E134" i="10"/>
  <c r="H109" i="10"/>
  <c r="H86" i="10"/>
  <c r="H112" i="10"/>
  <c r="H68" i="10"/>
  <c r="H107" i="10"/>
  <c r="H84" i="10"/>
  <c r="H139" i="10"/>
  <c r="H140" i="10" s="1"/>
  <c r="H141" i="10" s="1"/>
  <c r="H142" i="10" s="1"/>
  <c r="H143" i="10" s="1"/>
  <c r="H144" i="10" s="1"/>
  <c r="H152" i="10"/>
  <c r="H153" i="10" s="1"/>
  <c r="H154" i="10" s="1"/>
  <c r="H155" i="10" s="1"/>
  <c r="H156" i="10" s="1"/>
  <c r="H157" i="10" s="1"/>
  <c r="O107" i="10" l="1"/>
  <c r="N107" i="10"/>
  <c r="M107" i="10"/>
  <c r="M109" i="10"/>
  <c r="N109" i="10"/>
  <c r="O109" i="10"/>
  <c r="O146" i="10"/>
  <c r="M146" i="10"/>
  <c r="N146" i="10"/>
  <c r="O68" i="10"/>
  <c r="N68" i="10"/>
  <c r="M68" i="10"/>
  <c r="O134" i="10"/>
  <c r="N134" i="10"/>
  <c r="M134" i="10"/>
  <c r="M83" i="10"/>
  <c r="O83" i="10"/>
  <c r="N83" i="10"/>
  <c r="O173" i="10"/>
  <c r="M173" i="10"/>
  <c r="N173" i="10"/>
  <c r="O112" i="10"/>
  <c r="N112" i="10"/>
  <c r="M112" i="10"/>
  <c r="N91" i="10"/>
  <c r="O91" i="10"/>
  <c r="M91" i="10"/>
  <c r="N168" i="10"/>
  <c r="M168" i="10"/>
  <c r="O168" i="10"/>
  <c r="O84" i="10"/>
  <c r="M84" i="10"/>
  <c r="N84" i="10"/>
  <c r="M86" i="10"/>
  <c r="O86" i="10"/>
  <c r="N86" i="10"/>
  <c r="N63" i="10"/>
  <c r="M63" i="10"/>
  <c r="O63" i="10"/>
  <c r="O161" i="10"/>
  <c r="M161" i="10"/>
  <c r="N161" i="10"/>
  <c r="F8" i="11"/>
  <c r="O7" i="11"/>
  <c r="P7" i="11"/>
  <c r="Q7" i="11"/>
  <c r="F162" i="10"/>
  <c r="F163" i="10"/>
  <c r="E139" i="10"/>
  <c r="F169" i="10"/>
  <c r="E140" i="10"/>
  <c r="H69" i="10"/>
  <c r="H87" i="10"/>
  <c r="H110" i="10"/>
  <c r="H92" i="10"/>
  <c r="E147" i="10"/>
  <c r="H113" i="10"/>
  <c r="E135" i="10"/>
  <c r="H64" i="10"/>
  <c r="H47" i="10"/>
  <c r="H48" i="10" s="1"/>
  <c r="H49" i="10" s="1"/>
  <c r="H50" i="10" s="1"/>
  <c r="E47" i="10"/>
  <c r="E42" i="10"/>
  <c r="M147" i="10" l="1"/>
  <c r="N147" i="10"/>
  <c r="O147" i="10"/>
  <c r="M69" i="10"/>
  <c r="O69" i="10"/>
  <c r="N69" i="10"/>
  <c r="M163" i="10"/>
  <c r="O163" i="10"/>
  <c r="N163" i="10"/>
  <c r="O64" i="10"/>
  <c r="M64" i="10"/>
  <c r="N64" i="10"/>
  <c r="M92" i="10"/>
  <c r="N92" i="10"/>
  <c r="O92" i="10"/>
  <c r="O140" i="10"/>
  <c r="N140" i="10"/>
  <c r="M140" i="10"/>
  <c r="M162" i="10"/>
  <c r="N162" i="10"/>
  <c r="O162" i="10"/>
  <c r="O42" i="10"/>
  <c r="M42" i="10"/>
  <c r="N42" i="10"/>
  <c r="M135" i="10"/>
  <c r="O135" i="10"/>
  <c r="N135" i="10"/>
  <c r="M110" i="10"/>
  <c r="O110" i="10"/>
  <c r="N110" i="10"/>
  <c r="O169" i="10"/>
  <c r="M169" i="10"/>
  <c r="N169" i="10"/>
  <c r="N47" i="10"/>
  <c r="O47" i="10"/>
  <c r="M47" i="10"/>
  <c r="O113" i="10"/>
  <c r="N113" i="10"/>
  <c r="M113" i="10"/>
  <c r="O87" i="10"/>
  <c r="N87" i="10"/>
  <c r="M87" i="10"/>
  <c r="N139" i="10"/>
  <c r="O139" i="10"/>
  <c r="M139" i="10"/>
  <c r="F9" i="11"/>
  <c r="P8" i="11"/>
  <c r="Q8" i="11"/>
  <c r="O8" i="11"/>
  <c r="F164" i="10"/>
  <c r="E48" i="10"/>
  <c r="E136" i="10"/>
  <c r="E152" i="10"/>
  <c r="E148" i="10"/>
  <c r="H70" i="10"/>
  <c r="E43" i="10"/>
  <c r="H65" i="10"/>
  <c r="H114" i="10"/>
  <c r="H93" i="10"/>
  <c r="H88" i="10"/>
  <c r="E141" i="10"/>
  <c r="H51" i="10"/>
  <c r="H52" i="10" s="1"/>
  <c r="H53" i="10" s="1"/>
  <c r="H54" i="10" s="1"/>
  <c r="H55" i="10"/>
  <c r="H56" i="10" s="1"/>
  <c r="H57" i="10" s="1"/>
  <c r="H58" i="10" s="1"/>
  <c r="H59" i="10" s="1"/>
  <c r="H60" i="10" s="1"/>
  <c r="E34" i="10"/>
  <c r="F27" i="10"/>
  <c r="F28" i="10" s="1"/>
  <c r="F29" i="10" s="1"/>
  <c r="F30" i="10" s="1"/>
  <c r="F31" i="10" s="1"/>
  <c r="F32" i="10" s="1"/>
  <c r="F33" i="10" s="1"/>
  <c r="E27" i="10"/>
  <c r="G15" i="10"/>
  <c r="G12" i="10"/>
  <c r="O34" i="10" l="1"/>
  <c r="M34" i="10"/>
  <c r="N34" i="10"/>
  <c r="N88" i="10"/>
  <c r="M88" i="10"/>
  <c r="O88" i="10"/>
  <c r="O136" i="10"/>
  <c r="M136" i="10"/>
  <c r="N136" i="10"/>
  <c r="O93" i="10"/>
  <c r="M93" i="10"/>
  <c r="N93" i="10"/>
  <c r="O43" i="10"/>
  <c r="M43" i="10"/>
  <c r="N43" i="10"/>
  <c r="N70" i="10"/>
  <c r="O70" i="10"/>
  <c r="M70" i="10"/>
  <c r="M48" i="10"/>
  <c r="N48" i="10"/>
  <c r="O48" i="10"/>
  <c r="O27" i="10"/>
  <c r="M27" i="10"/>
  <c r="N27" i="10"/>
  <c r="O114" i="10"/>
  <c r="N114" i="10"/>
  <c r="M114" i="10"/>
  <c r="M148" i="10"/>
  <c r="O148" i="10"/>
  <c r="N148" i="10"/>
  <c r="N164" i="10"/>
  <c r="M164" i="10"/>
  <c r="O164" i="10"/>
  <c r="N141" i="10"/>
  <c r="O141" i="10"/>
  <c r="M141" i="10"/>
  <c r="M65" i="10"/>
  <c r="O65" i="10"/>
  <c r="N65" i="10"/>
  <c r="M152" i="10"/>
  <c r="O152" i="10"/>
  <c r="N152" i="10"/>
  <c r="F10" i="11"/>
  <c r="Q9" i="11"/>
  <c r="O9" i="11"/>
  <c r="P9" i="11"/>
  <c r="E149" i="10"/>
  <c r="E137" i="10"/>
  <c r="E37" i="10"/>
  <c r="H89" i="10"/>
  <c r="H115" i="10"/>
  <c r="E44" i="10"/>
  <c r="E153" i="10"/>
  <c r="E49" i="10"/>
  <c r="E28" i="10"/>
  <c r="E142" i="10"/>
  <c r="H94" i="10"/>
  <c r="H66" i="10"/>
  <c r="H71" i="10"/>
  <c r="E35" i="10"/>
  <c r="F12" i="10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G13" i="10"/>
  <c r="G14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E12" i="10"/>
  <c r="G5" i="10"/>
  <c r="G6" i="10" s="1"/>
  <c r="G7" i="10" s="1"/>
  <c r="G8" i="10" s="1"/>
  <c r="G9" i="10" s="1"/>
  <c r="G10" i="10" s="1"/>
  <c r="G11" i="10" s="1"/>
  <c r="E5" i="10"/>
  <c r="M35" i="10" l="1"/>
  <c r="N35" i="10"/>
  <c r="O35" i="10"/>
  <c r="M142" i="10"/>
  <c r="N142" i="10"/>
  <c r="O142" i="10"/>
  <c r="M44" i="10"/>
  <c r="N44" i="10"/>
  <c r="O44" i="10"/>
  <c r="O137" i="10"/>
  <c r="N137" i="10"/>
  <c r="M137" i="10"/>
  <c r="M12" i="10"/>
  <c r="N12" i="10"/>
  <c r="O12" i="10"/>
  <c r="O71" i="10"/>
  <c r="N71" i="10"/>
  <c r="M71" i="10"/>
  <c r="M28" i="10"/>
  <c r="N28" i="10"/>
  <c r="O28" i="10"/>
  <c r="M115" i="10"/>
  <c r="O115" i="10"/>
  <c r="N115" i="10"/>
  <c r="O149" i="10"/>
  <c r="N149" i="10"/>
  <c r="M149" i="10"/>
  <c r="O66" i="10"/>
  <c r="N66" i="10"/>
  <c r="M66" i="10"/>
  <c r="N49" i="10"/>
  <c r="M49" i="10"/>
  <c r="O49" i="10"/>
  <c r="M89" i="10"/>
  <c r="N89" i="10"/>
  <c r="O89" i="10"/>
  <c r="O94" i="10"/>
  <c r="N94" i="10"/>
  <c r="M94" i="10"/>
  <c r="M153" i="10"/>
  <c r="N153" i="10"/>
  <c r="O153" i="10"/>
  <c r="N37" i="10"/>
  <c r="M37" i="10"/>
  <c r="O37" i="10"/>
  <c r="O5" i="10"/>
  <c r="N5" i="10"/>
  <c r="M5" i="10"/>
  <c r="F11" i="11"/>
  <c r="O10" i="11"/>
  <c r="P10" i="11"/>
  <c r="Q10" i="11"/>
  <c r="E36" i="10"/>
  <c r="E6" i="10"/>
  <c r="E143" i="10"/>
  <c r="E50" i="10"/>
  <c r="E45" i="10"/>
  <c r="E138" i="10"/>
  <c r="E13" i="10"/>
  <c r="H72" i="10"/>
  <c r="H76" i="10"/>
  <c r="H95" i="10"/>
  <c r="E29" i="10"/>
  <c r="E154" i="10"/>
  <c r="H116" i="10"/>
  <c r="E38" i="10"/>
  <c r="E150" i="10"/>
  <c r="M154" i="10" l="1"/>
  <c r="N154" i="10"/>
  <c r="O154" i="10"/>
  <c r="N72" i="10"/>
  <c r="M72" i="10"/>
  <c r="O72" i="10"/>
  <c r="O50" i="10"/>
  <c r="M50" i="10"/>
  <c r="N50" i="10"/>
  <c r="M150" i="10"/>
  <c r="O150" i="10"/>
  <c r="N150" i="10"/>
  <c r="N29" i="10"/>
  <c r="O29" i="10"/>
  <c r="M29" i="10"/>
  <c r="N13" i="10"/>
  <c r="O13" i="10"/>
  <c r="M13" i="10"/>
  <c r="O143" i="10"/>
  <c r="N143" i="10"/>
  <c r="M143" i="10"/>
  <c r="O38" i="10"/>
  <c r="N38" i="10"/>
  <c r="M38" i="10"/>
  <c r="O95" i="10"/>
  <c r="N95" i="10"/>
  <c r="M95" i="10"/>
  <c r="N138" i="10"/>
  <c r="M138" i="10"/>
  <c r="O138" i="10"/>
  <c r="O6" i="10"/>
  <c r="M6" i="10"/>
  <c r="N6" i="10"/>
  <c r="N116" i="10"/>
  <c r="O116" i="10"/>
  <c r="M116" i="10"/>
  <c r="N76" i="10"/>
  <c r="M76" i="10"/>
  <c r="O76" i="10"/>
  <c r="N45" i="10"/>
  <c r="O45" i="10"/>
  <c r="M45" i="10"/>
  <c r="M36" i="10"/>
  <c r="O36" i="10"/>
  <c r="N36" i="10"/>
  <c r="F12" i="11"/>
  <c r="O11" i="11"/>
  <c r="P11" i="11"/>
  <c r="Q11" i="11"/>
  <c r="H77" i="10"/>
  <c r="E14" i="10"/>
  <c r="E46" i="10"/>
  <c r="E144" i="10"/>
  <c r="E151" i="10"/>
  <c r="H117" i="10"/>
  <c r="E30" i="10"/>
  <c r="H73" i="10"/>
  <c r="E55" i="10"/>
  <c r="E51" i="10"/>
  <c r="E7" i="10"/>
  <c r="E39" i="10"/>
  <c r="E155" i="10"/>
  <c r="H96" i="10"/>
  <c r="H100" i="10"/>
  <c r="N100" i="10" l="1"/>
  <c r="O100" i="10"/>
  <c r="M100" i="10"/>
  <c r="M7" i="10"/>
  <c r="N7" i="10"/>
  <c r="O7" i="10"/>
  <c r="O30" i="10"/>
  <c r="M30" i="10"/>
  <c r="N30" i="10"/>
  <c r="O46" i="10"/>
  <c r="M46" i="10"/>
  <c r="N46" i="10"/>
  <c r="N96" i="10"/>
  <c r="O96" i="10"/>
  <c r="M96" i="10"/>
  <c r="M51" i="10"/>
  <c r="N51" i="10"/>
  <c r="O51" i="10"/>
  <c r="M117" i="10"/>
  <c r="O117" i="10"/>
  <c r="N117" i="10"/>
  <c r="O14" i="10"/>
  <c r="M14" i="10"/>
  <c r="N14" i="10"/>
  <c r="M155" i="10"/>
  <c r="O155" i="10"/>
  <c r="N155" i="10"/>
  <c r="M55" i="10"/>
  <c r="N55" i="10"/>
  <c r="O55" i="10"/>
  <c r="O151" i="10"/>
  <c r="M151" i="10"/>
  <c r="N151" i="10"/>
  <c r="M77" i="10"/>
  <c r="O77" i="10"/>
  <c r="N77" i="10"/>
  <c r="M39" i="10"/>
  <c r="N39" i="10"/>
  <c r="O39" i="10"/>
  <c r="M73" i="10"/>
  <c r="O73" i="10"/>
  <c r="N73" i="10"/>
  <c r="O144" i="10"/>
  <c r="N144" i="10"/>
  <c r="M144" i="10"/>
  <c r="F13" i="11"/>
  <c r="P12" i="11"/>
  <c r="Q12" i="11"/>
  <c r="O12" i="11"/>
  <c r="H97" i="10"/>
  <c r="E52" i="10"/>
  <c r="H74" i="10"/>
  <c r="H118" i="10"/>
  <c r="E15" i="10"/>
  <c r="E40" i="10"/>
  <c r="E56" i="10"/>
  <c r="E31" i="10"/>
  <c r="H78" i="10"/>
  <c r="H101" i="10"/>
  <c r="E156" i="10"/>
  <c r="E8" i="10"/>
  <c r="W32" i="7"/>
  <c r="U32" i="7"/>
  <c r="N156" i="10" l="1"/>
  <c r="O156" i="10"/>
  <c r="M156" i="10"/>
  <c r="M56" i="10"/>
  <c r="N56" i="10"/>
  <c r="O56" i="10"/>
  <c r="O74" i="10"/>
  <c r="M74" i="10"/>
  <c r="N74" i="10"/>
  <c r="M101" i="10"/>
  <c r="N101" i="10"/>
  <c r="O101" i="10"/>
  <c r="M40" i="10"/>
  <c r="N40" i="10"/>
  <c r="O40" i="10"/>
  <c r="M52" i="10"/>
  <c r="O52" i="10"/>
  <c r="N52" i="10"/>
  <c r="M78" i="10"/>
  <c r="O78" i="10"/>
  <c r="N78" i="10"/>
  <c r="M15" i="10"/>
  <c r="N15" i="10"/>
  <c r="O15" i="10"/>
  <c r="O97" i="10"/>
  <c r="N97" i="10"/>
  <c r="M97" i="10"/>
  <c r="M8" i="10"/>
  <c r="N8" i="10"/>
  <c r="O8" i="10"/>
  <c r="N31" i="10"/>
  <c r="O31" i="10"/>
  <c r="M31" i="10"/>
  <c r="O118" i="10"/>
  <c r="M118" i="10"/>
  <c r="N118" i="10"/>
  <c r="F14" i="11"/>
  <c r="Q13" i="11"/>
  <c r="O13" i="11"/>
  <c r="P13" i="11"/>
  <c r="E157" i="10"/>
  <c r="H79" i="10"/>
  <c r="E57" i="10"/>
  <c r="E16" i="10"/>
  <c r="H75" i="10"/>
  <c r="H98" i="10"/>
  <c r="E9" i="10"/>
  <c r="H102" i="10"/>
  <c r="E32" i="10"/>
  <c r="E41" i="10"/>
  <c r="H119" i="10"/>
  <c r="E53" i="10"/>
  <c r="K26" i="7"/>
  <c r="K22" i="7"/>
  <c r="O15" i="7"/>
  <c r="M19" i="7"/>
  <c r="I22" i="7"/>
  <c r="M15" i="7"/>
  <c r="P4" i="7"/>
  <c r="N4" i="7"/>
  <c r="L4" i="7"/>
  <c r="N53" i="10" l="1"/>
  <c r="M53" i="10"/>
  <c r="O53" i="10"/>
  <c r="M102" i="10"/>
  <c r="N102" i="10"/>
  <c r="O102" i="10"/>
  <c r="M16" i="10"/>
  <c r="N16" i="10"/>
  <c r="O16" i="10"/>
  <c r="N119" i="10"/>
  <c r="M119" i="10"/>
  <c r="O119" i="10"/>
  <c r="N9" i="10"/>
  <c r="O9" i="10"/>
  <c r="M9" i="10"/>
  <c r="N57" i="10"/>
  <c r="M57" i="10"/>
  <c r="O57" i="10"/>
  <c r="N41" i="10"/>
  <c r="M41" i="10"/>
  <c r="O41" i="10"/>
  <c r="M98" i="10"/>
  <c r="N98" i="10"/>
  <c r="O98" i="10"/>
  <c r="N79" i="10"/>
  <c r="M79" i="10"/>
  <c r="O79" i="10"/>
  <c r="M32" i="10"/>
  <c r="N32" i="10"/>
  <c r="O32" i="10"/>
  <c r="N75" i="10"/>
  <c r="O75" i="10"/>
  <c r="M75" i="10"/>
  <c r="O157" i="10"/>
  <c r="M157" i="10"/>
  <c r="N157" i="10"/>
  <c r="F15" i="11"/>
  <c r="O14" i="11"/>
  <c r="P14" i="11"/>
  <c r="Q14" i="11"/>
  <c r="E54" i="10"/>
  <c r="H103" i="10"/>
  <c r="H99" i="10"/>
  <c r="E17" i="10"/>
  <c r="H80" i="10"/>
  <c r="H120" i="10"/>
  <c r="E33" i="10"/>
  <c r="E10" i="10"/>
  <c r="E58" i="10"/>
  <c r="T18" i="6"/>
  <c r="G17" i="5"/>
  <c r="V51" i="5"/>
  <c r="Z63" i="5" s="1"/>
  <c r="AI65" i="5"/>
  <c r="O10" i="10" l="1"/>
  <c r="M10" i="10"/>
  <c r="N10" i="10"/>
  <c r="N17" i="10"/>
  <c r="O17" i="10"/>
  <c r="M17" i="10"/>
  <c r="N33" i="10"/>
  <c r="M33" i="10"/>
  <c r="O33" i="10"/>
  <c r="N99" i="10"/>
  <c r="M99" i="10"/>
  <c r="O99" i="10"/>
  <c r="N120" i="10"/>
  <c r="O120" i="10"/>
  <c r="M120" i="10"/>
  <c r="O103" i="10"/>
  <c r="N103" i="10"/>
  <c r="M103" i="10"/>
  <c r="O58" i="10"/>
  <c r="M58" i="10"/>
  <c r="N58" i="10"/>
  <c r="O80" i="10"/>
  <c r="M80" i="10"/>
  <c r="N80" i="10"/>
  <c r="O54" i="10"/>
  <c r="N54" i="10"/>
  <c r="M54" i="10"/>
  <c r="F16" i="11"/>
  <c r="O15" i="11"/>
  <c r="P15" i="11"/>
  <c r="Q15" i="11"/>
  <c r="E11" i="10"/>
  <c r="H121" i="10"/>
  <c r="E18" i="10"/>
  <c r="H104" i="10"/>
  <c r="E59" i="10"/>
  <c r="H81" i="10"/>
  <c r="AK18" i="5"/>
  <c r="Y18" i="5"/>
  <c r="AK26" i="5"/>
  <c r="AD26" i="5"/>
  <c r="Y26" i="5"/>
  <c r="T26" i="5"/>
  <c r="J26" i="5"/>
  <c r="C26" i="5"/>
  <c r="O59" i="10" l="1"/>
  <c r="M59" i="10"/>
  <c r="N59" i="10"/>
  <c r="M11" i="10"/>
  <c r="N11" i="10"/>
  <c r="O11" i="10"/>
  <c r="N104" i="10"/>
  <c r="M104" i="10"/>
  <c r="O104" i="10"/>
  <c r="O18" i="10"/>
  <c r="M18" i="10"/>
  <c r="N18" i="10"/>
  <c r="M81" i="10"/>
  <c r="N81" i="10"/>
  <c r="O81" i="10"/>
  <c r="O121" i="10"/>
  <c r="N121" i="10"/>
  <c r="M121" i="10"/>
  <c r="P16" i="11"/>
  <c r="P25" i="11" s="1"/>
  <c r="Q16" i="11"/>
  <c r="Q25" i="11" s="1"/>
  <c r="O16" i="11"/>
  <c r="O25" i="11" s="1"/>
  <c r="H105" i="10"/>
  <c r="H122" i="10"/>
  <c r="E60" i="10"/>
  <c r="E19" i="10"/>
  <c r="M14" i="6"/>
  <c r="R4" i="6"/>
  <c r="P4" i="6"/>
  <c r="N4" i="6"/>
  <c r="L4" i="6"/>
  <c r="M60" i="10" l="1"/>
  <c r="N60" i="10"/>
  <c r="O60" i="10"/>
  <c r="M122" i="10"/>
  <c r="O122" i="10"/>
  <c r="N122" i="10"/>
  <c r="O105" i="10"/>
  <c r="M105" i="10"/>
  <c r="N105" i="10"/>
  <c r="M19" i="10"/>
  <c r="N19" i="10"/>
  <c r="O19" i="10"/>
  <c r="H123" i="10"/>
  <c r="H127" i="10"/>
  <c r="E20" i="10"/>
  <c r="H51" i="5"/>
  <c r="J63" i="5"/>
  <c r="H37" i="5"/>
  <c r="C37" i="5"/>
  <c r="B68" i="5" s="1"/>
  <c r="Q45" i="5"/>
  <c r="M45" i="5"/>
  <c r="AG43" i="5"/>
  <c r="M20" i="10" l="1"/>
  <c r="N20" i="10"/>
  <c r="O20" i="10"/>
  <c r="N127" i="10"/>
  <c r="M127" i="10"/>
  <c r="O127" i="10"/>
  <c r="O123" i="10"/>
  <c r="N123" i="10"/>
  <c r="M123" i="10"/>
  <c r="E21" i="10"/>
  <c r="H128" i="10"/>
  <c r="H124" i="10"/>
  <c r="B8" i="2"/>
  <c r="B12" i="2"/>
  <c r="M124" i="10" l="1"/>
  <c r="O124" i="10"/>
  <c r="N124" i="10"/>
  <c r="N128" i="10"/>
  <c r="O128" i="10"/>
  <c r="M128" i="10"/>
  <c r="N21" i="10"/>
  <c r="O21" i="10"/>
  <c r="M21" i="10"/>
  <c r="H129" i="10"/>
  <c r="H125" i="10"/>
  <c r="E22" i="10"/>
  <c r="P63" i="5"/>
  <c r="O22" i="10" l="1"/>
  <c r="M22" i="10"/>
  <c r="N22" i="10"/>
  <c r="M125" i="10"/>
  <c r="N125" i="10"/>
  <c r="O125" i="10"/>
  <c r="M129" i="10"/>
  <c r="N129" i="10"/>
  <c r="O129" i="10"/>
  <c r="H126" i="10"/>
  <c r="E23" i="10"/>
  <c r="H130" i="10"/>
  <c r="AI34" i="5"/>
  <c r="AB37" i="5"/>
  <c r="W33" i="5"/>
  <c r="U37" i="5"/>
  <c r="R63" i="5"/>
  <c r="T63" i="5"/>
  <c r="L63" i="5"/>
  <c r="AI26" i="5"/>
  <c r="AI18" i="5" s="1"/>
  <c r="O130" i="10" l="1"/>
  <c r="M130" i="10"/>
  <c r="N130" i="10"/>
  <c r="M23" i="10"/>
  <c r="N23" i="10"/>
  <c r="O23" i="10"/>
  <c r="M126" i="10"/>
  <c r="N126" i="10"/>
  <c r="O126" i="10"/>
  <c r="E24" i="10"/>
  <c r="H131" i="10"/>
  <c r="AB26" i="5"/>
  <c r="W26" i="5"/>
  <c r="R26" i="5"/>
  <c r="W18" i="5" s="1"/>
  <c r="H26" i="5"/>
  <c r="A26" i="5"/>
  <c r="E17" i="5" s="1"/>
  <c r="Q3" i="5"/>
  <c r="O3" i="5"/>
  <c r="M3" i="5"/>
  <c r="F27" i="2"/>
  <c r="F19" i="2"/>
  <c r="F16" i="2"/>
  <c r="F9" i="2"/>
  <c r="F3" i="2"/>
  <c r="B17" i="2"/>
  <c r="B3" i="2"/>
  <c r="B4" i="2"/>
  <c r="N131" i="10" l="1"/>
  <c r="O131" i="10"/>
  <c r="M131" i="10"/>
  <c r="M24" i="10"/>
  <c r="N24" i="10"/>
  <c r="O24" i="10"/>
  <c r="H132" i="10"/>
  <c r="E25" i="10"/>
  <c r="N63" i="5"/>
  <c r="N25" i="10" l="1"/>
  <c r="M25" i="10"/>
  <c r="O25" i="10"/>
  <c r="M132" i="10"/>
  <c r="O132" i="10"/>
  <c r="N132" i="10"/>
  <c r="E26" i="10"/>
  <c r="O26" i="10" l="1"/>
  <c r="M26" i="10"/>
  <c r="N26" i="10"/>
</calcChain>
</file>

<file path=xl/comments1.xml><?xml version="1.0" encoding="utf-8"?>
<comments xmlns="http://schemas.openxmlformats.org/spreadsheetml/2006/main">
  <authors>
    <author>Vale</author>
    <author>CVRD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Vale:</t>
        </r>
        <r>
          <rPr>
            <sz val="9"/>
            <color indexed="81"/>
            <rFont val="Tahoma"/>
            <family val="2"/>
          </rPr>
          <t xml:space="preserve">
Mercado externo volume pier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Vale:</t>
        </r>
        <r>
          <rPr>
            <sz val="9"/>
            <color indexed="81"/>
            <rFont val="Tahoma"/>
            <family val="2"/>
          </rPr>
          <t xml:space="preserve">
Mercado externo volume pier</t>
        </r>
      </text>
    </comment>
    <comment ref="A7" authorId="1" shapeId="0">
      <text>
        <r>
          <rPr>
            <b/>
            <sz val="8"/>
            <color indexed="81"/>
            <rFont val="Tahoma"/>
            <family val="2"/>
          </rPr>
          <t>Navegação entre portos marítimos de um mesmo país, porem o volume é contabilizado como ME.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 xml:space="preserve">Vale:
</t>
        </r>
        <r>
          <rPr>
            <sz val="9"/>
            <color indexed="81"/>
            <rFont val="Tahoma"/>
            <family val="2"/>
          </rPr>
          <t>Mercado interno (saída rodo e correia)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Vale:</t>
        </r>
        <r>
          <rPr>
            <sz val="9"/>
            <color indexed="81"/>
            <rFont val="Tahoma"/>
            <family val="2"/>
          </rPr>
          <t xml:space="preserve">
Volume mercado externo descarga virador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Vale:</t>
        </r>
        <r>
          <rPr>
            <sz val="9"/>
            <color indexed="81"/>
            <rFont val="Tahoma"/>
            <family val="2"/>
          </rPr>
          <t xml:space="preserve">
Volume mercado externo saída da usina para o pátio posterior embarque pier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Vale:</t>
        </r>
        <r>
          <rPr>
            <sz val="9"/>
            <color indexed="81"/>
            <rFont val="Tahoma"/>
            <family val="2"/>
          </rPr>
          <t xml:space="preserve">
Descarga de calcário e antracito.... (insumos para fabricação de pelota)</t>
        </r>
      </text>
    </comment>
  </commentList>
</comments>
</file>

<file path=xl/comments2.xml><?xml version="1.0" encoding="utf-8"?>
<comments xmlns="http://schemas.openxmlformats.org/spreadsheetml/2006/main">
  <authors>
    <author>Julius Mergulhão</author>
  </authors>
  <commentList>
    <comment ref="M44" authorId="0" shapeId="0">
      <text>
        <r>
          <rPr>
            <sz val="9"/>
            <color indexed="81"/>
            <rFont val="Segoe UI"/>
            <family val="2"/>
          </rPr>
          <t>Referência:
quantidade movimentada de minério na área velha</t>
        </r>
      </text>
    </comment>
    <comment ref="Q44" authorId="0" shapeId="0">
      <text>
        <r>
          <rPr>
            <sz val="9"/>
            <color indexed="81"/>
            <rFont val="Segoe UI"/>
            <family val="2"/>
          </rPr>
          <t>Referência:
quantidade movimentada de minério na área nova</t>
        </r>
      </text>
    </comment>
    <comment ref="A79" authorId="0" shapeId="0">
      <text>
        <r>
          <rPr>
            <b/>
            <sz val="9"/>
            <color indexed="81"/>
            <rFont val="Segoe UI"/>
            <family val="2"/>
          </rPr>
          <t>Referência:</t>
        </r>
        <r>
          <rPr>
            <sz val="9"/>
            <color indexed="81"/>
            <rFont val="Segoe UI"/>
            <family val="2"/>
          </rPr>
          <t xml:space="preserve">
planilha:
Pátios Minério-Carvão - 2015.xlsx</t>
        </r>
      </text>
    </comment>
  </commentList>
</comments>
</file>

<file path=xl/comments3.xml><?xml version="1.0" encoding="utf-8"?>
<comments xmlns="http://schemas.openxmlformats.org/spreadsheetml/2006/main">
  <authors>
    <author>Julius Mergulhão</author>
  </authors>
  <commentList>
    <comment ref="J17" authorId="0" shapeId="0">
      <text>
        <r>
          <rPr>
            <sz val="9"/>
            <color indexed="81"/>
            <rFont val="Segoe UI"/>
            <family val="2"/>
          </rPr>
          <t>Referência:
quantidade expedida de carvão</t>
        </r>
      </text>
    </comment>
  </commentList>
</comments>
</file>

<file path=xl/comments4.xml><?xml version="1.0" encoding="utf-8"?>
<comments xmlns="http://schemas.openxmlformats.org/spreadsheetml/2006/main">
  <authors>
    <author>Julius Mergulhão</author>
  </authors>
  <commentList>
    <comment ref="B179" authorId="0" shapeId="0">
      <text>
        <r>
          <rPr>
            <b/>
            <sz val="9"/>
            <color indexed="81"/>
            <rFont val="Segoe UI"/>
            <family val="2"/>
          </rPr>
          <t>Referência:</t>
        </r>
        <r>
          <rPr>
            <sz val="9"/>
            <color indexed="81"/>
            <rFont val="Segoe UI"/>
            <family val="2"/>
          </rPr>
          <t xml:space="preserve">
Umidade média informada no circuito de materiais</t>
        </r>
      </text>
    </comment>
    <comment ref="A182" authorId="0" shapeId="0">
      <text>
        <r>
          <rPr>
            <b/>
            <sz val="9"/>
            <color indexed="81"/>
            <rFont val="Segoe UI"/>
            <family val="2"/>
          </rPr>
          <t>Consideração:</t>
        </r>
        <r>
          <rPr>
            <sz val="9"/>
            <color indexed="81"/>
            <rFont val="Segoe UI"/>
            <family val="2"/>
          </rPr>
          <t xml:space="preserve">
Antracito e coque considerados como carvão, uma vez que a movimentação do carvão é muito superior e a ausência de informação da umidade média para esses dois materiais</t>
        </r>
      </text>
    </comment>
  </commentList>
</comments>
</file>

<file path=xl/comments5.xml><?xml version="1.0" encoding="utf-8"?>
<comments xmlns="http://schemas.openxmlformats.org/spreadsheetml/2006/main">
  <authors>
    <author>Julius Mergulhão</author>
  </authors>
  <commentList>
    <comment ref="B32" authorId="0" shapeId="0">
      <text>
        <r>
          <rPr>
            <b/>
            <sz val="9"/>
            <color indexed="81"/>
            <rFont val="Segoe UI"/>
            <family val="2"/>
          </rPr>
          <t>Referência:</t>
        </r>
        <r>
          <rPr>
            <sz val="9"/>
            <color indexed="81"/>
            <rFont val="Segoe UI"/>
            <family val="2"/>
          </rPr>
          <t xml:space="preserve">
Umidade média informada no circuito de materiais</t>
        </r>
      </text>
    </comment>
    <comment ref="A34" authorId="0" shapeId="0">
      <text>
        <r>
          <rPr>
            <b/>
            <sz val="9"/>
            <color indexed="81"/>
            <rFont val="Segoe UI"/>
            <family val="2"/>
          </rPr>
          <t>Consideração:</t>
        </r>
        <r>
          <rPr>
            <sz val="9"/>
            <color indexed="81"/>
            <rFont val="Segoe UI"/>
            <family val="2"/>
          </rPr>
          <t xml:space="preserve">
Antracito e coque considerados como as mesmas características do carvão</t>
        </r>
      </text>
    </comment>
    <comment ref="B35" authorId="0" shapeId="0">
      <text>
        <r>
          <rPr>
            <sz val="9"/>
            <color indexed="81"/>
            <rFont val="Segoe UI"/>
            <family val="2"/>
          </rPr>
          <t>Consideração:
Umidade arbitrada devido ausência de informações</t>
        </r>
      </text>
    </comment>
  </commentList>
</comments>
</file>

<file path=xl/sharedStrings.xml><?xml version="1.0" encoding="utf-8"?>
<sst xmlns="http://schemas.openxmlformats.org/spreadsheetml/2006/main" count="765" uniqueCount="302">
  <si>
    <t>Produção e Minérios</t>
  </si>
  <si>
    <t>Minério Aplicado na Produção [t]</t>
  </si>
  <si>
    <t>Descrição Consumo</t>
  </si>
  <si>
    <t>Cal Hidratada [t]</t>
  </si>
  <si>
    <t>Bentonita [t]</t>
  </si>
  <si>
    <t>Bauxita [t]</t>
  </si>
  <si>
    <t>Cimento [kg]</t>
  </si>
  <si>
    <t>Calcário Calcítico Fino [t]</t>
  </si>
  <si>
    <t>Calcário Calcítico de Minas Gerais [t]</t>
  </si>
  <si>
    <t>Calcário Calcítico Granulado de Minas Gerais [t]</t>
  </si>
  <si>
    <t>Calcário Dolomítico [t]</t>
  </si>
  <si>
    <t>Consumo de Energia Elétrica da Área 1 [kWh]</t>
  </si>
  <si>
    <t>Consumo de Energia Elétrica da Área 2 [kWh]</t>
  </si>
  <si>
    <t>Consumo de Energia Elétrica da Área 3 [kWh]</t>
  </si>
  <si>
    <t>Corpos Moedores [kg]</t>
  </si>
  <si>
    <t>Água [m3]</t>
  </si>
  <si>
    <t>Barras de Grelha [kg]</t>
  </si>
  <si>
    <t>Sacos de Filtro [peca]</t>
  </si>
  <si>
    <t>Setor de Filtro [peca]</t>
  </si>
  <si>
    <t>Glicerina [t]</t>
  </si>
  <si>
    <t>Arkomon [kg]</t>
  </si>
  <si>
    <t>Peridur [t]</t>
  </si>
  <si>
    <t>Calcário Calcítico 0 a 6 [t]</t>
  </si>
  <si>
    <t>Calcário Calcítico ES [t]</t>
  </si>
  <si>
    <t>Outros</t>
  </si>
  <si>
    <t>Minério Moido pela US I/II [t]</t>
  </si>
  <si>
    <t>Minério Moído para US III [t]</t>
  </si>
  <si>
    <t>Minério Moído para a US IV [t]</t>
  </si>
  <si>
    <t>Minério moído para usinas I/II [t]</t>
  </si>
  <si>
    <t>Usina 3</t>
  </si>
  <si>
    <t>Usina 4</t>
  </si>
  <si>
    <t>Usina 5</t>
  </si>
  <si>
    <t>Usina 6</t>
  </si>
  <si>
    <t>Usina 7</t>
  </si>
  <si>
    <t>Usina 8</t>
  </si>
  <si>
    <t>Materiais</t>
  </si>
  <si>
    <t>Produção de Pelota [t]</t>
  </si>
  <si>
    <t>Tubarão</t>
  </si>
  <si>
    <t>Embarque piers 1 e 2</t>
  </si>
  <si>
    <t>Minério Mercado externo</t>
  </si>
  <si>
    <t>Pelota Mercado externo</t>
  </si>
  <si>
    <t>Min. Cabotagem</t>
  </si>
  <si>
    <t>Minério Mercado interno</t>
  </si>
  <si>
    <t>Correia AF08</t>
  </si>
  <si>
    <t>Vagão FPTU</t>
  </si>
  <si>
    <t>Caminhão Santa Bárbara</t>
  </si>
  <si>
    <t>Descarga nos viradores de vagões</t>
  </si>
  <si>
    <t>Insumos</t>
  </si>
  <si>
    <t>Antracito</t>
  </si>
  <si>
    <t>Antracito Vale</t>
  </si>
  <si>
    <t>Carvão</t>
  </si>
  <si>
    <t>Coque</t>
  </si>
  <si>
    <t>TPD</t>
  </si>
  <si>
    <t>Farelo de Soja  (TPD 3)</t>
  </si>
  <si>
    <t>Fertilizantes (TPD 4)</t>
  </si>
  <si>
    <t>Milho (TPD 3)</t>
  </si>
  <si>
    <t>Soja (TPD 3)</t>
  </si>
  <si>
    <t>Coque/Antracito (TPD 4)</t>
  </si>
  <si>
    <t>TGL</t>
  </si>
  <si>
    <t>Granéis Líquidos</t>
  </si>
  <si>
    <t>Pátio</t>
  </si>
  <si>
    <t>Moega</t>
  </si>
  <si>
    <t>Fertilizantes - Ferroviário</t>
  </si>
  <si>
    <t>Fertilizantes - Rodoviário</t>
  </si>
  <si>
    <t>Silo</t>
  </si>
  <si>
    <t>Área G</t>
  </si>
  <si>
    <t>Carvão - Rodoviário</t>
  </si>
  <si>
    <t>Operações de Pátio</t>
  </si>
  <si>
    <t>Recirculação TPM</t>
  </si>
  <si>
    <t>Praia Mole - TPM</t>
  </si>
  <si>
    <t>Recirculação (s/ Pá mecânica)</t>
  </si>
  <si>
    <t>Transferência (Estoque &gt; Pilha)</t>
  </si>
  <si>
    <t>Unidade</t>
  </si>
  <si>
    <t>toneladas</t>
  </si>
  <si>
    <t>Área Nova</t>
  </si>
  <si>
    <t>Área Velha</t>
  </si>
  <si>
    <t>Minério</t>
  </si>
  <si>
    <t>Pelota</t>
  </si>
  <si>
    <t>Movimentação [t]</t>
  </si>
  <si>
    <t>Combustíveis</t>
  </si>
  <si>
    <t>Óleo Combustível [kg]</t>
  </si>
  <si>
    <t>Gás Natural [Nm3]</t>
  </si>
  <si>
    <t>Carvão [t]</t>
  </si>
  <si>
    <t>Farelo Soja</t>
  </si>
  <si>
    <t>Milho</t>
  </si>
  <si>
    <t>Soja</t>
  </si>
  <si>
    <t>Fertilizantes</t>
  </si>
  <si>
    <t>Coque/antracito</t>
  </si>
  <si>
    <t>Rota</t>
  </si>
  <si>
    <t>Viador de vagões - Pátio de Finos 3 e 4</t>
  </si>
  <si>
    <t>Virador de vagões</t>
  </si>
  <si>
    <t>F2/F6</t>
  </si>
  <si>
    <t>F6/3PA1</t>
  </si>
  <si>
    <t>Transferências</t>
  </si>
  <si>
    <t>Calcário</t>
  </si>
  <si>
    <t>Alimentação das usinas 3 e 4</t>
  </si>
  <si>
    <t>Recuperadora pátio de finos 3 e 4</t>
  </si>
  <si>
    <t>Recuperadora/TR4PA9</t>
  </si>
  <si>
    <t>TR4PA9/TR3PA13 (Moagem)</t>
  </si>
  <si>
    <t>Viador de vagões - Pátio de Finos L e M</t>
  </si>
  <si>
    <t>Viador de vagões - Pátio de Finos 5 a 7</t>
  </si>
  <si>
    <t>Viador de vagões - Área Nova</t>
  </si>
  <si>
    <t>Viador de vagões - Área Velha</t>
  </si>
  <si>
    <t>H2/H7</t>
  </si>
  <si>
    <t>Alimentação da usina 8</t>
  </si>
  <si>
    <t>Recuperadora/TR811I03</t>
  </si>
  <si>
    <t>TR811I03/TR811I04</t>
  </si>
  <si>
    <t>TR811I03/TR01tripper</t>
  </si>
  <si>
    <t>T01tripper/tripper</t>
  </si>
  <si>
    <t>Triper empilhamento</t>
  </si>
  <si>
    <t>Carregamento insumos U8</t>
  </si>
  <si>
    <t>Alimentação Insumos U8</t>
  </si>
  <si>
    <t>TR injeção aditivos</t>
  </si>
  <si>
    <t>TR insumos1</t>
  </si>
  <si>
    <t>TR insumos2</t>
  </si>
  <si>
    <t>H1/5PA1</t>
  </si>
  <si>
    <t>5PA1/5PA2</t>
  </si>
  <si>
    <t>5PA2/5PA3</t>
  </si>
  <si>
    <t>Empilhamento pátio de finos 5 a 7</t>
  </si>
  <si>
    <t>Empilhamento pátio de finos L e M</t>
  </si>
  <si>
    <t>Empilhamento pátio de finos 3 e 4</t>
  </si>
  <si>
    <t>Alimentação das usinas 5 a 7</t>
  </si>
  <si>
    <t>Recuperadora pátio de finos 5 a 7</t>
  </si>
  <si>
    <t>Recuperadora/TR5PA1</t>
  </si>
  <si>
    <t>A1/A2</t>
  </si>
  <si>
    <t>Empilhamento área velha 1</t>
  </si>
  <si>
    <t>F6/F5</t>
  </si>
  <si>
    <t>F5/B3B</t>
  </si>
  <si>
    <t>B3B/B3A</t>
  </si>
  <si>
    <t>Empilhamento área velha 2</t>
  </si>
  <si>
    <t>F1/F3</t>
  </si>
  <si>
    <t>F3/F4</t>
  </si>
  <si>
    <t>F4/D1</t>
  </si>
  <si>
    <t>Empilhamento área nova</t>
  </si>
  <si>
    <t>Viarador de vagões - Embarque Píer 1 e 2</t>
  </si>
  <si>
    <t>D3/D12</t>
  </si>
  <si>
    <t>D12/D13</t>
  </si>
  <si>
    <t>D13/CN 3 e 4</t>
  </si>
  <si>
    <t>D3/C3E</t>
  </si>
  <si>
    <t>C3E/C3F</t>
  </si>
  <si>
    <t>C3F/A3F</t>
  </si>
  <si>
    <t>A3F/A4A</t>
  </si>
  <si>
    <t>A4A/CN 1a e 2a</t>
  </si>
  <si>
    <t>F4/D3</t>
  </si>
  <si>
    <t>Usina 3 e 4 - Pátio de Pelotas 3 e 4</t>
  </si>
  <si>
    <t>Pátio de Pelotas 3 e 4 - Área Velha</t>
  </si>
  <si>
    <t>RC_PP 3 e 4</t>
  </si>
  <si>
    <t>RC_PP 3 e 4/T8</t>
  </si>
  <si>
    <t>T8/T6</t>
  </si>
  <si>
    <t>T6/T11</t>
  </si>
  <si>
    <t>Pátio de Pelotas 3 e 4 - Embarque Píer 1 e 2</t>
  </si>
  <si>
    <t>C3C/C3E</t>
  </si>
  <si>
    <t>C3C/D12</t>
  </si>
  <si>
    <t>CN 3 e 4</t>
  </si>
  <si>
    <t>CN 1a e 2a</t>
  </si>
  <si>
    <t>T11/C3C</t>
  </si>
  <si>
    <t>Usina 5 a 7 - Pátio de Pelotas 5 a 7</t>
  </si>
  <si>
    <t>T1/6PP4</t>
  </si>
  <si>
    <t>6PP4/7PP6</t>
  </si>
  <si>
    <t>EP_PP 5 a 7</t>
  </si>
  <si>
    <t>Pátio de Pelotas 5 a 7 - Área Nova</t>
  </si>
  <si>
    <t>RC_PP 5 a 7</t>
  </si>
  <si>
    <t>RC_PP 5 a 7/6PP10</t>
  </si>
  <si>
    <t>6PP10/H30</t>
  </si>
  <si>
    <t>H30/H22</t>
  </si>
  <si>
    <t>EP_AN</t>
  </si>
  <si>
    <t>Pátio de Pelotas 5 a 7 - Embarque Píer 1 e 2</t>
  </si>
  <si>
    <t>H22/H23</t>
  </si>
  <si>
    <t>H23/D3</t>
  </si>
  <si>
    <t>Usina 8 - Pátio de Pelotas Usina 8</t>
  </si>
  <si>
    <t>U8T1/EP_PP 8</t>
  </si>
  <si>
    <t>EP_PP 8</t>
  </si>
  <si>
    <t>Pátio de Pelotas Usina 8 - AMT</t>
  </si>
  <si>
    <t>RC_PP 8</t>
  </si>
  <si>
    <t>RC_PP 8/ H38</t>
  </si>
  <si>
    <t>H38/H39</t>
  </si>
  <si>
    <t>Pátio de Pelotas Usina 8 - Embarque Píer 1 e 2</t>
  </si>
  <si>
    <t>H38/H37</t>
  </si>
  <si>
    <t>H37/H36</t>
  </si>
  <si>
    <t>H36/H35</t>
  </si>
  <si>
    <t>H35/H32</t>
  </si>
  <si>
    <t>H32/H32A</t>
  </si>
  <si>
    <t>H32A/H29</t>
  </si>
  <si>
    <t>H29/H30</t>
  </si>
  <si>
    <t>Área Velha - Embarque Píer 1 e 2</t>
  </si>
  <si>
    <t>RC_AV</t>
  </si>
  <si>
    <t>B3/C3C</t>
  </si>
  <si>
    <t>Área Nova - Embarque Píer 1 e 2</t>
  </si>
  <si>
    <t>RC_AN</t>
  </si>
  <si>
    <t>RC_AN/H23</t>
  </si>
  <si>
    <t>Quantidade Movimentada [t]</t>
  </si>
  <si>
    <t>PM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</si>
  <si>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</si>
  <si>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2.5</t>
    </r>
  </si>
  <si>
    <t>Taxa de Emissão [kg/h]</t>
  </si>
  <si>
    <t>Controle Ambiental</t>
  </si>
  <si>
    <t>Tipo</t>
  </si>
  <si>
    <t>Eficiência</t>
  </si>
  <si>
    <t>Material</t>
  </si>
  <si>
    <t>Umidade média [%]</t>
  </si>
  <si>
    <t>Velocidade média do vento [m/s]</t>
  </si>
  <si>
    <t>aspersão</t>
  </si>
  <si>
    <t>enclausurado / aspersão</t>
  </si>
  <si>
    <t>TPM - AMT</t>
  </si>
  <si>
    <t>TPM - Pátio de Carvão</t>
  </si>
  <si>
    <t>Pátio de Carvão - Expedição</t>
  </si>
  <si>
    <t>DN 4 a 7/TC2</t>
  </si>
  <si>
    <t>TC2/TC5</t>
  </si>
  <si>
    <t>TC5/TC12</t>
  </si>
  <si>
    <t>TC17/AMT</t>
  </si>
  <si>
    <t>DN 4 a 7</t>
  </si>
  <si>
    <t>Empilhamento Pátio de Carvão</t>
  </si>
  <si>
    <t>RC 6 e 7</t>
  </si>
  <si>
    <t>RC 6 e 7/TC12</t>
  </si>
  <si>
    <t>TC12/TC21</t>
  </si>
  <si>
    <t>TC21/Embarque Vagões</t>
  </si>
  <si>
    <t>Recuperadora pátio de finos  L e M</t>
  </si>
  <si>
    <t>TR alimentação Moagem Usina 8</t>
  </si>
  <si>
    <t>Empilhamento Pátio de Pelotas 3 e 4</t>
  </si>
  <si>
    <t>Empilhamento Área Velha</t>
  </si>
  <si>
    <t>TC12/TCEP</t>
  </si>
  <si>
    <t>TCEP/TC17</t>
  </si>
  <si>
    <t>Fonte:
AP42 - Section 13.2.4 Aggregate Handling And Storage Piles</t>
  </si>
  <si>
    <t>onde:</t>
  </si>
  <si>
    <r>
      <t>TE</t>
    </r>
    <r>
      <rPr>
        <i/>
        <vertAlign val="subscript"/>
        <sz val="10"/>
        <color theme="1"/>
        <rFont val="Calibri Light"/>
        <family val="1"/>
        <scheme val="major"/>
      </rPr>
      <t>i</t>
    </r>
  </si>
  <si>
    <r>
      <t>taxa de emissão de cada classe de partículas (PM, PM</t>
    </r>
    <r>
      <rPr>
        <vertAlign val="subscript"/>
        <sz val="8"/>
        <color theme="1"/>
        <rFont val="Arial"/>
        <family val="2"/>
      </rPr>
      <t xml:space="preserve">10 </t>
    </r>
    <r>
      <rPr>
        <sz val="8"/>
        <color theme="1"/>
        <rFont val="Arial"/>
        <family val="2"/>
      </rPr>
      <t>ou PM</t>
    </r>
    <r>
      <rPr>
        <vertAlign val="subscript"/>
        <sz val="8"/>
        <color theme="1"/>
        <rFont val="Arial"/>
        <family val="2"/>
      </rPr>
      <t>2.5</t>
    </r>
    <r>
      <rPr>
        <sz val="8"/>
        <color theme="1"/>
        <rFont val="Arial"/>
        <family val="2"/>
      </rPr>
      <t>) [kg/h]</t>
    </r>
  </si>
  <si>
    <r>
      <t>k</t>
    </r>
    <r>
      <rPr>
        <i/>
        <vertAlign val="subscript"/>
        <sz val="10"/>
        <color theme="1"/>
        <rFont val="Calibri Light"/>
        <family val="1"/>
        <scheme val="major"/>
      </rPr>
      <t>i</t>
    </r>
  </si>
  <si>
    <r>
      <t>constante empírica para cada classe de partícula (PM, PM</t>
    </r>
    <r>
      <rPr>
        <vertAlign val="subscript"/>
        <sz val="8"/>
        <color theme="1"/>
        <rFont val="Arial"/>
        <family val="2"/>
      </rPr>
      <t xml:space="preserve">10 e </t>
    </r>
    <r>
      <rPr>
        <sz val="8"/>
        <color theme="1"/>
        <rFont val="Arial"/>
        <family val="2"/>
      </rPr>
      <t>PM</t>
    </r>
    <r>
      <rPr>
        <vertAlign val="subscript"/>
        <sz val="8"/>
        <color theme="1"/>
        <rFont val="Arial"/>
        <family val="2"/>
      </rPr>
      <t>2.5</t>
    </r>
    <r>
      <rPr>
        <sz val="8"/>
        <color theme="1"/>
        <rFont val="Arial"/>
        <family val="2"/>
      </rPr>
      <t>)</t>
    </r>
  </si>
  <si>
    <t>U</t>
  </si>
  <si>
    <t>velocidade média do vento na região [m/s]</t>
  </si>
  <si>
    <t>M</t>
  </si>
  <si>
    <t>teor de umidade do material movimentado [%]</t>
  </si>
  <si>
    <t>Q</t>
  </si>
  <si>
    <t>quantidade do material movimentado [t/h]</t>
  </si>
  <si>
    <t>Transferências em geral</t>
  </si>
  <si>
    <t>Fator de Emissão</t>
  </si>
  <si>
    <t>Foram consideradas 8 transferências a partir do descaregamento de grãos na moega até chegar a correia TC-GR-03</t>
  </si>
  <si>
    <t>Farelo de Soja</t>
  </si>
  <si>
    <t>Filtro de Manga</t>
  </si>
  <si>
    <t>TC-GR-03/TC-GR-04</t>
  </si>
  <si>
    <t>TC-GR-04/TC-GR-04B</t>
  </si>
  <si>
    <t>TC-GR-04B/TC-GR-04C</t>
  </si>
  <si>
    <t>TC-GR-04C/TC-GR-04D</t>
  </si>
  <si>
    <t>TC-GR-04D/CN 5 a 8</t>
  </si>
  <si>
    <t>CN 5 a 8</t>
  </si>
  <si>
    <t>Fator de Emissão [kg/t]</t>
  </si>
  <si>
    <t>Armazém de Grãos - Embarque no píer 3</t>
  </si>
  <si>
    <t>Desembarque no píer 4 - Armazém de Fertilizantes</t>
  </si>
  <si>
    <t>GM 3 e 4</t>
  </si>
  <si>
    <t>Coque/Antracito</t>
  </si>
  <si>
    <t>AM1FE/TRFE01</t>
  </si>
  <si>
    <t>TRFE01/TRFE02</t>
  </si>
  <si>
    <t>TRFE02/TRFE03</t>
  </si>
  <si>
    <t>TRFE03/Armazém Fertilizantes</t>
  </si>
  <si>
    <t>Carregamento para Expedição</t>
  </si>
  <si>
    <t>Moega Rodoviária</t>
  </si>
  <si>
    <t>Transferências de Coque/Antratico e Fertilizantes</t>
  </si>
  <si>
    <t>Transferências de grãos</t>
  </si>
  <si>
    <t>Fonte:
AP42 - Section 9.9.1 Grain Elevators And Processes</t>
  </si>
  <si>
    <r>
      <t>E</t>
    </r>
    <r>
      <rPr>
        <i/>
        <vertAlign val="subscript"/>
        <sz val="10"/>
        <color theme="1"/>
        <rFont val="Calibri Light"/>
        <family val="1"/>
        <scheme val="major"/>
      </rPr>
      <t>i</t>
    </r>
  </si>
  <si>
    <r>
      <t>fator de emissão de cada classe de partículas (PM, PM</t>
    </r>
    <r>
      <rPr>
        <vertAlign val="subscript"/>
        <sz val="8"/>
        <color theme="1"/>
        <rFont val="Arial"/>
        <family val="2"/>
      </rPr>
      <t xml:space="preserve">10 </t>
    </r>
    <r>
      <rPr>
        <sz val="8"/>
        <color theme="1"/>
        <rFont val="Arial"/>
        <family val="2"/>
      </rPr>
      <t>ou PM</t>
    </r>
    <r>
      <rPr>
        <vertAlign val="subscript"/>
        <sz val="8"/>
        <color theme="1"/>
        <rFont val="Arial"/>
        <family val="2"/>
      </rPr>
      <t>2.5</t>
    </r>
    <r>
      <rPr>
        <sz val="8"/>
        <color theme="1"/>
        <rFont val="Arial"/>
        <family val="2"/>
      </rPr>
      <t>) [kg/t]</t>
    </r>
  </si>
  <si>
    <t>ER</t>
  </si>
  <si>
    <t>eficiência do mecanismo de controle ambiental [%]</t>
  </si>
  <si>
    <t>enclausurado</t>
  </si>
  <si>
    <t>Transferências - Píer de Carvão</t>
  </si>
  <si>
    <t>Enclausuramento de Transferências
Aspersão de Água</t>
  </si>
  <si>
    <t>Transferências - Pátio de Carvão</t>
  </si>
  <si>
    <t>Transferências - Terminal de Minérios</t>
  </si>
  <si>
    <t>Transferências - TPD</t>
  </si>
  <si>
    <t>Filtro de Mangas
Pulverização de Óleo Vegetal
Enclausuramento de Transferências</t>
  </si>
  <si>
    <t>Transferências - Pátio de Pelotas (Usinas 1 a 4)</t>
  </si>
  <si>
    <t>Enclausuramento de Transferências
Aplicação de Supressor de Pó
Aspersão de Água Sobre Correia</t>
  </si>
  <si>
    <t>Transferências - Pátio de Pelotas (Usinas 5 a 7)</t>
  </si>
  <si>
    <t>Enclausuramento de Transferências 
Aspersão de Água Sobre Correia</t>
  </si>
  <si>
    <t>Transferências - Pátios Finos (Usinas 1 a 4)</t>
  </si>
  <si>
    <t>Enclausuramento de Transferências</t>
  </si>
  <si>
    <t>Transferências - Pátios Finos (Usinas 5 a 7)</t>
  </si>
  <si>
    <t>Transferências - Pátio de Finos (Terminal de Minérios)</t>
  </si>
  <si>
    <t>Transferências - Pátio de Granulados (Terminal de Minérios)</t>
  </si>
  <si>
    <t>Transferências - Usina 3</t>
  </si>
  <si>
    <t>Transferências - Usina 4</t>
  </si>
  <si>
    <t>Transferências - Usina 5</t>
  </si>
  <si>
    <t>Transferências - Usina 6</t>
  </si>
  <si>
    <t>Transferências - Usina 7</t>
  </si>
  <si>
    <t>Transferências - Usina 8</t>
  </si>
  <si>
    <t>Enclausuramento de Transferências
Cobertura e Tapamento Lateral - Todas Correias</t>
  </si>
  <si>
    <t>Enclausuramento</t>
  </si>
  <si>
    <t>Controle Ambiental Geral</t>
  </si>
  <si>
    <t>Controle Ambiental Pelota</t>
  </si>
  <si>
    <t>Glicerina</t>
  </si>
  <si>
    <t>Glicerina / enclausurado / aspersão</t>
  </si>
  <si>
    <t>Glicerina / aspersão</t>
  </si>
  <si>
    <t>calha</t>
  </si>
  <si>
    <t>Glicerina / calha</t>
  </si>
  <si>
    <t>Pátio de Calcário</t>
  </si>
  <si>
    <t>Recebimento de calcário</t>
  </si>
  <si>
    <t>Carregamento vagão calcário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</si>
  <si>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</si>
  <si>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</si>
  <si>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Lat [º]</t>
  </si>
  <si>
    <t>Long [º]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</si>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</sst>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"/>
    <numFmt numFmtId="166" formatCode="#,##0.0000"/>
  </numFmts>
  <fonts count="20" x14ac:knownFonts="1">
    <font>
      <sz val="11"/>
      <color theme="1"/>
      <name val="Calibri"/>
      <family val="2"/>
      <scheme val="minor"/>
    </font>
    <font>
      <sz val="10"/>
      <color rgb="FF316AC5"/>
      <name val="Tahoma"/>
      <family val="2"/>
    </font>
    <font>
      <b/>
      <sz val="10"/>
      <color rgb="FF316AC5"/>
      <name val="Tahoma"/>
      <family val="2"/>
    </font>
    <font>
      <sz val="8"/>
      <color rgb="FF000000"/>
      <name val="Tahoma"/>
      <family val="2"/>
    </font>
    <font>
      <b/>
      <sz val="8"/>
      <name val="Tahoma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9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vertAlign val="subscript"/>
      <sz val="8"/>
      <color theme="1"/>
      <name val="Arial"/>
      <family val="2"/>
    </font>
    <font>
      <i/>
      <sz val="10"/>
      <color theme="1"/>
      <name val="Calibri Light"/>
      <family val="1"/>
      <scheme val="major"/>
    </font>
    <font>
      <i/>
      <vertAlign val="subscript"/>
      <sz val="10"/>
      <color theme="1"/>
      <name val="Calibri Light"/>
      <family val="1"/>
      <scheme val="major"/>
    </font>
    <font>
      <sz val="8"/>
      <name val="Tahoma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2" borderId="2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5" fillId="0" borderId="0" xfId="0" applyFont="1"/>
    <xf numFmtId="0" fontId="6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 indent="2"/>
    </xf>
    <xf numFmtId="0" fontId="7" fillId="3" borderId="4" xfId="0" applyFont="1" applyFill="1" applyBorder="1" applyAlignment="1">
      <alignment horizontal="left" vertical="center" indent="3"/>
    </xf>
    <xf numFmtId="0" fontId="6" fillId="3" borderId="4" xfId="0" applyFont="1" applyFill="1" applyBorder="1" applyAlignment="1">
      <alignment horizontal="left" vertical="center"/>
    </xf>
    <xf numFmtId="3" fontId="6" fillId="3" borderId="4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indent="2"/>
    </xf>
    <xf numFmtId="0" fontId="7" fillId="3" borderId="0" xfId="0" applyFont="1" applyFill="1" applyBorder="1" applyAlignment="1">
      <alignment horizontal="left" vertical="center" indent="2"/>
    </xf>
    <xf numFmtId="0" fontId="6" fillId="3" borderId="4" xfId="0" applyFont="1" applyFill="1" applyBorder="1" applyAlignment="1">
      <alignment horizontal="left" vertical="center" indent="1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3" fontId="11" fillId="0" borderId="6" xfId="0" applyNumberFormat="1" applyFont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3" fontId="5" fillId="0" borderId="0" xfId="0" applyNumberFormat="1" applyFont="1"/>
    <xf numFmtId="0" fontId="5" fillId="0" borderId="0" xfId="0" applyFont="1" applyAlignment="1">
      <alignment vertical="center"/>
    </xf>
    <xf numFmtId="3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9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/>
    </xf>
    <xf numFmtId="2" fontId="5" fillId="0" borderId="7" xfId="0" applyNumberFormat="1" applyFont="1" applyBorder="1" applyAlignment="1">
      <alignment vertical="center"/>
    </xf>
    <xf numFmtId="4" fontId="5" fillId="6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9" fontId="5" fillId="0" borderId="0" xfId="0" applyNumberFormat="1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9" fontId="5" fillId="4" borderId="7" xfId="0" applyNumberFormat="1" applyFont="1" applyFill="1" applyBorder="1" applyAlignment="1">
      <alignment horizontal="center" vertical="center"/>
    </xf>
    <xf numFmtId="9" fontId="5" fillId="0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3" fontId="17" fillId="0" borderId="1" xfId="0" applyNumberFormat="1" applyFont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7" fillId="0" borderId="3" xfId="0" applyNumberFormat="1" applyFont="1" applyBorder="1" applyAlignment="1">
      <alignment horizontal="right" vertical="center"/>
    </xf>
    <xf numFmtId="3" fontId="5" fillId="6" borderId="7" xfId="0" applyNumberFormat="1" applyFont="1" applyFill="1" applyBorder="1" applyAlignment="1">
      <alignment horizontal="center" vertical="center"/>
    </xf>
    <xf numFmtId="3" fontId="7" fillId="3" borderId="4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7" fillId="3" borderId="0" xfId="0" applyNumberFormat="1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 wrapText="1"/>
    </xf>
    <xf numFmtId="9" fontId="18" fillId="5" borderId="7" xfId="0" applyNumberFormat="1" applyFont="1" applyFill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3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7" xfId="0" applyNumberFormat="1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3" fontId="5" fillId="0" borderId="7" xfId="0" applyNumberFormat="1" applyFont="1" applyFill="1" applyBorder="1" applyAlignment="1">
      <alignment horizontal="center" vertical="center"/>
    </xf>
    <xf numFmtId="3" fontId="5" fillId="4" borderId="7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166" fontId="5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8" fillId="5" borderId="7" xfId="0" applyNumberFormat="1" applyFont="1" applyFill="1" applyBorder="1" applyAlignment="1" applyProtection="1">
      <alignment horizontal="center" vertical="center" wrapText="1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18" fillId="5" borderId="7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4" fontId="5" fillId="6" borderId="10" xfId="0" applyNumberFormat="1" applyFont="1" applyFill="1" applyBorder="1" applyAlignment="1">
      <alignment horizontal="center" vertical="center"/>
    </xf>
    <xf numFmtId="4" fontId="5" fillId="6" borderId="11" xfId="0" applyNumberFormat="1" applyFont="1" applyFill="1" applyBorder="1" applyAlignment="1">
      <alignment horizontal="center" vertical="center"/>
    </xf>
    <xf numFmtId="4" fontId="5" fillId="6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9D9"/>
      <color rgb="FFDCE6F1"/>
      <color rgb="FFDCEAF1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6</xdr:row>
      <xdr:rowOff>114300</xdr:rowOff>
    </xdr:from>
    <xdr:to>
      <xdr:col>15</xdr:col>
      <xdr:colOff>117825</xdr:colOff>
      <xdr:row>9</xdr:row>
      <xdr:rowOff>10800</xdr:rowOff>
    </xdr:to>
    <xdr:sp macro="" textlink="">
      <xdr:nvSpPr>
        <xdr:cNvPr id="2" name="Retângulo 1"/>
        <xdr:cNvSpPr/>
      </xdr:nvSpPr>
      <xdr:spPr>
        <a:xfrm>
          <a:off x="6096000" y="1257300"/>
          <a:ext cx="784575" cy="46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Arial" panose="020B0604020202020204" pitchFamily="34" charset="0"/>
              <a:cs typeface="Arial" panose="020B0604020202020204" pitchFamily="34" charset="0"/>
            </a:rPr>
            <a:t>VIRADOR </a:t>
          </a:r>
          <a:r>
            <a:rPr lang="pt-BR" sz="800" baseline="0">
              <a:latin typeface="Arial" panose="020B0604020202020204" pitchFamily="34" charset="0"/>
              <a:cs typeface="Arial" panose="020B0604020202020204" pitchFamily="34" charset="0"/>
            </a:rPr>
            <a:t> DE VAGÕES</a:t>
          </a:r>
          <a:endParaRPr lang="pt-BR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304800</xdr:colOff>
      <xdr:row>3</xdr:row>
      <xdr:rowOff>0</xdr:rowOff>
    </xdr:from>
    <xdr:to>
      <xdr:col>13</xdr:col>
      <xdr:colOff>581025</xdr:colOff>
      <xdr:row>7</xdr:row>
      <xdr:rowOff>157800</xdr:rowOff>
    </xdr:to>
    <xdr:cxnSp macro="">
      <xdr:nvCxnSpPr>
        <xdr:cNvPr id="14" name="Conector angulado 13"/>
        <xdr:cNvCxnSpPr>
          <a:endCxn id="2" idx="1"/>
        </xdr:cNvCxnSpPr>
      </xdr:nvCxnSpPr>
      <xdr:spPr>
        <a:xfrm rot="16200000" flipH="1">
          <a:off x="5178900" y="574200"/>
          <a:ext cx="919800" cy="9144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3</xdr:row>
      <xdr:rowOff>9524</xdr:rowOff>
    </xdr:from>
    <xdr:to>
      <xdr:col>14</xdr:col>
      <xdr:colOff>335138</xdr:colOff>
      <xdr:row>6</xdr:row>
      <xdr:rowOff>114299</xdr:rowOff>
    </xdr:to>
    <xdr:cxnSp macro="">
      <xdr:nvCxnSpPr>
        <xdr:cNvPr id="16" name="Conector angulado 15"/>
        <xdr:cNvCxnSpPr>
          <a:endCxn id="2" idx="0"/>
        </xdr:cNvCxnSpPr>
      </xdr:nvCxnSpPr>
      <xdr:spPr>
        <a:xfrm rot="16200000" flipH="1">
          <a:off x="6139744" y="908755"/>
          <a:ext cx="676275" cy="20813"/>
        </a:xfrm>
        <a:prstGeom prst="bentConnector3">
          <a:avLst>
            <a:gd name="adj1" fmla="val -70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117825</xdr:colOff>
      <xdr:row>3</xdr:row>
      <xdr:rowOff>0</xdr:rowOff>
    </xdr:from>
    <xdr:to>
      <xdr:col>16</xdr:col>
      <xdr:colOff>295275</xdr:colOff>
      <xdr:row>7</xdr:row>
      <xdr:rowOff>157800</xdr:rowOff>
    </xdr:to>
    <xdr:cxnSp macro="">
      <xdr:nvCxnSpPr>
        <xdr:cNvPr id="19" name="Conector angulado 18"/>
        <xdr:cNvCxnSpPr>
          <a:endCxn id="2" idx="3"/>
        </xdr:cNvCxnSpPr>
      </xdr:nvCxnSpPr>
      <xdr:spPr>
        <a:xfrm rot="5400000">
          <a:off x="6814200" y="637875"/>
          <a:ext cx="919800" cy="7870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19</xdr:row>
      <xdr:rowOff>171450</xdr:rowOff>
    </xdr:from>
    <xdr:to>
      <xdr:col>6</xdr:col>
      <xdr:colOff>305400</xdr:colOff>
      <xdr:row>21</xdr:row>
      <xdr:rowOff>180975</xdr:rowOff>
    </xdr:to>
    <xdr:sp macro="" textlink="">
      <xdr:nvSpPr>
        <xdr:cNvPr id="20" name="Retângulo 19"/>
        <xdr:cNvSpPr/>
      </xdr:nvSpPr>
      <xdr:spPr>
        <a:xfrm>
          <a:off x="2057400" y="3790950"/>
          <a:ext cx="1296000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Arial" panose="020B0604020202020204" pitchFamily="34" charset="0"/>
              <a:cs typeface="Arial" panose="020B0604020202020204" pitchFamily="34" charset="0"/>
            </a:rPr>
            <a:t>PÁTIO</a:t>
          </a:r>
          <a:r>
            <a:rPr lang="pt-BR" sz="800" baseline="0">
              <a:latin typeface="Arial" panose="020B0604020202020204" pitchFamily="34" charset="0"/>
              <a:cs typeface="Arial" panose="020B0604020202020204" pitchFamily="34" charset="0"/>
            </a:rPr>
            <a:t> DE FINOS 3 A 4</a:t>
          </a:r>
          <a:endParaRPr lang="pt-BR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266700</xdr:colOff>
      <xdr:row>19</xdr:row>
      <xdr:rowOff>161925</xdr:rowOff>
    </xdr:from>
    <xdr:to>
      <xdr:col>24</xdr:col>
      <xdr:colOff>343500</xdr:colOff>
      <xdr:row>21</xdr:row>
      <xdr:rowOff>171450</xdr:rowOff>
    </xdr:to>
    <xdr:sp macro="" textlink="">
      <xdr:nvSpPr>
        <xdr:cNvPr id="21" name="Retângulo 20"/>
        <xdr:cNvSpPr/>
      </xdr:nvSpPr>
      <xdr:spPr>
        <a:xfrm>
          <a:off x="13125450" y="3781425"/>
          <a:ext cx="1296000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Arial" panose="020B0604020202020204" pitchFamily="34" charset="0"/>
              <a:cs typeface="Arial" panose="020B0604020202020204" pitchFamily="34" charset="0"/>
            </a:rPr>
            <a:t>PÁTIO</a:t>
          </a:r>
          <a:r>
            <a:rPr lang="pt-BR" sz="800" baseline="0">
              <a:latin typeface="Arial" panose="020B0604020202020204" pitchFamily="34" charset="0"/>
              <a:cs typeface="Arial" panose="020B0604020202020204" pitchFamily="34" charset="0"/>
            </a:rPr>
            <a:t> DE FINOS 5 A 7</a:t>
          </a:r>
          <a:endParaRPr lang="pt-BR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267000</xdr:colOff>
      <xdr:row>9</xdr:row>
      <xdr:rowOff>10800</xdr:rowOff>
    </xdr:from>
    <xdr:to>
      <xdr:col>14</xdr:col>
      <xdr:colOff>335138</xdr:colOff>
      <xdr:row>19</xdr:row>
      <xdr:rowOff>171450</xdr:rowOff>
    </xdr:to>
    <xdr:cxnSp macro="">
      <xdr:nvCxnSpPr>
        <xdr:cNvPr id="23" name="Conector angulado 22"/>
        <xdr:cNvCxnSpPr>
          <a:stCxn id="2" idx="2"/>
          <a:endCxn id="20" idx="0"/>
        </xdr:cNvCxnSpPr>
      </xdr:nvCxnSpPr>
      <xdr:spPr>
        <a:xfrm rot="5400000">
          <a:off x="4478419" y="-47719"/>
          <a:ext cx="2065650" cy="5611688"/>
        </a:xfrm>
        <a:prstGeom prst="bentConnector3">
          <a:avLst>
            <a:gd name="adj1" fmla="val 2740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335139</xdr:colOff>
      <xdr:row>9</xdr:row>
      <xdr:rowOff>10799</xdr:rowOff>
    </xdr:from>
    <xdr:to>
      <xdr:col>23</xdr:col>
      <xdr:colOff>305101</xdr:colOff>
      <xdr:row>19</xdr:row>
      <xdr:rowOff>161924</xdr:rowOff>
    </xdr:to>
    <xdr:cxnSp macro="">
      <xdr:nvCxnSpPr>
        <xdr:cNvPr id="26" name="Conector angulado 25"/>
        <xdr:cNvCxnSpPr>
          <a:stCxn id="2" idx="2"/>
          <a:endCxn id="21" idx="0"/>
        </xdr:cNvCxnSpPr>
      </xdr:nvCxnSpPr>
      <xdr:spPr>
        <a:xfrm rot="16200000" flipH="1">
          <a:off x="10017207" y="25181"/>
          <a:ext cx="2056125" cy="5456362"/>
        </a:xfrm>
        <a:prstGeom prst="bentConnector3">
          <a:avLst>
            <a:gd name="adj1" fmla="val 2730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7283</xdr:colOff>
      <xdr:row>27</xdr:row>
      <xdr:rowOff>94129</xdr:rowOff>
    </xdr:from>
    <xdr:to>
      <xdr:col>2</xdr:col>
      <xdr:colOff>9684</xdr:colOff>
      <xdr:row>29</xdr:row>
      <xdr:rowOff>103654</xdr:rowOff>
    </xdr:to>
    <xdr:sp macro="" textlink="">
      <xdr:nvSpPr>
        <xdr:cNvPr id="33" name="Retângulo 32"/>
        <xdr:cNvSpPr/>
      </xdr:nvSpPr>
      <xdr:spPr>
        <a:xfrm>
          <a:off x="612401" y="5237629"/>
          <a:ext cx="607518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Arial" panose="020B0604020202020204" pitchFamily="34" charset="0"/>
              <a:cs typeface="Arial" panose="020B0604020202020204" pitchFamily="34" charset="0"/>
            </a:rPr>
            <a:t>USINA 3</a:t>
          </a:r>
        </a:p>
      </xdr:txBody>
    </xdr:sp>
    <xdr:clientData/>
  </xdr:twoCellAnchor>
  <xdr:twoCellAnchor>
    <xdr:from>
      <xdr:col>8</xdr:col>
      <xdr:colOff>8965</xdr:colOff>
      <xdr:row>27</xdr:row>
      <xdr:rowOff>100293</xdr:rowOff>
    </xdr:from>
    <xdr:to>
      <xdr:col>9</xdr:col>
      <xdr:colOff>11365</xdr:colOff>
      <xdr:row>29</xdr:row>
      <xdr:rowOff>109818</xdr:rowOff>
    </xdr:to>
    <xdr:sp macro="" textlink="">
      <xdr:nvSpPr>
        <xdr:cNvPr id="34" name="Retângulo 33"/>
        <xdr:cNvSpPr/>
      </xdr:nvSpPr>
      <xdr:spPr>
        <a:xfrm>
          <a:off x="4849906" y="5243793"/>
          <a:ext cx="607518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Arial" panose="020B0604020202020204" pitchFamily="34" charset="0"/>
              <a:cs typeface="Arial" panose="020B0604020202020204" pitchFamily="34" charset="0"/>
            </a:rPr>
            <a:t>USINA 4</a:t>
          </a:r>
        </a:p>
      </xdr:txBody>
    </xdr:sp>
    <xdr:clientData/>
  </xdr:twoCellAnchor>
  <xdr:twoCellAnchor>
    <xdr:from>
      <xdr:col>18</xdr:col>
      <xdr:colOff>6723</xdr:colOff>
      <xdr:row>27</xdr:row>
      <xdr:rowOff>107576</xdr:rowOff>
    </xdr:from>
    <xdr:to>
      <xdr:col>19</xdr:col>
      <xdr:colOff>9123</xdr:colOff>
      <xdr:row>29</xdr:row>
      <xdr:rowOff>117101</xdr:rowOff>
    </xdr:to>
    <xdr:sp macro="" textlink="">
      <xdr:nvSpPr>
        <xdr:cNvPr id="35" name="Retângulo 34"/>
        <xdr:cNvSpPr/>
      </xdr:nvSpPr>
      <xdr:spPr>
        <a:xfrm>
          <a:off x="10966076" y="5251076"/>
          <a:ext cx="607518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Arial" panose="020B0604020202020204" pitchFamily="34" charset="0"/>
              <a:cs typeface="Arial" panose="020B0604020202020204" pitchFamily="34" charset="0"/>
            </a:rPr>
            <a:t>USINA 5</a:t>
          </a:r>
        </a:p>
      </xdr:txBody>
    </xdr:sp>
    <xdr:clientData/>
  </xdr:twoCellAnchor>
  <xdr:twoCellAnchor>
    <xdr:from>
      <xdr:col>23</xdr:col>
      <xdr:colOff>0</xdr:colOff>
      <xdr:row>27</xdr:row>
      <xdr:rowOff>103095</xdr:rowOff>
    </xdr:from>
    <xdr:to>
      <xdr:col>24</xdr:col>
      <xdr:colOff>7442</xdr:colOff>
      <xdr:row>29</xdr:row>
      <xdr:rowOff>112620</xdr:rowOff>
    </xdr:to>
    <xdr:sp macro="" textlink="">
      <xdr:nvSpPr>
        <xdr:cNvPr id="36" name="Retângulo 35"/>
        <xdr:cNvSpPr/>
      </xdr:nvSpPr>
      <xdr:spPr>
        <a:xfrm>
          <a:off x="13984941" y="5246595"/>
          <a:ext cx="612560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Arial" panose="020B0604020202020204" pitchFamily="34" charset="0"/>
              <a:cs typeface="Arial" panose="020B0604020202020204" pitchFamily="34" charset="0"/>
            </a:rPr>
            <a:t>USINA 6</a:t>
          </a:r>
        </a:p>
      </xdr:txBody>
    </xdr:sp>
    <xdr:clientData/>
  </xdr:twoCellAnchor>
  <xdr:twoCellAnchor>
    <xdr:from>
      <xdr:col>28</xdr:col>
      <xdr:colOff>7844</xdr:colOff>
      <xdr:row>27</xdr:row>
      <xdr:rowOff>101975</xdr:rowOff>
    </xdr:from>
    <xdr:to>
      <xdr:col>29</xdr:col>
      <xdr:colOff>10244</xdr:colOff>
      <xdr:row>29</xdr:row>
      <xdr:rowOff>111500</xdr:rowOff>
    </xdr:to>
    <xdr:sp macro="" textlink="">
      <xdr:nvSpPr>
        <xdr:cNvPr id="37" name="Retângulo 36"/>
        <xdr:cNvSpPr/>
      </xdr:nvSpPr>
      <xdr:spPr>
        <a:xfrm>
          <a:off x="17018373" y="5245475"/>
          <a:ext cx="607518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Arial" panose="020B0604020202020204" pitchFamily="34" charset="0"/>
              <a:cs typeface="Arial" panose="020B0604020202020204" pitchFamily="34" charset="0"/>
            </a:rPr>
            <a:t>USINA 7</a:t>
          </a:r>
        </a:p>
      </xdr:txBody>
    </xdr:sp>
    <xdr:clientData/>
  </xdr:twoCellAnchor>
  <xdr:twoCellAnchor>
    <xdr:from>
      <xdr:col>1</xdr:col>
      <xdr:colOff>311042</xdr:colOff>
      <xdr:row>21</xdr:row>
      <xdr:rowOff>180976</xdr:rowOff>
    </xdr:from>
    <xdr:to>
      <xdr:col>5</xdr:col>
      <xdr:colOff>267001</xdr:colOff>
      <xdr:row>27</xdr:row>
      <xdr:rowOff>94130</xdr:rowOff>
    </xdr:to>
    <xdr:cxnSp macro="">
      <xdr:nvCxnSpPr>
        <xdr:cNvPr id="39" name="Conector angulado 38"/>
        <xdr:cNvCxnSpPr>
          <a:stCxn id="20" idx="2"/>
          <a:endCxn id="33" idx="0"/>
        </xdr:cNvCxnSpPr>
      </xdr:nvCxnSpPr>
      <xdr:spPr>
        <a:xfrm rot="5400000">
          <a:off x="1576298" y="3521338"/>
          <a:ext cx="1056154" cy="2376429"/>
        </a:xfrm>
        <a:prstGeom prst="bentConnector3">
          <a:avLst>
            <a:gd name="adj1" fmla="val 1817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267001</xdr:colOff>
      <xdr:row>21</xdr:row>
      <xdr:rowOff>180975</xdr:rowOff>
    </xdr:from>
    <xdr:to>
      <xdr:col>8</xdr:col>
      <xdr:colOff>312724</xdr:colOff>
      <xdr:row>27</xdr:row>
      <xdr:rowOff>100293</xdr:rowOff>
    </xdr:to>
    <xdr:cxnSp macro="">
      <xdr:nvCxnSpPr>
        <xdr:cNvPr id="42" name="Conector angulado 41"/>
        <xdr:cNvCxnSpPr>
          <a:stCxn id="20" idx="2"/>
          <a:endCxn id="34" idx="0"/>
        </xdr:cNvCxnSpPr>
      </xdr:nvCxnSpPr>
      <xdr:spPr>
        <a:xfrm rot="16200000" flipH="1">
          <a:off x="3691968" y="3782096"/>
          <a:ext cx="1062318" cy="1861076"/>
        </a:xfrm>
        <a:prstGeom prst="bentConnector3">
          <a:avLst>
            <a:gd name="adj1" fmla="val 1835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310482</xdr:colOff>
      <xdr:row>21</xdr:row>
      <xdr:rowOff>171451</xdr:rowOff>
    </xdr:from>
    <xdr:to>
      <xdr:col>23</xdr:col>
      <xdr:colOff>305101</xdr:colOff>
      <xdr:row>27</xdr:row>
      <xdr:rowOff>107577</xdr:rowOff>
    </xdr:to>
    <xdr:cxnSp macro="">
      <xdr:nvCxnSpPr>
        <xdr:cNvPr id="45" name="Conector angulado 44"/>
        <xdr:cNvCxnSpPr>
          <a:stCxn id="21" idx="2"/>
          <a:endCxn id="35" idx="0"/>
        </xdr:cNvCxnSpPr>
      </xdr:nvCxnSpPr>
      <xdr:spPr>
        <a:xfrm rot="5400000">
          <a:off x="12240376" y="3201410"/>
          <a:ext cx="1079126" cy="3020207"/>
        </a:xfrm>
        <a:prstGeom prst="bentConnector3">
          <a:avLst>
            <a:gd name="adj1" fmla="val 1884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305102</xdr:colOff>
      <xdr:row>21</xdr:row>
      <xdr:rowOff>171449</xdr:rowOff>
    </xdr:from>
    <xdr:to>
      <xdr:col>28</xdr:col>
      <xdr:colOff>311604</xdr:colOff>
      <xdr:row>27</xdr:row>
      <xdr:rowOff>101974</xdr:rowOff>
    </xdr:to>
    <xdr:cxnSp macro="">
      <xdr:nvCxnSpPr>
        <xdr:cNvPr id="48" name="Conector angulado 47"/>
        <xdr:cNvCxnSpPr>
          <a:stCxn id="21" idx="2"/>
          <a:endCxn id="37" idx="0"/>
        </xdr:cNvCxnSpPr>
      </xdr:nvCxnSpPr>
      <xdr:spPr>
        <a:xfrm rot="16200000" flipH="1">
          <a:off x="15269325" y="3192667"/>
          <a:ext cx="1073525" cy="3032090"/>
        </a:xfrm>
        <a:prstGeom prst="bentConnector3">
          <a:avLst>
            <a:gd name="adj1" fmla="val 1868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305101</xdr:colOff>
      <xdr:row>21</xdr:row>
      <xdr:rowOff>171450</xdr:rowOff>
    </xdr:from>
    <xdr:to>
      <xdr:col>23</xdr:col>
      <xdr:colOff>306280</xdr:colOff>
      <xdr:row>27</xdr:row>
      <xdr:rowOff>103095</xdr:rowOff>
    </xdr:to>
    <xdr:cxnSp macro="">
      <xdr:nvCxnSpPr>
        <xdr:cNvPr id="51" name="Conector de seta reta 50"/>
        <xdr:cNvCxnSpPr>
          <a:stCxn id="21" idx="2"/>
          <a:endCxn id="36" idx="0"/>
        </xdr:cNvCxnSpPr>
      </xdr:nvCxnSpPr>
      <xdr:spPr>
        <a:xfrm>
          <a:off x="14290042" y="4171950"/>
          <a:ext cx="1179" cy="10746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291353</xdr:colOff>
      <xdr:row>36</xdr:row>
      <xdr:rowOff>33618</xdr:rowOff>
    </xdr:from>
    <xdr:to>
      <xdr:col>6</xdr:col>
      <xdr:colOff>276000</xdr:colOff>
      <xdr:row>40</xdr:row>
      <xdr:rowOff>31938</xdr:rowOff>
    </xdr:to>
    <xdr:sp macro="" textlink="">
      <xdr:nvSpPr>
        <xdr:cNvPr id="52" name="Retângulo 51"/>
        <xdr:cNvSpPr/>
      </xdr:nvSpPr>
      <xdr:spPr>
        <a:xfrm>
          <a:off x="2106706" y="6891618"/>
          <a:ext cx="1800000" cy="7603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PÁTIO</a:t>
          </a:r>
          <a:r>
            <a:rPr lang="pt-BR" sz="1000" baseline="0">
              <a:latin typeface="Arial" panose="020B0604020202020204" pitchFamily="34" charset="0"/>
              <a:cs typeface="Arial" panose="020B0604020202020204" pitchFamily="34" charset="0"/>
            </a:rPr>
            <a:t> DE PELOTAS</a:t>
          </a:r>
        </a:p>
        <a:p>
          <a:pPr algn="ctr"/>
          <a:r>
            <a:rPr lang="pt-BR" sz="1000" baseline="0">
              <a:latin typeface="Arial" panose="020B0604020202020204" pitchFamily="34" charset="0"/>
              <a:cs typeface="Arial" panose="020B0604020202020204" pitchFamily="34" charset="0"/>
            </a:rPr>
            <a:t>Usinas 3 E 4</a:t>
          </a:r>
          <a:endParaRPr lang="pt-BR" sz="1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22412</xdr:colOff>
      <xdr:row>36</xdr:row>
      <xdr:rowOff>33617</xdr:rowOff>
    </xdr:from>
    <xdr:to>
      <xdr:col>25</xdr:col>
      <xdr:colOff>7060</xdr:colOff>
      <xdr:row>40</xdr:row>
      <xdr:rowOff>31937</xdr:rowOff>
    </xdr:to>
    <xdr:sp macro="" textlink="">
      <xdr:nvSpPr>
        <xdr:cNvPr id="54" name="Retângulo 53"/>
        <xdr:cNvSpPr/>
      </xdr:nvSpPr>
      <xdr:spPr>
        <a:xfrm>
          <a:off x="13402236" y="6891617"/>
          <a:ext cx="1800000" cy="7603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PÁTIO</a:t>
          </a:r>
          <a:r>
            <a:rPr lang="pt-BR" sz="1000" baseline="0">
              <a:latin typeface="Arial" panose="020B0604020202020204" pitchFamily="34" charset="0"/>
              <a:cs typeface="Arial" panose="020B0604020202020204" pitchFamily="34" charset="0"/>
            </a:rPr>
            <a:t> DE PELOTAS</a:t>
          </a:r>
        </a:p>
        <a:p>
          <a:pPr algn="ctr"/>
          <a:r>
            <a:rPr lang="pt-BR" sz="1000" baseline="0">
              <a:latin typeface="Arial" panose="020B0604020202020204" pitchFamily="34" charset="0"/>
              <a:cs typeface="Arial" panose="020B0604020202020204" pitchFamily="34" charset="0"/>
            </a:rPr>
            <a:t>Usinas 5 A 7</a:t>
          </a:r>
          <a:endParaRPr lang="pt-BR" sz="1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310481</xdr:colOff>
      <xdr:row>29</xdr:row>
      <xdr:rowOff>117101</xdr:rowOff>
    </xdr:from>
    <xdr:to>
      <xdr:col>22</xdr:col>
      <xdr:colOff>22411</xdr:colOff>
      <xdr:row>38</xdr:row>
      <xdr:rowOff>32777</xdr:rowOff>
    </xdr:to>
    <xdr:cxnSp macro="">
      <xdr:nvCxnSpPr>
        <xdr:cNvPr id="56" name="Conector angulado 55"/>
        <xdr:cNvCxnSpPr>
          <a:stCxn id="35" idx="2"/>
          <a:endCxn id="54" idx="1"/>
        </xdr:cNvCxnSpPr>
      </xdr:nvCxnSpPr>
      <xdr:spPr>
        <a:xfrm rot="16200000" flipH="1">
          <a:off x="11520947" y="5390488"/>
          <a:ext cx="1630176" cy="213240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7061</xdr:colOff>
      <xdr:row>29</xdr:row>
      <xdr:rowOff>111499</xdr:rowOff>
    </xdr:from>
    <xdr:to>
      <xdr:col>28</xdr:col>
      <xdr:colOff>311604</xdr:colOff>
      <xdr:row>38</xdr:row>
      <xdr:rowOff>32776</xdr:rowOff>
    </xdr:to>
    <xdr:cxnSp macro="">
      <xdr:nvCxnSpPr>
        <xdr:cNvPr id="58" name="Conector angulado 57"/>
        <xdr:cNvCxnSpPr>
          <a:stCxn id="37" idx="2"/>
          <a:endCxn id="54" idx="3"/>
        </xdr:cNvCxnSpPr>
      </xdr:nvCxnSpPr>
      <xdr:spPr>
        <a:xfrm rot="5400000">
          <a:off x="15444296" y="5393940"/>
          <a:ext cx="1635777" cy="211989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306280</xdr:colOff>
      <xdr:row>29</xdr:row>
      <xdr:rowOff>112620</xdr:rowOff>
    </xdr:from>
    <xdr:to>
      <xdr:col>23</xdr:col>
      <xdr:colOff>317295</xdr:colOff>
      <xdr:row>36</xdr:row>
      <xdr:rowOff>33617</xdr:rowOff>
    </xdr:to>
    <xdr:cxnSp macro="">
      <xdr:nvCxnSpPr>
        <xdr:cNvPr id="60" name="Conector de seta reta 59"/>
        <xdr:cNvCxnSpPr>
          <a:stCxn id="36" idx="2"/>
          <a:endCxn id="54" idx="0"/>
        </xdr:cNvCxnSpPr>
      </xdr:nvCxnSpPr>
      <xdr:spPr>
        <a:xfrm>
          <a:off x="14291221" y="5637120"/>
          <a:ext cx="11015" cy="12544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311042</xdr:colOff>
      <xdr:row>29</xdr:row>
      <xdr:rowOff>103654</xdr:rowOff>
    </xdr:from>
    <xdr:to>
      <xdr:col>3</xdr:col>
      <xdr:colOff>291353</xdr:colOff>
      <xdr:row>38</xdr:row>
      <xdr:rowOff>32778</xdr:rowOff>
    </xdr:to>
    <xdr:cxnSp macro="">
      <xdr:nvCxnSpPr>
        <xdr:cNvPr id="62" name="Conector angulado 61"/>
        <xdr:cNvCxnSpPr>
          <a:stCxn id="33" idx="2"/>
          <a:endCxn id="52" idx="1"/>
        </xdr:cNvCxnSpPr>
      </xdr:nvCxnSpPr>
      <xdr:spPr>
        <a:xfrm rot="16200000" flipH="1">
          <a:off x="689621" y="5854693"/>
          <a:ext cx="1643624" cy="119054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276000</xdr:colOff>
      <xdr:row>29</xdr:row>
      <xdr:rowOff>109819</xdr:rowOff>
    </xdr:from>
    <xdr:to>
      <xdr:col>8</xdr:col>
      <xdr:colOff>312724</xdr:colOff>
      <xdr:row>38</xdr:row>
      <xdr:rowOff>32779</xdr:rowOff>
    </xdr:to>
    <xdr:cxnSp macro="">
      <xdr:nvCxnSpPr>
        <xdr:cNvPr id="64" name="Conector angulado 63"/>
        <xdr:cNvCxnSpPr>
          <a:stCxn id="34" idx="2"/>
          <a:endCxn id="52" idx="3"/>
        </xdr:cNvCxnSpPr>
      </xdr:nvCxnSpPr>
      <xdr:spPr>
        <a:xfrm rot="5400000">
          <a:off x="3711456" y="5829569"/>
          <a:ext cx="1637460" cy="124695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190501</xdr:colOff>
      <xdr:row>49</xdr:row>
      <xdr:rowOff>22413</xdr:rowOff>
    </xdr:from>
    <xdr:to>
      <xdr:col>13</xdr:col>
      <xdr:colOff>616413</xdr:colOff>
      <xdr:row>53</xdr:row>
      <xdr:rowOff>20733</xdr:rowOff>
    </xdr:to>
    <xdr:sp macro="" textlink="">
      <xdr:nvSpPr>
        <xdr:cNvPr id="69" name="Retângulo 68"/>
        <xdr:cNvSpPr/>
      </xdr:nvSpPr>
      <xdr:spPr>
        <a:xfrm>
          <a:off x="5636560" y="9356913"/>
          <a:ext cx="2880000" cy="7603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ÁREA</a:t>
          </a:r>
        </a:p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VELHA</a:t>
          </a:r>
        </a:p>
      </xdr:txBody>
    </xdr:sp>
    <xdr:clientData/>
  </xdr:twoCellAnchor>
  <xdr:twoCellAnchor>
    <xdr:from>
      <xdr:col>15</xdr:col>
      <xdr:colOff>179293</xdr:colOff>
      <xdr:row>49</xdr:row>
      <xdr:rowOff>22412</xdr:rowOff>
    </xdr:from>
    <xdr:to>
      <xdr:col>20</xdr:col>
      <xdr:colOff>33705</xdr:colOff>
      <xdr:row>53</xdr:row>
      <xdr:rowOff>20732</xdr:rowOff>
    </xdr:to>
    <xdr:sp macro="" textlink="">
      <xdr:nvSpPr>
        <xdr:cNvPr id="70" name="Retângulo 69"/>
        <xdr:cNvSpPr/>
      </xdr:nvSpPr>
      <xdr:spPr>
        <a:xfrm>
          <a:off x="9323293" y="9356912"/>
          <a:ext cx="2880000" cy="7603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ÁREA</a:t>
          </a:r>
        </a:p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NOVA</a:t>
          </a:r>
        </a:p>
      </xdr:txBody>
    </xdr:sp>
    <xdr:clientData/>
  </xdr:twoCellAnchor>
  <xdr:twoCellAnchor>
    <xdr:from>
      <xdr:col>2</xdr:col>
      <xdr:colOff>459443</xdr:colOff>
      <xdr:row>65</xdr:row>
      <xdr:rowOff>112057</xdr:rowOff>
    </xdr:from>
    <xdr:to>
      <xdr:col>26</xdr:col>
      <xdr:colOff>269384</xdr:colOff>
      <xdr:row>72</xdr:row>
      <xdr:rowOff>112058</xdr:rowOff>
    </xdr:to>
    <xdr:sp macro="" textlink="">
      <xdr:nvSpPr>
        <xdr:cNvPr id="71" name="Retângulo 70"/>
        <xdr:cNvSpPr/>
      </xdr:nvSpPr>
      <xdr:spPr>
        <a:xfrm>
          <a:off x="1669678" y="12494557"/>
          <a:ext cx="14400000" cy="1333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PÍER</a:t>
          </a:r>
          <a:endParaRPr lang="pt-BR" sz="10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pt-BR" sz="1000" baseline="0">
              <a:latin typeface="Arial" panose="020B0604020202020204" pitchFamily="34" charset="0"/>
              <a:cs typeface="Arial" panose="020B0604020202020204" pitchFamily="34" charset="0"/>
            </a:rPr>
            <a:t>1 E 2</a:t>
          </a:r>
          <a:endParaRPr lang="pt-BR" sz="1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420267</xdr:colOff>
      <xdr:row>19</xdr:row>
      <xdr:rowOff>10799</xdr:rowOff>
    </xdr:from>
    <xdr:to>
      <xdr:col>14</xdr:col>
      <xdr:colOff>332619</xdr:colOff>
      <xdr:row>49</xdr:row>
      <xdr:rowOff>22412</xdr:rowOff>
    </xdr:to>
    <xdr:cxnSp macro="">
      <xdr:nvCxnSpPr>
        <xdr:cNvPr id="73" name="Conector angulado 72"/>
        <xdr:cNvCxnSpPr>
          <a:endCxn id="69" idx="0"/>
        </xdr:cNvCxnSpPr>
      </xdr:nvCxnSpPr>
      <xdr:spPr>
        <a:xfrm rot="5400000">
          <a:off x="5110724" y="5596136"/>
          <a:ext cx="5726613" cy="1794940"/>
        </a:xfrm>
        <a:prstGeom prst="bentConnector3">
          <a:avLst>
            <a:gd name="adj1" fmla="val 8835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332617</xdr:colOff>
      <xdr:row>9</xdr:row>
      <xdr:rowOff>10800</xdr:rowOff>
    </xdr:from>
    <xdr:to>
      <xdr:col>17</xdr:col>
      <xdr:colOff>409058</xdr:colOff>
      <xdr:row>49</xdr:row>
      <xdr:rowOff>22412</xdr:rowOff>
    </xdr:to>
    <xdr:cxnSp macro="">
      <xdr:nvCxnSpPr>
        <xdr:cNvPr id="77" name="Conector angulado 76"/>
        <xdr:cNvCxnSpPr>
          <a:stCxn id="2" idx="2"/>
          <a:endCxn id="70" idx="0"/>
        </xdr:cNvCxnSpPr>
      </xdr:nvCxnSpPr>
      <xdr:spPr>
        <a:xfrm rot="16200000" flipH="1">
          <a:off x="6001590" y="4595209"/>
          <a:ext cx="7631612" cy="1891794"/>
        </a:xfrm>
        <a:prstGeom prst="bentConnector3">
          <a:avLst>
            <a:gd name="adj1" fmla="val 9126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330797</xdr:colOff>
      <xdr:row>9</xdr:row>
      <xdr:rowOff>10800</xdr:rowOff>
    </xdr:from>
    <xdr:to>
      <xdr:col>14</xdr:col>
      <xdr:colOff>332618</xdr:colOff>
      <xdr:row>65</xdr:row>
      <xdr:rowOff>112057</xdr:rowOff>
    </xdr:to>
    <xdr:cxnSp macro="">
      <xdr:nvCxnSpPr>
        <xdr:cNvPr id="80" name="Conector angulado 79"/>
        <xdr:cNvCxnSpPr>
          <a:stCxn id="2" idx="2"/>
          <a:endCxn id="71" idx="0"/>
        </xdr:cNvCxnSpPr>
      </xdr:nvCxnSpPr>
      <xdr:spPr>
        <a:xfrm rot="5400000">
          <a:off x="3485961" y="7109018"/>
          <a:ext cx="10769257" cy="182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459443</xdr:colOff>
      <xdr:row>40</xdr:row>
      <xdr:rowOff>31938</xdr:rowOff>
    </xdr:from>
    <xdr:to>
      <xdr:col>4</xdr:col>
      <xdr:colOff>586235</xdr:colOff>
      <xdr:row>69</xdr:row>
      <xdr:rowOff>16808</xdr:rowOff>
    </xdr:to>
    <xdr:cxnSp macro="">
      <xdr:nvCxnSpPr>
        <xdr:cNvPr id="98" name="Conector angulado 97"/>
        <xdr:cNvCxnSpPr>
          <a:stCxn id="52" idx="2"/>
          <a:endCxn id="71" idx="1"/>
        </xdr:cNvCxnSpPr>
      </xdr:nvCxnSpPr>
      <xdr:spPr>
        <a:xfrm rot="5400000">
          <a:off x="-416493" y="9738109"/>
          <a:ext cx="5509370" cy="1337028"/>
        </a:xfrm>
        <a:prstGeom prst="bentConnector4">
          <a:avLst>
            <a:gd name="adj1" fmla="val 77510"/>
            <a:gd name="adj2" fmla="val 2009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586236</xdr:colOff>
      <xdr:row>40</xdr:row>
      <xdr:rowOff>31937</xdr:rowOff>
    </xdr:from>
    <xdr:to>
      <xdr:col>9</xdr:col>
      <xdr:colOff>190502</xdr:colOff>
      <xdr:row>51</xdr:row>
      <xdr:rowOff>21572</xdr:rowOff>
    </xdr:to>
    <xdr:cxnSp macro="">
      <xdr:nvCxnSpPr>
        <xdr:cNvPr id="104" name="Conector angulado 103"/>
        <xdr:cNvCxnSpPr>
          <a:stCxn id="52" idx="2"/>
          <a:endCxn id="69" idx="1"/>
        </xdr:cNvCxnSpPr>
      </xdr:nvCxnSpPr>
      <xdr:spPr>
        <a:xfrm rot="16200000" flipH="1">
          <a:off x="3279066" y="7379578"/>
          <a:ext cx="2085135" cy="262985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33706</xdr:colOff>
      <xdr:row>40</xdr:row>
      <xdr:rowOff>31937</xdr:rowOff>
    </xdr:from>
    <xdr:to>
      <xdr:col>23</xdr:col>
      <xdr:colOff>317296</xdr:colOff>
      <xdr:row>51</xdr:row>
      <xdr:rowOff>21572</xdr:rowOff>
    </xdr:to>
    <xdr:cxnSp macro="">
      <xdr:nvCxnSpPr>
        <xdr:cNvPr id="112" name="Conector angulado 111"/>
        <xdr:cNvCxnSpPr>
          <a:stCxn id="54" idx="2"/>
          <a:endCxn id="70" idx="3"/>
        </xdr:cNvCxnSpPr>
      </xdr:nvCxnSpPr>
      <xdr:spPr>
        <a:xfrm rot="5400000">
          <a:off x="12210198" y="7645033"/>
          <a:ext cx="2085135" cy="209894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317296</xdr:colOff>
      <xdr:row>40</xdr:row>
      <xdr:rowOff>31936</xdr:rowOff>
    </xdr:from>
    <xdr:to>
      <xdr:col>26</xdr:col>
      <xdr:colOff>269385</xdr:colOff>
      <xdr:row>69</xdr:row>
      <xdr:rowOff>16807</xdr:rowOff>
    </xdr:to>
    <xdr:cxnSp macro="">
      <xdr:nvCxnSpPr>
        <xdr:cNvPr id="114" name="Conector angulado 113"/>
        <xdr:cNvCxnSpPr>
          <a:stCxn id="54" idx="2"/>
          <a:endCxn id="71" idx="3"/>
        </xdr:cNvCxnSpPr>
      </xdr:nvCxnSpPr>
      <xdr:spPr>
        <a:xfrm rot="16200000" flipH="1">
          <a:off x="12431272" y="9522901"/>
          <a:ext cx="5509371" cy="1767442"/>
        </a:xfrm>
        <a:prstGeom prst="bentConnector4">
          <a:avLst>
            <a:gd name="adj1" fmla="val 37803"/>
            <a:gd name="adj2" fmla="val 11293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43</xdr:row>
      <xdr:rowOff>0</xdr:rowOff>
    </xdr:from>
    <xdr:to>
      <xdr:col>31</xdr:col>
      <xdr:colOff>7443</xdr:colOff>
      <xdr:row>45</xdr:row>
      <xdr:rowOff>9525</xdr:rowOff>
    </xdr:to>
    <xdr:sp macro="" textlink="">
      <xdr:nvSpPr>
        <xdr:cNvPr id="133" name="Retângulo 132"/>
        <xdr:cNvSpPr/>
      </xdr:nvSpPr>
      <xdr:spPr>
        <a:xfrm>
          <a:off x="18220765" y="8191500"/>
          <a:ext cx="612560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Arial" panose="020B0604020202020204" pitchFamily="34" charset="0"/>
              <a:cs typeface="Arial" panose="020B0604020202020204" pitchFamily="34" charset="0"/>
            </a:rPr>
            <a:t>AMT</a:t>
          </a:r>
        </a:p>
      </xdr:txBody>
    </xdr:sp>
    <xdr:clientData/>
  </xdr:twoCellAnchor>
  <xdr:twoCellAnchor>
    <xdr:from>
      <xdr:col>10</xdr:col>
      <xdr:colOff>291356</xdr:colOff>
      <xdr:row>53</xdr:row>
      <xdr:rowOff>11206</xdr:rowOff>
    </xdr:from>
    <xdr:to>
      <xdr:col>10</xdr:col>
      <xdr:colOff>291356</xdr:colOff>
      <xdr:row>65</xdr:row>
      <xdr:rowOff>123265</xdr:rowOff>
    </xdr:to>
    <xdr:cxnSp macro="">
      <xdr:nvCxnSpPr>
        <xdr:cNvPr id="137" name="Conector de seta reta 136"/>
        <xdr:cNvCxnSpPr/>
      </xdr:nvCxnSpPr>
      <xdr:spPr>
        <a:xfrm>
          <a:off x="6342532" y="10107706"/>
          <a:ext cx="0" cy="23980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336173</xdr:colOff>
      <xdr:row>53</xdr:row>
      <xdr:rowOff>33618</xdr:rowOff>
    </xdr:from>
    <xdr:to>
      <xdr:col>18</xdr:col>
      <xdr:colOff>336173</xdr:colOff>
      <xdr:row>65</xdr:row>
      <xdr:rowOff>145677</xdr:rowOff>
    </xdr:to>
    <xdr:cxnSp macro="">
      <xdr:nvCxnSpPr>
        <xdr:cNvPr id="138" name="Conector de seta reta 137"/>
        <xdr:cNvCxnSpPr/>
      </xdr:nvCxnSpPr>
      <xdr:spPr>
        <a:xfrm>
          <a:off x="11295526" y="10130118"/>
          <a:ext cx="0" cy="23980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54429</xdr:colOff>
      <xdr:row>27</xdr:row>
      <xdr:rowOff>108860</xdr:rowOff>
    </xdr:from>
    <xdr:to>
      <xdr:col>36</xdr:col>
      <xdr:colOff>56829</xdr:colOff>
      <xdr:row>29</xdr:row>
      <xdr:rowOff>118385</xdr:rowOff>
    </xdr:to>
    <xdr:sp macro="" textlink="">
      <xdr:nvSpPr>
        <xdr:cNvPr id="146" name="Retângulo 145"/>
        <xdr:cNvSpPr/>
      </xdr:nvSpPr>
      <xdr:spPr>
        <a:xfrm>
          <a:off x="21744215" y="5252360"/>
          <a:ext cx="614721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Arial" panose="020B0604020202020204" pitchFamily="34" charset="0"/>
              <a:cs typeface="Arial" panose="020B0604020202020204" pitchFamily="34" charset="0"/>
            </a:rPr>
            <a:t>USINA 8</a:t>
          </a:r>
        </a:p>
      </xdr:txBody>
    </xdr:sp>
    <xdr:clientData/>
  </xdr:twoCellAnchor>
  <xdr:twoCellAnchor>
    <xdr:from>
      <xdr:col>34</xdr:col>
      <xdr:colOff>299357</xdr:colOff>
      <xdr:row>20</xdr:row>
      <xdr:rowOff>13607</xdr:rowOff>
    </xdr:from>
    <xdr:to>
      <xdr:col>36</xdr:col>
      <xdr:colOff>416978</xdr:colOff>
      <xdr:row>22</xdr:row>
      <xdr:rowOff>23132</xdr:rowOff>
    </xdr:to>
    <xdr:sp macro="" textlink="">
      <xdr:nvSpPr>
        <xdr:cNvPr id="147" name="Retângulo 146"/>
        <xdr:cNvSpPr/>
      </xdr:nvSpPr>
      <xdr:spPr>
        <a:xfrm>
          <a:off x="21376821" y="3823607"/>
          <a:ext cx="1342264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Arial" panose="020B0604020202020204" pitchFamily="34" charset="0"/>
              <a:cs typeface="Arial" panose="020B0604020202020204" pitchFamily="34" charset="0"/>
            </a:rPr>
            <a:t>PÁTIO</a:t>
          </a:r>
          <a:r>
            <a:rPr lang="pt-BR" sz="800" baseline="0">
              <a:latin typeface="Arial" panose="020B0604020202020204" pitchFamily="34" charset="0"/>
              <a:cs typeface="Arial" panose="020B0604020202020204" pitchFamily="34" charset="0"/>
            </a:rPr>
            <a:t> L e M</a:t>
          </a:r>
          <a:endParaRPr lang="pt-BR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342623</xdr:colOff>
      <xdr:row>9</xdr:row>
      <xdr:rowOff>10799</xdr:rowOff>
    </xdr:from>
    <xdr:to>
      <xdr:col>35</xdr:col>
      <xdr:colOff>358168</xdr:colOff>
      <xdr:row>20</xdr:row>
      <xdr:rowOff>13606</xdr:rowOff>
    </xdr:to>
    <xdr:cxnSp macro="">
      <xdr:nvCxnSpPr>
        <xdr:cNvPr id="149" name="Conector angulado 148"/>
        <xdr:cNvCxnSpPr>
          <a:stCxn id="2" idx="2"/>
          <a:endCxn id="147" idx="0"/>
        </xdr:cNvCxnSpPr>
      </xdr:nvCxnSpPr>
      <xdr:spPr>
        <a:xfrm rot="16200000" flipH="1">
          <a:off x="14500420" y="-3723927"/>
          <a:ext cx="2098307" cy="12996760"/>
        </a:xfrm>
        <a:prstGeom prst="bentConnector3">
          <a:avLst>
            <a:gd name="adj1" fmla="val 2665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40806</xdr:colOff>
      <xdr:row>36</xdr:row>
      <xdr:rowOff>27215</xdr:rowOff>
    </xdr:from>
    <xdr:to>
      <xdr:col>37</xdr:col>
      <xdr:colOff>66274</xdr:colOff>
      <xdr:row>40</xdr:row>
      <xdr:rowOff>25535</xdr:rowOff>
    </xdr:to>
    <xdr:sp macro="" textlink="">
      <xdr:nvSpPr>
        <xdr:cNvPr id="155" name="Retângulo 154"/>
        <xdr:cNvSpPr/>
      </xdr:nvSpPr>
      <xdr:spPr>
        <a:xfrm>
          <a:off x="21118270" y="6885215"/>
          <a:ext cx="1862433" cy="7603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PÁTIO</a:t>
          </a:r>
          <a:r>
            <a:rPr lang="pt-BR" sz="1000" baseline="0">
              <a:latin typeface="Arial" panose="020B0604020202020204" pitchFamily="34" charset="0"/>
              <a:cs typeface="Arial" panose="020B0604020202020204" pitchFamily="34" charset="0"/>
            </a:rPr>
            <a:t> DE PELOTAS</a:t>
          </a:r>
        </a:p>
        <a:p>
          <a:pPr algn="ctr"/>
          <a:r>
            <a:rPr lang="pt-BR" sz="1000" baseline="0">
              <a:latin typeface="Arial" panose="020B0604020202020204" pitchFamily="34" charset="0"/>
              <a:cs typeface="Arial" panose="020B0604020202020204" pitchFamily="34" charset="0"/>
            </a:rPr>
            <a:t>Usina 8</a:t>
          </a:r>
          <a:endParaRPr lang="pt-BR" sz="1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35</xdr:col>
      <xdr:colOff>359701</xdr:colOff>
      <xdr:row>29</xdr:row>
      <xdr:rowOff>118385</xdr:rowOff>
    </xdr:from>
    <xdr:to>
      <xdr:col>35</xdr:col>
      <xdr:colOff>361790</xdr:colOff>
      <xdr:row>36</xdr:row>
      <xdr:rowOff>27215</xdr:rowOff>
    </xdr:to>
    <xdr:cxnSp macro="">
      <xdr:nvCxnSpPr>
        <xdr:cNvPr id="156" name="Conector de seta reta 155"/>
        <xdr:cNvCxnSpPr>
          <a:stCxn id="146" idx="2"/>
          <a:endCxn id="155" idx="0"/>
        </xdr:cNvCxnSpPr>
      </xdr:nvCxnSpPr>
      <xdr:spPr>
        <a:xfrm flipH="1">
          <a:off x="22049487" y="5642885"/>
          <a:ext cx="2089" cy="12423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358167</xdr:colOff>
      <xdr:row>22</xdr:row>
      <xdr:rowOff>23132</xdr:rowOff>
    </xdr:from>
    <xdr:to>
      <xdr:col>35</xdr:col>
      <xdr:colOff>361790</xdr:colOff>
      <xdr:row>27</xdr:row>
      <xdr:rowOff>108860</xdr:rowOff>
    </xdr:to>
    <xdr:cxnSp macro="">
      <xdr:nvCxnSpPr>
        <xdr:cNvPr id="158" name="Conector de seta reta 157"/>
        <xdr:cNvCxnSpPr>
          <a:stCxn id="147" idx="2"/>
          <a:endCxn id="146" idx="0"/>
        </xdr:cNvCxnSpPr>
      </xdr:nvCxnSpPr>
      <xdr:spPr>
        <a:xfrm>
          <a:off x="22047953" y="4214132"/>
          <a:ext cx="3623" cy="10382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269385</xdr:colOff>
      <xdr:row>40</xdr:row>
      <xdr:rowOff>25534</xdr:rowOff>
    </xdr:from>
    <xdr:to>
      <xdr:col>35</xdr:col>
      <xdr:colOff>359702</xdr:colOff>
      <xdr:row>69</xdr:row>
      <xdr:rowOff>16807</xdr:rowOff>
    </xdr:to>
    <xdr:cxnSp macro="">
      <xdr:nvCxnSpPr>
        <xdr:cNvPr id="4" name="Conector angulado 3"/>
        <xdr:cNvCxnSpPr>
          <a:stCxn id="155" idx="2"/>
          <a:endCxn id="71" idx="3"/>
        </xdr:cNvCxnSpPr>
      </xdr:nvCxnSpPr>
      <xdr:spPr>
        <a:xfrm rot="5400000">
          <a:off x="16722317" y="7602816"/>
          <a:ext cx="5515773" cy="560121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7443</xdr:colOff>
      <xdr:row>40</xdr:row>
      <xdr:rowOff>25535</xdr:rowOff>
    </xdr:from>
    <xdr:to>
      <xdr:col>35</xdr:col>
      <xdr:colOff>359701</xdr:colOff>
      <xdr:row>44</xdr:row>
      <xdr:rowOff>4763</xdr:rowOff>
    </xdr:to>
    <xdr:cxnSp macro="">
      <xdr:nvCxnSpPr>
        <xdr:cNvPr id="5" name="Conector angulado 4"/>
        <xdr:cNvCxnSpPr>
          <a:stCxn id="155" idx="2"/>
          <a:endCxn id="133" idx="3"/>
        </xdr:cNvCxnSpPr>
      </xdr:nvCxnSpPr>
      <xdr:spPr>
        <a:xfrm rot="5400000">
          <a:off x="20591065" y="6615377"/>
          <a:ext cx="741228" cy="280154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689883</xdr:colOff>
      <xdr:row>7</xdr:row>
      <xdr:rowOff>46263</xdr:rowOff>
    </xdr:from>
    <xdr:to>
      <xdr:col>16</xdr:col>
      <xdr:colOff>36182</xdr:colOff>
      <xdr:row>9</xdr:row>
      <xdr:rowOff>133263</xdr:rowOff>
    </xdr:to>
    <xdr:sp macro="" textlink="">
      <xdr:nvSpPr>
        <xdr:cNvPr id="2" name="Retângulo 1"/>
        <xdr:cNvSpPr/>
      </xdr:nvSpPr>
      <xdr:spPr>
        <a:xfrm>
          <a:off x="8214633" y="1379763"/>
          <a:ext cx="2054120" cy="46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TPM</a:t>
          </a:r>
        </a:p>
      </xdr:txBody>
    </xdr:sp>
    <xdr:clientData/>
  </xdr:twoCellAnchor>
  <xdr:twoCellAnchor>
    <xdr:from>
      <xdr:col>11</xdr:col>
      <xdr:colOff>367393</xdr:colOff>
      <xdr:row>4</xdr:row>
      <xdr:rowOff>27214</xdr:rowOff>
    </xdr:from>
    <xdr:to>
      <xdr:col>12</xdr:col>
      <xdr:colOff>689883</xdr:colOff>
      <xdr:row>8</xdr:row>
      <xdr:rowOff>89763</xdr:rowOff>
    </xdr:to>
    <xdr:cxnSp macro="">
      <xdr:nvCxnSpPr>
        <xdr:cNvPr id="7" name="Conector angulado 6"/>
        <xdr:cNvCxnSpPr>
          <a:endCxn id="2" idx="1"/>
        </xdr:cNvCxnSpPr>
      </xdr:nvCxnSpPr>
      <xdr:spPr>
        <a:xfrm>
          <a:off x="7170964" y="789214"/>
          <a:ext cx="1043669" cy="824549"/>
        </a:xfrm>
        <a:prstGeom prst="bentConnector3">
          <a:avLst>
            <a:gd name="adj1" fmla="val 45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36183</xdr:colOff>
      <xdr:row>3</xdr:row>
      <xdr:rowOff>190499</xdr:rowOff>
    </xdr:from>
    <xdr:to>
      <xdr:col>17</xdr:col>
      <xdr:colOff>312965</xdr:colOff>
      <xdr:row>8</xdr:row>
      <xdr:rowOff>89762</xdr:rowOff>
    </xdr:to>
    <xdr:cxnSp macro="">
      <xdr:nvCxnSpPr>
        <xdr:cNvPr id="10" name="Conector angulado 9"/>
        <xdr:cNvCxnSpPr>
          <a:endCxn id="2" idx="3"/>
        </xdr:cNvCxnSpPr>
      </xdr:nvCxnSpPr>
      <xdr:spPr>
        <a:xfrm rot="10800000" flipV="1">
          <a:off x="10350397" y="761999"/>
          <a:ext cx="902711" cy="851763"/>
        </a:xfrm>
        <a:prstGeom prst="bentConnector3">
          <a:avLst>
            <a:gd name="adj1" fmla="val 2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381000</xdr:colOff>
      <xdr:row>4</xdr:row>
      <xdr:rowOff>0</xdr:rowOff>
    </xdr:from>
    <xdr:to>
      <xdr:col>13</xdr:col>
      <xdr:colOff>381000</xdr:colOff>
      <xdr:row>7</xdr:row>
      <xdr:rowOff>40821</xdr:rowOff>
    </xdr:to>
    <xdr:cxnSp macro="">
      <xdr:nvCxnSpPr>
        <xdr:cNvPr id="13" name="Conector de seta reta 12"/>
        <xdr:cNvCxnSpPr/>
      </xdr:nvCxnSpPr>
      <xdr:spPr>
        <a:xfrm>
          <a:off x="8626929" y="762000"/>
          <a:ext cx="0" cy="6123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353785</xdr:colOff>
      <xdr:row>4</xdr:row>
      <xdr:rowOff>0</xdr:rowOff>
    </xdr:from>
    <xdr:to>
      <xdr:col>15</xdr:col>
      <xdr:colOff>353785</xdr:colOff>
      <xdr:row>7</xdr:row>
      <xdr:rowOff>40821</xdr:rowOff>
    </xdr:to>
    <xdr:cxnSp macro="">
      <xdr:nvCxnSpPr>
        <xdr:cNvPr id="14" name="Conector de seta reta 13"/>
        <xdr:cNvCxnSpPr/>
      </xdr:nvCxnSpPr>
      <xdr:spPr>
        <a:xfrm>
          <a:off x="10042071" y="762000"/>
          <a:ext cx="0" cy="6123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585107</xdr:colOff>
      <xdr:row>20</xdr:row>
      <xdr:rowOff>54429</xdr:rowOff>
    </xdr:from>
    <xdr:to>
      <xdr:col>19</xdr:col>
      <xdr:colOff>149122</xdr:colOff>
      <xdr:row>22</xdr:row>
      <xdr:rowOff>141429</xdr:rowOff>
    </xdr:to>
    <xdr:sp macro="" textlink="">
      <xdr:nvSpPr>
        <xdr:cNvPr id="15" name="Retângulo 14"/>
        <xdr:cNvSpPr/>
      </xdr:nvSpPr>
      <xdr:spPr>
        <a:xfrm>
          <a:off x="11525250" y="3864429"/>
          <a:ext cx="802265" cy="46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AMT</a:t>
          </a:r>
        </a:p>
      </xdr:txBody>
    </xdr:sp>
    <xdr:clientData/>
  </xdr:twoCellAnchor>
  <xdr:twoCellAnchor>
    <xdr:from>
      <xdr:col>14</xdr:col>
      <xdr:colOff>233765</xdr:colOff>
      <xdr:row>9</xdr:row>
      <xdr:rowOff>133263</xdr:rowOff>
    </xdr:from>
    <xdr:to>
      <xdr:col>18</xdr:col>
      <xdr:colOff>360312</xdr:colOff>
      <xdr:row>20</xdr:row>
      <xdr:rowOff>54429</xdr:rowOff>
    </xdr:to>
    <xdr:cxnSp macro="">
      <xdr:nvCxnSpPr>
        <xdr:cNvPr id="17" name="Conector angulado 16"/>
        <xdr:cNvCxnSpPr>
          <a:stCxn id="2" idx="2"/>
          <a:endCxn id="15" idx="0"/>
        </xdr:cNvCxnSpPr>
      </xdr:nvCxnSpPr>
      <xdr:spPr>
        <a:xfrm rot="16200000" flipH="1">
          <a:off x="9596116" y="1534162"/>
          <a:ext cx="2016666" cy="264386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530678</xdr:colOff>
      <xdr:row>20</xdr:row>
      <xdr:rowOff>40821</xdr:rowOff>
    </xdr:from>
    <xdr:to>
      <xdr:col>11</xdr:col>
      <xdr:colOff>40265</xdr:colOff>
      <xdr:row>22</xdr:row>
      <xdr:rowOff>127821</xdr:rowOff>
    </xdr:to>
    <xdr:sp macro="" textlink="">
      <xdr:nvSpPr>
        <xdr:cNvPr id="19" name="Retângulo 18"/>
        <xdr:cNvSpPr/>
      </xdr:nvSpPr>
      <xdr:spPr>
        <a:xfrm>
          <a:off x="6041571" y="3850821"/>
          <a:ext cx="802265" cy="46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Pátio de Carvão</a:t>
          </a:r>
        </a:p>
      </xdr:txBody>
    </xdr:sp>
    <xdr:clientData/>
  </xdr:twoCellAnchor>
  <xdr:twoCellAnchor>
    <xdr:from>
      <xdr:col>10</xdr:col>
      <xdr:colOff>319490</xdr:colOff>
      <xdr:row>9</xdr:row>
      <xdr:rowOff>133264</xdr:rowOff>
    </xdr:from>
    <xdr:to>
      <xdr:col>14</xdr:col>
      <xdr:colOff>233765</xdr:colOff>
      <xdr:row>20</xdr:row>
      <xdr:rowOff>40822</xdr:rowOff>
    </xdr:to>
    <xdr:cxnSp macro="">
      <xdr:nvCxnSpPr>
        <xdr:cNvPr id="21" name="Conector angulado 20"/>
        <xdr:cNvCxnSpPr>
          <a:stCxn id="2" idx="2"/>
          <a:endCxn id="19" idx="0"/>
        </xdr:cNvCxnSpPr>
      </xdr:nvCxnSpPr>
      <xdr:spPr>
        <a:xfrm rot="5400000">
          <a:off x="6861081" y="1429387"/>
          <a:ext cx="2003058" cy="2839811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390805</xdr:colOff>
      <xdr:row>31</xdr:row>
      <xdr:rowOff>35378</xdr:rowOff>
    </xdr:from>
    <xdr:to>
      <xdr:col>11</xdr:col>
      <xdr:colOff>178127</xdr:colOff>
      <xdr:row>33</xdr:row>
      <xdr:rowOff>187778</xdr:rowOff>
    </xdr:to>
    <xdr:sp macro="" textlink="">
      <xdr:nvSpPr>
        <xdr:cNvPr id="23" name="Retângulo 22"/>
        <xdr:cNvSpPr/>
      </xdr:nvSpPr>
      <xdr:spPr bwMode="auto">
        <a:xfrm>
          <a:off x="5901698" y="5940878"/>
          <a:ext cx="1080000" cy="533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Embarque Vagão</a:t>
          </a:r>
        </a:p>
      </xdr:txBody>
    </xdr:sp>
    <xdr:clientData/>
  </xdr:twoCellAnchor>
  <xdr:twoCellAnchor>
    <xdr:from>
      <xdr:col>10</xdr:col>
      <xdr:colOff>318484</xdr:colOff>
      <xdr:row>22</xdr:row>
      <xdr:rowOff>127821</xdr:rowOff>
    </xdr:from>
    <xdr:to>
      <xdr:col>10</xdr:col>
      <xdr:colOff>319490</xdr:colOff>
      <xdr:row>31</xdr:row>
      <xdr:rowOff>35378</xdr:rowOff>
    </xdr:to>
    <xdr:cxnSp macro="">
      <xdr:nvCxnSpPr>
        <xdr:cNvPr id="26" name="Conector de seta reta 25"/>
        <xdr:cNvCxnSpPr>
          <a:stCxn id="19" idx="2"/>
          <a:endCxn id="23" idx="0"/>
        </xdr:cNvCxnSpPr>
      </xdr:nvCxnSpPr>
      <xdr:spPr>
        <a:xfrm flipH="1">
          <a:off x="6441698" y="4318821"/>
          <a:ext cx="1006" cy="1622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276225</xdr:colOff>
      <xdr:row>188</xdr:row>
      <xdr:rowOff>138112</xdr:rowOff>
    </xdr:from>
    <xdr:ext cx="2260875" cy="65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6838950" y="35571112"/>
              <a:ext cx="2260875" cy="65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𝑇𝐸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×0,0016 × </m:t>
                        </m:r>
                        <m:f>
                          <m:f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𝑈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2,2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1,3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𝑀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1,4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6838950" y="35571112"/>
              <a:ext cx="2260875" cy="65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〖𝑇𝐸〗_𝑖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[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𝑘_𝑖  ×0,0016 × (𝑈/2,2)^1,3/(𝑀/2)^1,4 ]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×𝑄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571498</xdr:colOff>
      <xdr:row>7</xdr:row>
      <xdr:rowOff>27212</xdr:rowOff>
    </xdr:from>
    <xdr:to>
      <xdr:col>14</xdr:col>
      <xdr:colOff>40821</xdr:colOff>
      <xdr:row>9</xdr:row>
      <xdr:rowOff>114212</xdr:rowOff>
    </xdr:to>
    <xdr:sp macro="" textlink="">
      <xdr:nvSpPr>
        <xdr:cNvPr id="9" name="Retângulo 8"/>
        <xdr:cNvSpPr/>
      </xdr:nvSpPr>
      <xdr:spPr>
        <a:xfrm>
          <a:off x="7919355" y="1319891"/>
          <a:ext cx="693966" cy="46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MOEGA</a:t>
          </a:r>
        </a:p>
      </xdr:txBody>
    </xdr:sp>
    <xdr:clientData/>
  </xdr:twoCellAnchor>
  <xdr:twoCellAnchor>
    <xdr:from>
      <xdr:col>7</xdr:col>
      <xdr:colOff>244928</xdr:colOff>
      <xdr:row>25</xdr:row>
      <xdr:rowOff>68036</xdr:rowOff>
    </xdr:from>
    <xdr:to>
      <xdr:col>8</xdr:col>
      <xdr:colOff>244372</xdr:colOff>
      <xdr:row>27</xdr:row>
      <xdr:rowOff>155036</xdr:rowOff>
    </xdr:to>
    <xdr:sp macro="" textlink="">
      <xdr:nvSpPr>
        <xdr:cNvPr id="3" name="Retângulo 2"/>
        <xdr:cNvSpPr/>
      </xdr:nvSpPr>
      <xdr:spPr>
        <a:xfrm>
          <a:off x="4531178" y="4830536"/>
          <a:ext cx="611765" cy="46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PÍER 3</a:t>
          </a:r>
        </a:p>
      </xdr:txBody>
    </xdr:sp>
    <xdr:clientData/>
  </xdr:twoCellAnchor>
  <xdr:twoCellAnchor>
    <xdr:from>
      <xdr:col>21</xdr:col>
      <xdr:colOff>1</xdr:colOff>
      <xdr:row>24</xdr:row>
      <xdr:rowOff>27215</xdr:rowOff>
    </xdr:from>
    <xdr:to>
      <xdr:col>21</xdr:col>
      <xdr:colOff>611767</xdr:colOff>
      <xdr:row>26</xdr:row>
      <xdr:rowOff>141430</xdr:rowOff>
    </xdr:to>
    <xdr:sp macro="" textlink="">
      <xdr:nvSpPr>
        <xdr:cNvPr id="5" name="Retângulo 4"/>
        <xdr:cNvSpPr/>
      </xdr:nvSpPr>
      <xdr:spPr>
        <a:xfrm>
          <a:off x="13158108" y="4599215"/>
          <a:ext cx="611766" cy="4952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PÍER 4</a:t>
          </a:r>
          <a:endParaRPr lang="pt-BR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476251</xdr:colOff>
      <xdr:row>21</xdr:row>
      <xdr:rowOff>54427</xdr:rowOff>
    </xdr:from>
    <xdr:to>
      <xdr:col>14</xdr:col>
      <xdr:colOff>81644</xdr:colOff>
      <xdr:row>24</xdr:row>
      <xdr:rowOff>32570</xdr:rowOff>
    </xdr:to>
    <xdr:sp macro="" textlink="">
      <xdr:nvSpPr>
        <xdr:cNvPr id="6" name="Retângulo 5"/>
        <xdr:cNvSpPr/>
      </xdr:nvSpPr>
      <xdr:spPr>
        <a:xfrm>
          <a:off x="7824108" y="4054927"/>
          <a:ext cx="830036" cy="54964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GALPÃO</a:t>
          </a:r>
          <a:br>
            <a:rPr lang="pt-BR" sz="10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Graõs</a:t>
          </a:r>
        </a:p>
      </xdr:txBody>
    </xdr:sp>
    <xdr:clientData/>
  </xdr:twoCellAnchor>
  <xdr:twoCellAnchor>
    <xdr:from>
      <xdr:col>11</xdr:col>
      <xdr:colOff>299357</xdr:colOff>
      <xdr:row>4</xdr:row>
      <xdr:rowOff>13607</xdr:rowOff>
    </xdr:from>
    <xdr:to>
      <xdr:col>12</xdr:col>
      <xdr:colOff>571498</xdr:colOff>
      <xdr:row>8</xdr:row>
      <xdr:rowOff>70712</xdr:rowOff>
    </xdr:to>
    <xdr:cxnSp macro="">
      <xdr:nvCxnSpPr>
        <xdr:cNvPr id="7" name="Conector angulado 6"/>
        <xdr:cNvCxnSpPr>
          <a:endCxn id="9" idx="1"/>
        </xdr:cNvCxnSpPr>
      </xdr:nvCxnSpPr>
      <xdr:spPr>
        <a:xfrm>
          <a:off x="7034893" y="775607"/>
          <a:ext cx="884462" cy="819105"/>
        </a:xfrm>
        <a:prstGeom prst="bentConnector3">
          <a:avLst>
            <a:gd name="adj1" fmla="val 76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40822</xdr:colOff>
      <xdr:row>4</xdr:row>
      <xdr:rowOff>0</xdr:rowOff>
    </xdr:from>
    <xdr:to>
      <xdr:col>15</xdr:col>
      <xdr:colOff>312966</xdr:colOff>
      <xdr:row>8</xdr:row>
      <xdr:rowOff>70712</xdr:rowOff>
    </xdr:to>
    <xdr:cxnSp macro="">
      <xdr:nvCxnSpPr>
        <xdr:cNvPr id="12" name="Conector angulado 11"/>
        <xdr:cNvCxnSpPr>
          <a:endCxn id="9" idx="3"/>
        </xdr:cNvCxnSpPr>
      </xdr:nvCxnSpPr>
      <xdr:spPr>
        <a:xfrm rot="10800000" flipV="1">
          <a:off x="8613322" y="762000"/>
          <a:ext cx="884465" cy="832712"/>
        </a:xfrm>
        <a:prstGeom prst="bentConnector3">
          <a:avLst>
            <a:gd name="adj1" fmla="val -76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278947</xdr:colOff>
      <xdr:row>9</xdr:row>
      <xdr:rowOff>114212</xdr:rowOff>
    </xdr:from>
    <xdr:to>
      <xdr:col>13</xdr:col>
      <xdr:colOff>306159</xdr:colOff>
      <xdr:row>21</xdr:row>
      <xdr:rowOff>54427</xdr:rowOff>
    </xdr:to>
    <xdr:cxnSp macro="">
      <xdr:nvCxnSpPr>
        <xdr:cNvPr id="17" name="Conector de seta reta 16"/>
        <xdr:cNvCxnSpPr>
          <a:stCxn id="9" idx="2"/>
          <a:endCxn id="6" idx="0"/>
        </xdr:cNvCxnSpPr>
      </xdr:nvCxnSpPr>
      <xdr:spPr>
        <a:xfrm flipH="1">
          <a:off x="8239126" y="1828712"/>
          <a:ext cx="27212" cy="22262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550812</xdr:colOff>
      <xdr:row>22</xdr:row>
      <xdr:rowOff>138748</xdr:rowOff>
    </xdr:from>
    <xdr:to>
      <xdr:col>12</xdr:col>
      <xdr:colOff>476252</xdr:colOff>
      <xdr:row>25</xdr:row>
      <xdr:rowOff>68035</xdr:rowOff>
    </xdr:to>
    <xdr:cxnSp macro="">
      <xdr:nvCxnSpPr>
        <xdr:cNvPr id="20" name="Conector angulado 19"/>
        <xdr:cNvCxnSpPr>
          <a:stCxn id="6" idx="1"/>
          <a:endCxn id="3" idx="0"/>
        </xdr:cNvCxnSpPr>
      </xdr:nvCxnSpPr>
      <xdr:spPr>
        <a:xfrm rot="10800000" flipV="1">
          <a:off x="4837062" y="4329748"/>
          <a:ext cx="2987047" cy="5007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435428</xdr:colOff>
      <xdr:row>25</xdr:row>
      <xdr:rowOff>84324</xdr:rowOff>
    </xdr:from>
    <xdr:to>
      <xdr:col>21</xdr:col>
      <xdr:colOff>1</xdr:colOff>
      <xdr:row>30</xdr:row>
      <xdr:rowOff>1</xdr:rowOff>
    </xdr:to>
    <xdr:cxnSp macro="">
      <xdr:nvCxnSpPr>
        <xdr:cNvPr id="25" name="Conector angulado 24"/>
        <xdr:cNvCxnSpPr>
          <a:endCxn id="5" idx="1"/>
        </xdr:cNvCxnSpPr>
      </xdr:nvCxnSpPr>
      <xdr:spPr>
        <a:xfrm rot="5400000" flipH="1" flipV="1">
          <a:off x="12485894" y="5042787"/>
          <a:ext cx="868177" cy="47625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611767</xdr:colOff>
      <xdr:row>25</xdr:row>
      <xdr:rowOff>84323</xdr:rowOff>
    </xdr:from>
    <xdr:to>
      <xdr:col>22</xdr:col>
      <xdr:colOff>462642</xdr:colOff>
      <xdr:row>29</xdr:row>
      <xdr:rowOff>176893</xdr:rowOff>
    </xdr:to>
    <xdr:cxnSp macro="">
      <xdr:nvCxnSpPr>
        <xdr:cNvPr id="27" name="Conector angulado 26"/>
        <xdr:cNvCxnSpPr>
          <a:endCxn id="5" idx="3"/>
        </xdr:cNvCxnSpPr>
      </xdr:nvCxnSpPr>
      <xdr:spPr>
        <a:xfrm rot="16200000" flipV="1">
          <a:off x="13574188" y="5042509"/>
          <a:ext cx="854570" cy="46319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762000</xdr:colOff>
      <xdr:row>10</xdr:row>
      <xdr:rowOff>0</xdr:rowOff>
    </xdr:from>
    <xdr:to>
      <xdr:col>22</xdr:col>
      <xdr:colOff>138000</xdr:colOff>
      <xdr:row>12</xdr:row>
      <xdr:rowOff>168643</xdr:rowOff>
    </xdr:to>
    <xdr:sp macro="" textlink="">
      <xdr:nvSpPr>
        <xdr:cNvPr id="13" name="Retângulo 12"/>
        <xdr:cNvSpPr/>
      </xdr:nvSpPr>
      <xdr:spPr>
        <a:xfrm>
          <a:off x="13008429" y="1905000"/>
          <a:ext cx="900000" cy="54964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GALPÃO</a:t>
          </a:r>
        </a:p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Fertilizantes</a:t>
          </a:r>
        </a:p>
      </xdr:txBody>
    </xdr:sp>
    <xdr:clientData/>
  </xdr:twoCellAnchor>
  <xdr:twoCellAnchor>
    <xdr:from>
      <xdr:col>21</xdr:col>
      <xdr:colOff>300322</xdr:colOff>
      <xdr:row>12</xdr:row>
      <xdr:rowOff>168643</xdr:rowOff>
    </xdr:from>
    <xdr:to>
      <xdr:col>21</xdr:col>
      <xdr:colOff>305884</xdr:colOff>
      <xdr:row>24</xdr:row>
      <xdr:rowOff>27215</xdr:rowOff>
    </xdr:to>
    <xdr:cxnSp macro="">
      <xdr:nvCxnSpPr>
        <xdr:cNvPr id="4" name="Conector de seta reta 3"/>
        <xdr:cNvCxnSpPr>
          <a:stCxn id="5" idx="0"/>
          <a:endCxn id="13" idx="2"/>
        </xdr:cNvCxnSpPr>
      </xdr:nvCxnSpPr>
      <xdr:spPr>
        <a:xfrm flipH="1" flipV="1">
          <a:off x="13458429" y="2454643"/>
          <a:ext cx="5562" cy="21445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68036</xdr:colOff>
      <xdr:row>17</xdr:row>
      <xdr:rowOff>136072</xdr:rowOff>
    </xdr:from>
    <xdr:to>
      <xdr:col>27</xdr:col>
      <xdr:colOff>283714</xdr:colOff>
      <xdr:row>20</xdr:row>
      <xdr:rowOff>32572</xdr:rowOff>
    </xdr:to>
    <xdr:sp macro="" textlink="">
      <xdr:nvSpPr>
        <xdr:cNvPr id="14" name="Retângulo 13"/>
        <xdr:cNvSpPr/>
      </xdr:nvSpPr>
      <xdr:spPr>
        <a:xfrm>
          <a:off x="16587107" y="3374572"/>
          <a:ext cx="828000" cy="46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MOEGA</a:t>
          </a:r>
        </a:p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Rodoviária</a:t>
          </a:r>
        </a:p>
      </xdr:txBody>
    </xdr:sp>
    <xdr:clientData/>
  </xdr:twoCellAnchor>
  <xdr:twoCellAnchor>
    <xdr:from>
      <xdr:col>21</xdr:col>
      <xdr:colOff>305885</xdr:colOff>
      <xdr:row>18</xdr:row>
      <xdr:rowOff>179572</xdr:rowOff>
    </xdr:from>
    <xdr:to>
      <xdr:col>26</xdr:col>
      <xdr:colOff>68037</xdr:colOff>
      <xdr:row>24</xdr:row>
      <xdr:rowOff>27215</xdr:rowOff>
    </xdr:to>
    <xdr:cxnSp macro="">
      <xdr:nvCxnSpPr>
        <xdr:cNvPr id="8" name="Conector angulado 7"/>
        <xdr:cNvCxnSpPr>
          <a:stCxn id="5" idx="0"/>
          <a:endCxn id="14" idx="1"/>
        </xdr:cNvCxnSpPr>
      </xdr:nvCxnSpPr>
      <xdr:spPr>
        <a:xfrm rot="5400000" flipH="1" flipV="1">
          <a:off x="14530228" y="2542336"/>
          <a:ext cx="990643" cy="312311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</xdr:colOff>
      <xdr:row>41</xdr:row>
      <xdr:rowOff>157162</xdr:rowOff>
    </xdr:from>
    <xdr:ext cx="3381375" cy="65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4105275" y="7967662"/>
              <a:ext cx="3381375" cy="65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𝑇𝐸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×0,0016 × </m:t>
                        </m:r>
                        <m:f>
                          <m:f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𝑈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2,2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1,3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𝑀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1,4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𝐸𝑅</m:t>
                            </m:r>
                          </m:num>
                          <m:den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4105275" y="7967662"/>
              <a:ext cx="3381375" cy="65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〖𝑇𝐸〗_𝑖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[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𝑘_𝑖  ×0,0016 × (𝑈/2,2)^1,3/(𝑀/2)^1,4 ]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×𝑄×(1−𝐸𝑅/100) 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190500</xdr:colOff>
      <xdr:row>56</xdr:row>
      <xdr:rowOff>161925</xdr:rowOff>
    </xdr:from>
    <xdr:ext cx="1609725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5000625" y="10829925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𝑇𝐸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𝐸𝐹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(1−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5000625" y="10829925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〖𝑇𝐸〗_𝑖=𝑄 𝑥 〖𝐸𝐹〗_𝑖  𝑥 (1−𝐸𝑅/100)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0</xdr:col>
      <xdr:colOff>142875</xdr:colOff>
      <xdr:row>65</xdr:row>
      <xdr:rowOff>28575</xdr:rowOff>
    </xdr:from>
    <xdr:to>
      <xdr:col>8</xdr:col>
      <xdr:colOff>379945</xdr:colOff>
      <xdr:row>99</xdr:row>
      <xdr:rowOff>95250</xdr:rowOff>
    </xdr:to>
    <xdr:grpSp>
      <xdr:nvGrpSpPr>
        <xdr:cNvPr id="12" name="Grupo 11"/>
        <xdr:cNvGrpSpPr/>
      </xdr:nvGrpSpPr>
      <xdr:grpSpPr>
        <a:xfrm>
          <a:off x="142875" y="12411075"/>
          <a:ext cx="8590495" cy="6543675"/>
          <a:chOff x="142875" y="12411075"/>
          <a:chExt cx="8438095" cy="6543675"/>
        </a:xfrm>
      </xdr:grpSpPr>
      <xdr:pic>
        <xdr:nvPicPr>
          <xdr:cNvPr id="5" name="Imagem 4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2875" y="12411075"/>
            <a:ext cx="8438095" cy="5466667"/>
          </a:xfrm>
          <a:prstGeom prst="rect">
            <a:avLst/>
          </a:prstGeom>
        </xdr:spPr>
      </xdr:pic>
      <xdr:sp macro="" textlink="">
        <xdr:nvSpPr>
          <xdr:cNvPr id="6" name="Retângulo 5"/>
          <xdr:cNvSpPr/>
        </xdr:nvSpPr>
        <xdr:spPr>
          <a:xfrm>
            <a:off x="285750" y="14182725"/>
            <a:ext cx="8058150" cy="209549"/>
          </a:xfrm>
          <a:prstGeom prst="rect">
            <a:avLst/>
          </a:pr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Retângulo 6"/>
          <xdr:cNvSpPr/>
        </xdr:nvSpPr>
        <xdr:spPr>
          <a:xfrm>
            <a:off x="266700" y="16983075"/>
            <a:ext cx="8058150" cy="590550"/>
          </a:xfrm>
          <a:prstGeom prst="rect">
            <a:avLst/>
          </a:pr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0" name="Imagem 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47650" y="17802225"/>
            <a:ext cx="8229600" cy="11525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Retângulo 10"/>
          <xdr:cNvSpPr/>
        </xdr:nvSpPr>
        <xdr:spPr>
          <a:xfrm>
            <a:off x="361950" y="18716625"/>
            <a:ext cx="8058150" cy="209549"/>
          </a:xfrm>
          <a:prstGeom prst="rect">
            <a:avLst/>
          </a:pr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H18" sqref="H18"/>
    </sheetView>
  </sheetViews>
  <sheetFormatPr defaultRowHeight="15" x14ac:dyDescent="0.25"/>
  <cols>
    <col min="1" max="1" width="35.28515625" style="3" customWidth="1"/>
    <col min="2" max="7" width="11.42578125" style="7" customWidth="1"/>
    <col min="238" max="238" width="35.140625" customWidth="1"/>
    <col min="239" max="251" width="11.42578125" customWidth="1"/>
    <col min="494" max="494" width="35.140625" customWidth="1"/>
    <col min="495" max="507" width="11.42578125" customWidth="1"/>
    <col min="750" max="750" width="35.140625" customWidth="1"/>
    <col min="751" max="763" width="11.42578125" customWidth="1"/>
    <col min="1006" max="1006" width="35.140625" customWidth="1"/>
    <col min="1007" max="1019" width="11.42578125" customWidth="1"/>
    <col min="1262" max="1262" width="35.140625" customWidth="1"/>
    <col min="1263" max="1275" width="11.42578125" customWidth="1"/>
    <col min="1518" max="1518" width="35.140625" customWidth="1"/>
    <col min="1519" max="1531" width="11.42578125" customWidth="1"/>
    <col min="1774" max="1774" width="35.140625" customWidth="1"/>
    <col min="1775" max="1787" width="11.42578125" customWidth="1"/>
    <col min="2030" max="2030" width="35.140625" customWidth="1"/>
    <col min="2031" max="2043" width="11.42578125" customWidth="1"/>
    <col min="2286" max="2286" width="35.140625" customWidth="1"/>
    <col min="2287" max="2299" width="11.42578125" customWidth="1"/>
    <col min="2542" max="2542" width="35.140625" customWidth="1"/>
    <col min="2543" max="2555" width="11.42578125" customWidth="1"/>
    <col min="2798" max="2798" width="35.140625" customWidth="1"/>
    <col min="2799" max="2811" width="11.42578125" customWidth="1"/>
    <col min="3054" max="3054" width="35.140625" customWidth="1"/>
    <col min="3055" max="3067" width="11.42578125" customWidth="1"/>
    <col min="3310" max="3310" width="35.140625" customWidth="1"/>
    <col min="3311" max="3323" width="11.42578125" customWidth="1"/>
    <col min="3566" max="3566" width="35.140625" customWidth="1"/>
    <col min="3567" max="3579" width="11.42578125" customWidth="1"/>
    <col min="3822" max="3822" width="35.140625" customWidth="1"/>
    <col min="3823" max="3835" width="11.42578125" customWidth="1"/>
    <col min="4078" max="4078" width="35.140625" customWidth="1"/>
    <col min="4079" max="4091" width="11.42578125" customWidth="1"/>
    <col min="4334" max="4334" width="35.140625" customWidth="1"/>
    <col min="4335" max="4347" width="11.42578125" customWidth="1"/>
    <col min="4590" max="4590" width="35.140625" customWidth="1"/>
    <col min="4591" max="4603" width="11.42578125" customWidth="1"/>
    <col min="4846" max="4846" width="35.140625" customWidth="1"/>
    <col min="4847" max="4859" width="11.42578125" customWidth="1"/>
    <col min="5102" max="5102" width="35.140625" customWidth="1"/>
    <col min="5103" max="5115" width="11.42578125" customWidth="1"/>
    <col min="5358" max="5358" width="35.140625" customWidth="1"/>
    <col min="5359" max="5371" width="11.42578125" customWidth="1"/>
    <col min="5614" max="5614" width="35.140625" customWidth="1"/>
    <col min="5615" max="5627" width="11.42578125" customWidth="1"/>
    <col min="5870" max="5870" width="35.140625" customWidth="1"/>
    <col min="5871" max="5883" width="11.42578125" customWidth="1"/>
    <col min="6126" max="6126" width="35.140625" customWidth="1"/>
    <col min="6127" max="6139" width="11.42578125" customWidth="1"/>
    <col min="6382" max="6382" width="35.140625" customWidth="1"/>
    <col min="6383" max="6395" width="11.42578125" customWidth="1"/>
    <col min="6638" max="6638" width="35.140625" customWidth="1"/>
    <col min="6639" max="6651" width="11.42578125" customWidth="1"/>
    <col min="6894" max="6894" width="35.140625" customWidth="1"/>
    <col min="6895" max="6907" width="11.42578125" customWidth="1"/>
    <col min="7150" max="7150" width="35.140625" customWidth="1"/>
    <col min="7151" max="7163" width="11.42578125" customWidth="1"/>
    <col min="7406" max="7406" width="35.140625" customWidth="1"/>
    <col min="7407" max="7419" width="11.42578125" customWidth="1"/>
    <col min="7662" max="7662" width="35.140625" customWidth="1"/>
    <col min="7663" max="7675" width="11.42578125" customWidth="1"/>
    <col min="7918" max="7918" width="35.140625" customWidth="1"/>
    <col min="7919" max="7931" width="11.42578125" customWidth="1"/>
    <col min="8174" max="8174" width="35.140625" customWidth="1"/>
    <col min="8175" max="8187" width="11.42578125" customWidth="1"/>
    <col min="8430" max="8430" width="35.140625" customWidth="1"/>
    <col min="8431" max="8443" width="11.42578125" customWidth="1"/>
    <col min="8686" max="8686" width="35.140625" customWidth="1"/>
    <col min="8687" max="8699" width="11.42578125" customWidth="1"/>
    <col min="8942" max="8942" width="35.140625" customWidth="1"/>
    <col min="8943" max="8955" width="11.42578125" customWidth="1"/>
    <col min="9198" max="9198" width="35.140625" customWidth="1"/>
    <col min="9199" max="9211" width="11.42578125" customWidth="1"/>
    <col min="9454" max="9454" width="35.140625" customWidth="1"/>
    <col min="9455" max="9467" width="11.42578125" customWidth="1"/>
    <col min="9710" max="9710" width="35.140625" customWidth="1"/>
    <col min="9711" max="9723" width="11.42578125" customWidth="1"/>
    <col min="9966" max="9966" width="35.140625" customWidth="1"/>
    <col min="9967" max="9979" width="11.42578125" customWidth="1"/>
    <col min="10222" max="10222" width="35.140625" customWidth="1"/>
    <col min="10223" max="10235" width="11.42578125" customWidth="1"/>
    <col min="10478" max="10478" width="35.140625" customWidth="1"/>
    <col min="10479" max="10491" width="11.42578125" customWidth="1"/>
    <col min="10734" max="10734" width="35.140625" customWidth="1"/>
    <col min="10735" max="10747" width="11.42578125" customWidth="1"/>
    <col min="10990" max="10990" width="35.140625" customWidth="1"/>
    <col min="10991" max="11003" width="11.42578125" customWidth="1"/>
    <col min="11246" max="11246" width="35.140625" customWidth="1"/>
    <col min="11247" max="11259" width="11.42578125" customWidth="1"/>
    <col min="11502" max="11502" width="35.140625" customWidth="1"/>
    <col min="11503" max="11515" width="11.42578125" customWidth="1"/>
    <col min="11758" max="11758" width="35.140625" customWidth="1"/>
    <col min="11759" max="11771" width="11.42578125" customWidth="1"/>
    <col min="12014" max="12014" width="35.140625" customWidth="1"/>
    <col min="12015" max="12027" width="11.42578125" customWidth="1"/>
    <col min="12270" max="12270" width="35.140625" customWidth="1"/>
    <col min="12271" max="12283" width="11.42578125" customWidth="1"/>
    <col min="12526" max="12526" width="35.140625" customWidth="1"/>
    <col min="12527" max="12539" width="11.42578125" customWidth="1"/>
    <col min="12782" max="12782" width="35.140625" customWidth="1"/>
    <col min="12783" max="12795" width="11.42578125" customWidth="1"/>
    <col min="13038" max="13038" width="35.140625" customWidth="1"/>
    <col min="13039" max="13051" width="11.42578125" customWidth="1"/>
    <col min="13294" max="13294" width="35.140625" customWidth="1"/>
    <col min="13295" max="13307" width="11.42578125" customWidth="1"/>
    <col min="13550" max="13550" width="35.140625" customWidth="1"/>
    <col min="13551" max="13563" width="11.42578125" customWidth="1"/>
    <col min="13806" max="13806" width="35.140625" customWidth="1"/>
    <col min="13807" max="13819" width="11.42578125" customWidth="1"/>
    <col min="14062" max="14062" width="35.140625" customWidth="1"/>
    <col min="14063" max="14075" width="11.42578125" customWidth="1"/>
    <col min="14318" max="14318" width="35.140625" customWidth="1"/>
    <col min="14319" max="14331" width="11.42578125" customWidth="1"/>
    <col min="14574" max="14574" width="35.140625" customWidth="1"/>
    <col min="14575" max="14587" width="11.42578125" customWidth="1"/>
    <col min="14830" max="14830" width="35.140625" customWidth="1"/>
    <col min="14831" max="14843" width="11.42578125" customWidth="1"/>
    <col min="15086" max="15086" width="35.140625" customWidth="1"/>
    <col min="15087" max="15099" width="11.42578125" customWidth="1"/>
    <col min="15342" max="15342" width="35.140625" customWidth="1"/>
    <col min="15343" max="15355" width="11.42578125" customWidth="1"/>
    <col min="15598" max="15598" width="35.140625" customWidth="1"/>
    <col min="15599" max="15611" width="11.42578125" customWidth="1"/>
    <col min="15854" max="15854" width="35.140625" customWidth="1"/>
    <col min="15855" max="15867" width="11.42578125" customWidth="1"/>
    <col min="16110" max="16110" width="35.140625" customWidth="1"/>
    <col min="16111" max="16123" width="11.42578125" customWidth="1"/>
  </cols>
  <sheetData>
    <row r="1" spans="1:7" x14ac:dyDescent="0.25">
      <c r="A1" s="4" t="s">
        <v>35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</row>
    <row r="2" spans="1:7" x14ac:dyDescent="0.25">
      <c r="A2" s="1" t="s">
        <v>0</v>
      </c>
      <c r="B2" s="5"/>
      <c r="C2" s="5"/>
      <c r="D2" s="5"/>
      <c r="E2" s="5"/>
      <c r="F2" s="5"/>
      <c r="G2" s="5"/>
    </row>
    <row r="3" spans="1:7" x14ac:dyDescent="0.25">
      <c r="A3" s="2" t="s">
        <v>1</v>
      </c>
      <c r="B3" s="61">
        <v>4801170</v>
      </c>
      <c r="C3" s="61">
        <v>4829656</v>
      </c>
      <c r="D3" s="61">
        <v>4433494</v>
      </c>
      <c r="E3" s="61">
        <v>4884081</v>
      </c>
      <c r="F3" s="61">
        <v>4902522</v>
      </c>
      <c r="G3" s="61">
        <v>7299018</v>
      </c>
    </row>
    <row r="4" spans="1:7" x14ac:dyDescent="0.25">
      <c r="A4" s="2" t="s">
        <v>36</v>
      </c>
      <c r="B4" s="61">
        <v>4265436</v>
      </c>
      <c r="C4" s="61">
        <v>4300881</v>
      </c>
      <c r="D4" s="61">
        <v>3993940</v>
      </c>
      <c r="E4" s="61">
        <v>4407904</v>
      </c>
      <c r="F4" s="61">
        <v>4401882</v>
      </c>
      <c r="G4" s="61">
        <v>6564061</v>
      </c>
    </row>
    <row r="5" spans="1:7" x14ac:dyDescent="0.25">
      <c r="A5" s="1" t="s">
        <v>79</v>
      </c>
      <c r="B5" s="62"/>
      <c r="C5" s="62"/>
      <c r="D5" s="62"/>
      <c r="E5" s="62"/>
      <c r="F5" s="62"/>
      <c r="G5" s="62"/>
    </row>
    <row r="6" spans="1:7" x14ac:dyDescent="0.25">
      <c r="A6" s="2" t="s">
        <v>80</v>
      </c>
      <c r="B6" s="63">
        <v>19466468</v>
      </c>
      <c r="C6" s="63">
        <v>32081098</v>
      </c>
      <c r="D6" s="63"/>
      <c r="E6" s="63"/>
      <c r="F6" s="63">
        <v>37760436</v>
      </c>
      <c r="G6" s="63"/>
    </row>
    <row r="7" spans="1:7" x14ac:dyDescent="0.25">
      <c r="A7" s="2" t="s">
        <v>81</v>
      </c>
      <c r="B7" s="63">
        <v>33918127</v>
      </c>
      <c r="C7" s="63">
        <v>21371210</v>
      </c>
      <c r="D7" s="63">
        <v>56475245</v>
      </c>
      <c r="E7" s="63">
        <v>59476418</v>
      </c>
      <c r="F7" s="63">
        <v>19916425</v>
      </c>
      <c r="G7" s="63">
        <v>65829837</v>
      </c>
    </row>
    <row r="8" spans="1:7" x14ac:dyDescent="0.25">
      <c r="A8" s="2" t="s">
        <v>82</v>
      </c>
      <c r="B8" s="63">
        <v>64336</v>
      </c>
      <c r="C8" s="63">
        <v>64129</v>
      </c>
      <c r="D8" s="63">
        <v>62435</v>
      </c>
      <c r="E8" s="63">
        <v>68785</v>
      </c>
      <c r="F8" s="63">
        <v>67544</v>
      </c>
      <c r="G8" s="63">
        <v>111087</v>
      </c>
    </row>
    <row r="9" spans="1:7" x14ac:dyDescent="0.25">
      <c r="A9" s="1" t="s">
        <v>2</v>
      </c>
      <c r="B9" s="62"/>
      <c r="C9" s="62"/>
      <c r="D9" s="62"/>
      <c r="E9" s="62"/>
      <c r="F9" s="62"/>
      <c r="G9" s="62"/>
    </row>
    <row r="10" spans="1:7" x14ac:dyDescent="0.25">
      <c r="A10" s="2" t="s">
        <v>3</v>
      </c>
      <c r="B10" s="61"/>
      <c r="C10" s="61"/>
      <c r="D10" s="61">
        <v>11367.39</v>
      </c>
      <c r="E10" s="61">
        <v>10951.82</v>
      </c>
      <c r="F10" s="61">
        <v>8470.26</v>
      </c>
      <c r="G10" s="61"/>
    </row>
    <row r="11" spans="1:7" x14ac:dyDescent="0.25">
      <c r="A11" s="2" t="s">
        <v>4</v>
      </c>
      <c r="B11" s="61">
        <v>21851</v>
      </c>
      <c r="C11" s="61">
        <v>17877</v>
      </c>
      <c r="D11" s="61">
        <v>19077.199999999997</v>
      </c>
      <c r="E11" s="61">
        <v>20721.5</v>
      </c>
      <c r="F11" s="61">
        <v>23029.01</v>
      </c>
      <c r="G11" s="61">
        <v>36982.22</v>
      </c>
    </row>
    <row r="12" spans="1:7" x14ac:dyDescent="0.25">
      <c r="A12" s="2" t="s">
        <v>5</v>
      </c>
      <c r="B12" s="61">
        <v>8122</v>
      </c>
      <c r="C12" s="61">
        <v>9056</v>
      </c>
      <c r="D12" s="61"/>
      <c r="E12" s="61"/>
      <c r="F12" s="61"/>
      <c r="G12" s="61"/>
    </row>
    <row r="13" spans="1:7" x14ac:dyDescent="0.25">
      <c r="A13" s="2" t="s">
        <v>6</v>
      </c>
      <c r="B13" s="61"/>
      <c r="C13" s="61"/>
      <c r="D13" s="61"/>
      <c r="E13" s="61"/>
      <c r="F13" s="61"/>
      <c r="G13" s="61"/>
    </row>
    <row r="14" spans="1:7" x14ac:dyDescent="0.25">
      <c r="A14" s="2" t="s">
        <v>7</v>
      </c>
      <c r="B14" s="61"/>
      <c r="C14" s="61"/>
      <c r="D14" s="61"/>
      <c r="E14" s="61"/>
      <c r="F14" s="61"/>
      <c r="G14" s="61"/>
    </row>
    <row r="15" spans="1:7" x14ac:dyDescent="0.25">
      <c r="A15" s="2" t="s">
        <v>8</v>
      </c>
      <c r="B15" s="61">
        <v>108990</v>
      </c>
      <c r="C15" s="61">
        <v>94038</v>
      </c>
      <c r="D15" s="61">
        <v>63414</v>
      </c>
      <c r="E15" s="61">
        <v>78145</v>
      </c>
      <c r="F15" s="61">
        <v>39161</v>
      </c>
      <c r="G15" s="61">
        <v>313632</v>
      </c>
    </row>
    <row r="16" spans="1:7" x14ac:dyDescent="0.25">
      <c r="A16" s="2" t="s">
        <v>9</v>
      </c>
      <c r="B16" s="61"/>
      <c r="C16" s="61"/>
      <c r="D16" s="61">
        <v>108578</v>
      </c>
      <c r="E16" s="61">
        <v>110938</v>
      </c>
      <c r="F16" s="61">
        <v>40516</v>
      </c>
      <c r="G16" s="61"/>
    </row>
    <row r="17" spans="1:7" x14ac:dyDescent="0.25">
      <c r="A17" s="2" t="s">
        <v>10</v>
      </c>
      <c r="B17" s="61">
        <v>4542</v>
      </c>
      <c r="C17" s="61">
        <v>20264</v>
      </c>
      <c r="D17" s="61"/>
      <c r="E17" s="61"/>
      <c r="F17" s="61">
        <v>72262</v>
      </c>
      <c r="G17" s="61"/>
    </row>
    <row r="18" spans="1:7" x14ac:dyDescent="0.25">
      <c r="A18" s="2" t="s">
        <v>11</v>
      </c>
      <c r="B18" s="61">
        <v>13177127</v>
      </c>
      <c r="C18" s="61">
        <v>12766278</v>
      </c>
      <c r="D18" s="61">
        <v>13525334</v>
      </c>
      <c r="E18" s="61">
        <v>14994610</v>
      </c>
      <c r="F18" s="61">
        <v>16662440</v>
      </c>
      <c r="G18" s="61">
        <v>22259879</v>
      </c>
    </row>
    <row r="19" spans="1:7" x14ac:dyDescent="0.25">
      <c r="A19" s="2" t="s">
        <v>12</v>
      </c>
      <c r="B19" s="61">
        <v>32856808</v>
      </c>
      <c r="C19" s="61">
        <v>30192481</v>
      </c>
      <c r="D19" s="61">
        <v>32934271</v>
      </c>
      <c r="E19" s="61">
        <v>36808291</v>
      </c>
      <c r="F19" s="61">
        <v>41704835</v>
      </c>
      <c r="G19" s="61">
        <v>42815179</v>
      </c>
    </row>
    <row r="20" spans="1:7" x14ac:dyDescent="0.25">
      <c r="A20" s="2" t="s">
        <v>13</v>
      </c>
      <c r="B20" s="61">
        <v>18975875</v>
      </c>
      <c r="C20" s="61">
        <v>17351363</v>
      </c>
      <c r="D20" s="61">
        <v>19070973</v>
      </c>
      <c r="E20" s="61">
        <v>20823567</v>
      </c>
      <c r="F20" s="61">
        <v>23543898</v>
      </c>
      <c r="G20" s="61">
        <v>23645834</v>
      </c>
    </row>
    <row r="21" spans="1:7" x14ac:dyDescent="0.25">
      <c r="A21" s="2" t="s">
        <v>14</v>
      </c>
      <c r="B21" s="61">
        <v>2302900</v>
      </c>
      <c r="C21" s="61">
        <v>2311100</v>
      </c>
      <c r="D21" s="61">
        <v>2338563</v>
      </c>
      <c r="E21" s="61">
        <v>2559437</v>
      </c>
      <c r="F21" s="61">
        <v>3496000</v>
      </c>
      <c r="G21" s="61">
        <v>4245000</v>
      </c>
    </row>
    <row r="22" spans="1:7" x14ac:dyDescent="0.25">
      <c r="A22" s="2" t="s">
        <v>15</v>
      </c>
      <c r="B22" s="61">
        <v>407995</v>
      </c>
      <c r="C22" s="61">
        <v>417522</v>
      </c>
      <c r="D22" s="61">
        <v>418397</v>
      </c>
      <c r="E22" s="61">
        <v>466876</v>
      </c>
      <c r="F22" s="61">
        <v>339274</v>
      </c>
      <c r="G22" s="61">
        <v>295560</v>
      </c>
    </row>
    <row r="23" spans="1:7" x14ac:dyDescent="0.25">
      <c r="A23" s="2" t="s">
        <v>16</v>
      </c>
      <c r="B23" s="61">
        <v>15834</v>
      </c>
      <c r="C23" s="61">
        <v>14442</v>
      </c>
      <c r="D23" s="61">
        <v>29371</v>
      </c>
      <c r="E23" s="61">
        <v>9796</v>
      </c>
      <c r="F23" s="61">
        <v>6850</v>
      </c>
      <c r="G23" s="61">
        <v>35963</v>
      </c>
    </row>
    <row r="24" spans="1:7" x14ac:dyDescent="0.25">
      <c r="A24" s="2" t="s">
        <v>17</v>
      </c>
      <c r="B24" s="61">
        <v>3571</v>
      </c>
      <c r="C24" s="61">
        <v>3011</v>
      </c>
      <c r="D24" s="61">
        <v>9042</v>
      </c>
      <c r="E24" s="61">
        <v>7521</v>
      </c>
      <c r="F24" s="61">
        <v>9195</v>
      </c>
      <c r="G24" s="61">
        <v>5165</v>
      </c>
    </row>
    <row r="25" spans="1:7" x14ac:dyDescent="0.25">
      <c r="A25" s="2" t="s">
        <v>18</v>
      </c>
      <c r="B25" s="61">
        <v>117</v>
      </c>
      <c r="C25" s="61">
        <v>121</v>
      </c>
      <c r="D25" s="61">
        <v>116</v>
      </c>
      <c r="E25" s="61">
        <v>36</v>
      </c>
      <c r="F25" s="61">
        <v>33</v>
      </c>
      <c r="G25" s="61">
        <v>220</v>
      </c>
    </row>
    <row r="26" spans="1:7" x14ac:dyDescent="0.25">
      <c r="A26" s="2" t="s">
        <v>19</v>
      </c>
      <c r="B26" s="61">
        <v>2452.3700000000003</v>
      </c>
      <c r="C26" s="61">
        <v>2481.2000000000003</v>
      </c>
      <c r="D26" s="61">
        <v>991.25</v>
      </c>
      <c r="E26" s="61">
        <v>1111.81</v>
      </c>
      <c r="F26" s="61">
        <v>715.22</v>
      </c>
      <c r="G26" s="61">
        <v>3180.0800000000004</v>
      </c>
    </row>
    <row r="27" spans="1:7" x14ac:dyDescent="0.25">
      <c r="A27" s="2" t="s">
        <v>20</v>
      </c>
      <c r="B27" s="61"/>
      <c r="C27" s="61"/>
      <c r="D27" s="61">
        <v>29390.91</v>
      </c>
      <c r="E27" s="61">
        <v>29410.61</v>
      </c>
      <c r="F27" s="61"/>
      <c r="G27" s="61"/>
    </row>
    <row r="28" spans="1:7" x14ac:dyDescent="0.25">
      <c r="A28" s="2" t="s">
        <v>21</v>
      </c>
      <c r="B28" s="61"/>
      <c r="C28" s="61">
        <v>529.31000000000006</v>
      </c>
      <c r="D28" s="61"/>
      <c r="E28" s="61"/>
      <c r="F28" s="61"/>
      <c r="G28" s="61"/>
    </row>
    <row r="29" spans="1:7" x14ac:dyDescent="0.25">
      <c r="A29" s="2" t="s">
        <v>22</v>
      </c>
      <c r="B29" s="61"/>
      <c r="C29" s="61"/>
      <c r="D29" s="61"/>
      <c r="E29" s="61"/>
      <c r="F29" s="61"/>
      <c r="G29" s="61"/>
    </row>
    <row r="30" spans="1:7" x14ac:dyDescent="0.25">
      <c r="A30" s="2" t="s">
        <v>23</v>
      </c>
      <c r="B30" s="61"/>
      <c r="C30" s="61"/>
      <c r="D30" s="61"/>
      <c r="E30" s="61"/>
      <c r="F30" s="61"/>
      <c r="G30" s="61"/>
    </row>
    <row r="31" spans="1:7" x14ac:dyDescent="0.25">
      <c r="A31" s="1" t="s">
        <v>24</v>
      </c>
      <c r="B31" s="62"/>
      <c r="C31" s="62"/>
      <c r="D31" s="62"/>
      <c r="E31" s="62"/>
      <c r="F31" s="62"/>
      <c r="G31" s="62"/>
    </row>
    <row r="32" spans="1:7" x14ac:dyDescent="0.25">
      <c r="A32" s="2" t="s">
        <v>25</v>
      </c>
      <c r="B32" s="61">
        <v>1626333</v>
      </c>
      <c r="C32" s="61">
        <v>613476</v>
      </c>
      <c r="D32" s="61"/>
      <c r="E32" s="61"/>
      <c r="F32" s="61"/>
      <c r="G32" s="61"/>
    </row>
    <row r="33" spans="1:7" x14ac:dyDescent="0.25">
      <c r="A33" s="2" t="s">
        <v>26</v>
      </c>
      <c r="B33" s="61">
        <v>32905</v>
      </c>
      <c r="C33" s="61">
        <v>14600</v>
      </c>
      <c r="D33" s="61"/>
      <c r="E33" s="61"/>
      <c r="F33" s="61"/>
      <c r="G33" s="61"/>
    </row>
    <row r="34" spans="1:7" x14ac:dyDescent="0.25">
      <c r="A34" s="2" t="s">
        <v>27</v>
      </c>
      <c r="B34" s="61">
        <v>6057</v>
      </c>
      <c r="C34" s="61"/>
      <c r="D34" s="61"/>
      <c r="E34" s="61"/>
      <c r="F34" s="61"/>
      <c r="G34" s="61"/>
    </row>
    <row r="35" spans="1:7" x14ac:dyDescent="0.25">
      <c r="A35" s="2" t="s">
        <v>28</v>
      </c>
      <c r="B35" s="6"/>
      <c r="C35" s="6"/>
      <c r="D35" s="6"/>
      <c r="E35" s="6"/>
      <c r="F35" s="6"/>
      <c r="G35" s="6"/>
    </row>
  </sheetData>
  <sheetProtection password="B056" sheet="1" objects="1" scenario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J11" sqref="J11"/>
    </sheetView>
  </sheetViews>
  <sheetFormatPr defaultRowHeight="15" customHeight="1" x14ac:dyDescent="0.2"/>
  <cols>
    <col min="1" max="1" width="29.85546875" style="8" bestFit="1" customWidth="1"/>
    <col min="2" max="2" width="11.7109375" style="8" bestFit="1" customWidth="1"/>
    <col min="3" max="4" width="9.140625" style="8"/>
    <col min="5" max="5" width="26.5703125" style="8" customWidth="1"/>
    <col min="6" max="6" width="9.85546875" style="8" bestFit="1" customWidth="1"/>
    <col min="7" max="16384" width="9.140625" style="8"/>
  </cols>
  <sheetData>
    <row r="1" spans="1:8" ht="15" customHeight="1" x14ac:dyDescent="0.2">
      <c r="A1" s="17" t="s">
        <v>72</v>
      </c>
      <c r="B1" s="17" t="s">
        <v>73</v>
      </c>
    </row>
    <row r="3" spans="1:8" ht="15" customHeight="1" x14ac:dyDescent="0.2">
      <c r="A3" s="54" t="s">
        <v>37</v>
      </c>
      <c r="B3" s="64">
        <f>B4+B8+B12</f>
        <v>227974655.77200007</v>
      </c>
      <c r="E3" s="54" t="s">
        <v>69</v>
      </c>
      <c r="F3" s="64">
        <f>SUM(F4:F7)</f>
        <v>12250649.868999999</v>
      </c>
    </row>
    <row r="4" spans="1:8" ht="15" customHeight="1" x14ac:dyDescent="0.2">
      <c r="A4" s="9" t="s">
        <v>38</v>
      </c>
      <c r="B4" s="13">
        <f>SUM(B5:B7)</f>
        <v>105380908</v>
      </c>
      <c r="E4" s="10" t="s">
        <v>48</v>
      </c>
      <c r="F4" s="65">
        <v>345299.402</v>
      </c>
    </row>
    <row r="5" spans="1:8" ht="15" customHeight="1" x14ac:dyDescent="0.2">
      <c r="A5" s="10" t="s">
        <v>39</v>
      </c>
      <c r="B5" s="65">
        <v>79863281</v>
      </c>
      <c r="E5" s="10" t="s">
        <v>49</v>
      </c>
      <c r="F5" s="65">
        <v>606958.32000000007</v>
      </c>
    </row>
    <row r="6" spans="1:8" ht="15" customHeight="1" x14ac:dyDescent="0.2">
      <c r="A6" s="10" t="s">
        <v>40</v>
      </c>
      <c r="B6" s="65">
        <v>25517627</v>
      </c>
      <c r="E6" s="10" t="s">
        <v>50</v>
      </c>
      <c r="F6" s="65">
        <v>10537348.169</v>
      </c>
    </row>
    <row r="7" spans="1:8" ht="15" customHeight="1" x14ac:dyDescent="0.2">
      <c r="A7" s="10" t="s">
        <v>41</v>
      </c>
      <c r="B7" s="65">
        <v>0</v>
      </c>
      <c r="E7" s="10" t="s">
        <v>51</v>
      </c>
      <c r="F7" s="65">
        <v>761043.97800000012</v>
      </c>
    </row>
    <row r="8" spans="1:8" ht="15" customHeight="1" x14ac:dyDescent="0.25">
      <c r="A8" s="12" t="s">
        <v>42</v>
      </c>
      <c r="B8" s="65">
        <f>SUM(B9:B11)</f>
        <v>6254938.5889999997</v>
      </c>
      <c r="E8"/>
      <c r="F8" s="66"/>
    </row>
    <row r="9" spans="1:8" ht="15" customHeight="1" x14ac:dyDescent="0.2">
      <c r="A9" s="11" t="s">
        <v>43</v>
      </c>
      <c r="B9" s="65">
        <v>5737608</v>
      </c>
      <c r="E9" s="54" t="s">
        <v>52</v>
      </c>
      <c r="F9" s="64">
        <f>SUM(F10:F14)</f>
        <v>8114497.1249999991</v>
      </c>
    </row>
    <row r="10" spans="1:8" ht="15" customHeight="1" x14ac:dyDescent="0.2">
      <c r="A10" s="11" t="s">
        <v>44</v>
      </c>
      <c r="B10" s="65">
        <v>374670</v>
      </c>
      <c r="E10" s="14" t="s">
        <v>53</v>
      </c>
      <c r="F10" s="65">
        <v>844344.68500000006</v>
      </c>
    </row>
    <row r="11" spans="1:8" ht="15" customHeight="1" x14ac:dyDescent="0.2">
      <c r="A11" s="11" t="s">
        <v>45</v>
      </c>
      <c r="B11" s="65">
        <v>142660.58899999998</v>
      </c>
      <c r="E11" s="14" t="s">
        <v>55</v>
      </c>
      <c r="F11" s="65">
        <v>2263404.1199999996</v>
      </c>
    </row>
    <row r="12" spans="1:8" ht="15" customHeight="1" x14ac:dyDescent="0.2">
      <c r="A12" s="9" t="s">
        <v>46</v>
      </c>
      <c r="B12" s="13">
        <f>SUM(B13:B15)</f>
        <v>116338809.18300006</v>
      </c>
      <c r="E12" s="14" t="s">
        <v>56</v>
      </c>
      <c r="F12" s="65">
        <v>3792231.3699999996</v>
      </c>
    </row>
    <row r="13" spans="1:8" ht="15" customHeight="1" x14ac:dyDescent="0.2">
      <c r="A13" s="10" t="s">
        <v>39</v>
      </c>
      <c r="B13" s="65">
        <v>112019453.47100006</v>
      </c>
      <c r="E13" s="14" t="s">
        <v>54</v>
      </c>
      <c r="F13" s="65">
        <v>1129047.1510000001</v>
      </c>
      <c r="H13" s="25"/>
    </row>
    <row r="14" spans="1:8" ht="15" customHeight="1" x14ac:dyDescent="0.2">
      <c r="A14" s="10" t="s">
        <v>40</v>
      </c>
      <c r="B14" s="65">
        <v>2801806.5260000001</v>
      </c>
      <c r="E14" s="14" t="s">
        <v>57</v>
      </c>
      <c r="F14" s="65">
        <v>85469.799000000014</v>
      </c>
    </row>
    <row r="15" spans="1:8" ht="15" customHeight="1" x14ac:dyDescent="0.25">
      <c r="A15" s="10" t="s">
        <v>47</v>
      </c>
      <c r="B15" s="65">
        <v>1517549.1860000002</v>
      </c>
      <c r="E15"/>
      <c r="F15" s="66"/>
    </row>
    <row r="16" spans="1:8" ht="15" customHeight="1" x14ac:dyDescent="0.2">
      <c r="B16" s="17"/>
      <c r="E16" s="54" t="s">
        <v>58</v>
      </c>
      <c r="F16" s="64">
        <f>F17</f>
        <v>614632.45699999994</v>
      </c>
    </row>
    <row r="17" spans="1:6" ht="15" customHeight="1" x14ac:dyDescent="0.2">
      <c r="A17" s="54" t="s">
        <v>67</v>
      </c>
      <c r="B17" s="64">
        <f>SUM(B18:B19)</f>
        <v>15965339.999</v>
      </c>
      <c r="E17" s="10" t="s">
        <v>59</v>
      </c>
      <c r="F17" s="65">
        <v>614632.45699999994</v>
      </c>
    </row>
    <row r="18" spans="1:6" ht="15" customHeight="1" x14ac:dyDescent="0.2">
      <c r="A18" s="16" t="s">
        <v>70</v>
      </c>
      <c r="B18" s="13">
        <v>870527.33299999998</v>
      </c>
      <c r="E18" s="15"/>
      <c r="F18" s="67"/>
    </row>
    <row r="19" spans="1:6" ht="15" customHeight="1" x14ac:dyDescent="0.2">
      <c r="A19" s="16" t="s">
        <v>71</v>
      </c>
      <c r="B19" s="13">
        <v>15094812.665999999</v>
      </c>
      <c r="E19" s="54" t="s">
        <v>60</v>
      </c>
      <c r="F19" s="64">
        <f>SUM(F20:F25)</f>
        <v>14028248.749999998</v>
      </c>
    </row>
    <row r="20" spans="1:6" ht="15" customHeight="1" x14ac:dyDescent="0.2">
      <c r="E20" s="14" t="s">
        <v>61</v>
      </c>
      <c r="F20" s="65">
        <v>6946367.0469999984</v>
      </c>
    </row>
    <row r="21" spans="1:6" ht="15" customHeight="1" x14ac:dyDescent="0.2">
      <c r="E21" s="14" t="s">
        <v>62</v>
      </c>
      <c r="F21" s="65">
        <v>761709.50300000026</v>
      </c>
    </row>
    <row r="22" spans="1:6" ht="15" customHeight="1" x14ac:dyDescent="0.2">
      <c r="E22" s="14" t="s">
        <v>63</v>
      </c>
      <c r="F22" s="65">
        <v>340523.08</v>
      </c>
    </row>
    <row r="23" spans="1:6" ht="15" customHeight="1" x14ac:dyDescent="0.2">
      <c r="E23" s="14" t="s">
        <v>64</v>
      </c>
      <c r="F23" s="65">
        <v>5187721.63</v>
      </c>
    </row>
    <row r="24" spans="1:6" ht="15" customHeight="1" x14ac:dyDescent="0.2">
      <c r="E24" s="10" t="s">
        <v>65</v>
      </c>
      <c r="F24" s="65">
        <v>486232.48000000004</v>
      </c>
    </row>
    <row r="25" spans="1:6" ht="15" customHeight="1" x14ac:dyDescent="0.2">
      <c r="E25" s="10" t="s">
        <v>66</v>
      </c>
      <c r="F25" s="65">
        <v>305695.00999999995</v>
      </c>
    </row>
    <row r="26" spans="1:6" ht="15" customHeight="1" x14ac:dyDescent="0.2">
      <c r="E26" s="15"/>
      <c r="F26" s="67"/>
    </row>
    <row r="27" spans="1:6" ht="15" customHeight="1" x14ac:dyDescent="0.2">
      <c r="E27" s="54" t="s">
        <v>67</v>
      </c>
      <c r="F27" s="64">
        <f>F28</f>
        <v>82561</v>
      </c>
    </row>
    <row r="28" spans="1:6" ht="15" customHeight="1" x14ac:dyDescent="0.2">
      <c r="E28" s="16" t="s">
        <v>68</v>
      </c>
      <c r="F28" s="13">
        <v>82561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K82"/>
  <sheetViews>
    <sheetView showGridLines="0" zoomScale="70" zoomScaleNormal="70" workbookViewId="0">
      <selection activeCell="J7" sqref="J7"/>
    </sheetView>
  </sheetViews>
  <sheetFormatPr defaultRowHeight="15" customHeight="1" x14ac:dyDescent="0.25"/>
  <cols>
    <col min="1" max="3" width="9.140625" style="18"/>
    <col min="4" max="4" width="9.140625" style="18" customWidth="1"/>
    <col min="5" max="11" width="9.140625" style="18"/>
    <col min="12" max="12" width="10.28515625" style="18" bestFit="1" customWidth="1"/>
    <col min="13" max="13" width="10.85546875" style="18" bestFit="1" customWidth="1"/>
    <col min="14" max="14" width="9.5703125" style="18" customWidth="1"/>
    <col min="15" max="15" width="9.28515625" style="18" bestFit="1" customWidth="1"/>
    <col min="16" max="16" width="9.140625" style="18"/>
    <col min="17" max="17" width="10.28515625" style="18" bestFit="1" customWidth="1"/>
    <col min="18" max="18" width="9.85546875" style="18" bestFit="1" customWidth="1"/>
    <col min="19" max="19" width="9.140625" style="18"/>
    <col min="20" max="23" width="9.85546875" style="18" bestFit="1" customWidth="1"/>
    <col min="24" max="28" width="9.140625" style="18"/>
    <col min="29" max="29" width="9.85546875" style="18" bestFit="1" customWidth="1"/>
    <col min="30" max="30" width="9.140625" style="18"/>
    <col min="31" max="31" width="9.85546875" style="18" bestFit="1" customWidth="1"/>
    <col min="32" max="16384" width="9.140625" style="18"/>
  </cols>
  <sheetData>
    <row r="2" spans="5:23" ht="15" customHeight="1" x14ac:dyDescent="0.25">
      <c r="M2" s="19" t="s">
        <v>76</v>
      </c>
      <c r="O2" s="19" t="s">
        <v>77</v>
      </c>
      <c r="Q2" s="19" t="s">
        <v>47</v>
      </c>
      <c r="W2" s="21"/>
    </row>
    <row r="3" spans="5:23" ht="15" customHeight="1" x14ac:dyDescent="0.25">
      <c r="M3" s="20">
        <f>Materiais!B13</f>
        <v>112019453.47100006</v>
      </c>
      <c r="O3" s="20">
        <f>Materiais!B14</f>
        <v>2801806.5260000001</v>
      </c>
      <c r="Q3" s="20">
        <f>Materiais!B15</f>
        <v>1517549.1860000002</v>
      </c>
      <c r="U3" s="21"/>
    </row>
    <row r="16" spans="5:23" ht="15" customHeight="1" x14ac:dyDescent="0.25">
      <c r="E16" s="19" t="s">
        <v>76</v>
      </c>
      <c r="G16" s="19" t="s">
        <v>47</v>
      </c>
    </row>
    <row r="17" spans="1:37" ht="15" customHeight="1" x14ac:dyDescent="0.25">
      <c r="E17" s="20">
        <f>A26+H26</f>
        <v>9630826</v>
      </c>
      <c r="G17" s="20">
        <f>SUM(C26,J26)</f>
        <v>284740</v>
      </c>
      <c r="W17" s="19" t="s">
        <v>76</v>
      </c>
      <c r="Y17" s="19" t="s">
        <v>47</v>
      </c>
      <c r="AI17" s="19" t="s">
        <v>76</v>
      </c>
      <c r="AK17" s="19" t="s">
        <v>47</v>
      </c>
    </row>
    <row r="18" spans="1:37" ht="15" customHeight="1" x14ac:dyDescent="0.25">
      <c r="W18" s="20">
        <f>R26+W26+AB26</f>
        <v>14220097</v>
      </c>
      <c r="Y18" s="20">
        <f>SUM(T26,Y26,AD26)</f>
        <v>606631.18000000005</v>
      </c>
      <c r="AI18" s="20">
        <f>AI26</f>
        <v>7299018</v>
      </c>
      <c r="AK18" s="20">
        <f>SUM(AK26)</f>
        <v>350614.22</v>
      </c>
    </row>
    <row r="25" spans="1:37" ht="15" customHeight="1" x14ac:dyDescent="0.25">
      <c r="A25" s="19" t="s">
        <v>76</v>
      </c>
      <c r="C25" s="19" t="s">
        <v>47</v>
      </c>
      <c r="H25" s="19" t="s">
        <v>76</v>
      </c>
      <c r="J25" s="19" t="s">
        <v>47</v>
      </c>
      <c r="R25" s="19" t="s">
        <v>76</v>
      </c>
      <c r="T25" s="19" t="s">
        <v>47</v>
      </c>
      <c r="W25" s="19" t="s">
        <v>76</v>
      </c>
      <c r="Y25" s="19" t="s">
        <v>47</v>
      </c>
      <c r="AB25" s="19" t="s">
        <v>76</v>
      </c>
      <c r="AD25" s="19" t="s">
        <v>47</v>
      </c>
      <c r="AI25" s="19" t="s">
        <v>76</v>
      </c>
      <c r="AK25" s="19" t="s">
        <v>47</v>
      </c>
    </row>
    <row r="26" spans="1:37" ht="15" customHeight="1" x14ac:dyDescent="0.25">
      <c r="A26" s="20">
        <f>Usinas!B3</f>
        <v>4801170</v>
      </c>
      <c r="C26" s="20">
        <f>SUM(Usinas!B10:B17)</f>
        <v>143505</v>
      </c>
      <c r="H26" s="20">
        <f>Usinas!C3</f>
        <v>4829656</v>
      </c>
      <c r="J26" s="20">
        <f>SUM(Usinas!C10:C17)</f>
        <v>141235</v>
      </c>
      <c r="R26" s="20">
        <f>Usinas!D3</f>
        <v>4433494</v>
      </c>
      <c r="T26" s="20">
        <f>SUM(Usinas!D10:D17)</f>
        <v>202436.59</v>
      </c>
      <c r="W26" s="20">
        <f>Usinas!E3</f>
        <v>4884081</v>
      </c>
      <c r="Y26" s="20">
        <f>SUM(Usinas!E10:E17)</f>
        <v>220756.32</v>
      </c>
      <c r="AB26" s="20">
        <f>Usinas!F3</f>
        <v>4902522</v>
      </c>
      <c r="AD26" s="20">
        <f>SUM(Usinas!F10:F17)</f>
        <v>183438.27</v>
      </c>
      <c r="AI26" s="20">
        <f>Usinas!G3</f>
        <v>7299018</v>
      </c>
      <c r="AK26" s="20">
        <f>SUM(Usinas!G10:G17)</f>
        <v>350614.22</v>
      </c>
    </row>
    <row r="30" spans="1:37" ht="15" customHeight="1" x14ac:dyDescent="0.25">
      <c r="K30" s="31"/>
    </row>
    <row r="31" spans="1:37" ht="15" customHeight="1" x14ac:dyDescent="0.25">
      <c r="K31" s="31"/>
    </row>
    <row r="32" spans="1:37" ht="15" customHeight="1" x14ac:dyDescent="0.25">
      <c r="K32" s="31"/>
      <c r="W32" s="19" t="s">
        <v>77</v>
      </c>
    </row>
    <row r="33" spans="3:35" ht="15" customHeight="1" x14ac:dyDescent="0.25">
      <c r="K33" s="31"/>
      <c r="W33" s="20">
        <f>Usinas!E4</f>
        <v>4407904</v>
      </c>
      <c r="AI33" s="19" t="s">
        <v>77</v>
      </c>
    </row>
    <row r="34" spans="3:35" ht="15" customHeight="1" x14ac:dyDescent="0.25">
      <c r="K34" s="31"/>
      <c r="AI34" s="20">
        <f>Usinas!G4</f>
        <v>6564061</v>
      </c>
    </row>
    <row r="35" spans="3:35" ht="15" customHeight="1" x14ac:dyDescent="0.25">
      <c r="K35" s="31"/>
    </row>
    <row r="36" spans="3:35" ht="15" customHeight="1" x14ac:dyDescent="0.25">
      <c r="C36" s="19" t="s">
        <v>77</v>
      </c>
      <c r="H36" s="19" t="s">
        <v>77</v>
      </c>
      <c r="U36" s="19" t="s">
        <v>77</v>
      </c>
      <c r="AB36" s="19" t="s">
        <v>77</v>
      </c>
    </row>
    <row r="37" spans="3:35" ht="15" customHeight="1" x14ac:dyDescent="0.25">
      <c r="C37" s="20">
        <f>Usinas!B4</f>
        <v>4265436</v>
      </c>
      <c r="H37" s="20">
        <f>Usinas!C4</f>
        <v>4300881</v>
      </c>
      <c r="U37" s="20">
        <f>Usinas!D4</f>
        <v>3993940</v>
      </c>
      <c r="AB37" s="20">
        <f>Usinas!F4</f>
        <v>4401882</v>
      </c>
    </row>
    <row r="42" spans="3:35" ht="15" customHeight="1" x14ac:dyDescent="0.25">
      <c r="AG42" s="19" t="s">
        <v>77</v>
      </c>
    </row>
    <row r="43" spans="3:35" ht="15" customHeight="1" x14ac:dyDescent="0.25">
      <c r="AG43" s="20">
        <f>Materiais!B9</f>
        <v>5737608</v>
      </c>
    </row>
    <row r="44" spans="3:35" ht="15" customHeight="1" x14ac:dyDescent="0.25">
      <c r="M44" s="19" t="s">
        <v>76</v>
      </c>
      <c r="Q44" s="19" t="s">
        <v>76</v>
      </c>
    </row>
    <row r="45" spans="3:35" ht="15" customHeight="1" x14ac:dyDescent="0.25">
      <c r="C45" s="31"/>
      <c r="M45" s="20">
        <f>C81</f>
        <v>24003210.433000006</v>
      </c>
      <c r="Q45" s="20">
        <f>C82</f>
        <v>52494059.505999982</v>
      </c>
    </row>
    <row r="46" spans="3:35" ht="15" customHeight="1" x14ac:dyDescent="0.25">
      <c r="C46" s="31"/>
    </row>
    <row r="47" spans="3:35" ht="15" customHeight="1" x14ac:dyDescent="0.25">
      <c r="C47" s="31"/>
    </row>
    <row r="48" spans="3:35" ht="15" customHeight="1" x14ac:dyDescent="0.25">
      <c r="C48" s="31"/>
    </row>
    <row r="49" spans="1:35" ht="15" customHeight="1" x14ac:dyDescent="0.25">
      <c r="C49" s="31"/>
    </row>
    <row r="50" spans="1:35" ht="15" customHeight="1" x14ac:dyDescent="0.25">
      <c r="H50" s="19" t="s">
        <v>77</v>
      </c>
      <c r="V50" s="19" t="s">
        <v>77</v>
      </c>
    </row>
    <row r="51" spans="1:35" ht="15" customHeight="1" x14ac:dyDescent="0.25">
      <c r="H51" s="20">
        <f>B81</f>
        <v>4590751.0769999996</v>
      </c>
      <c r="V51" s="20">
        <f>B82</f>
        <v>11301413.467</v>
      </c>
      <c r="AE51" s="21"/>
    </row>
    <row r="52" spans="1:35" ht="15" customHeight="1" x14ac:dyDescent="0.25">
      <c r="A52" s="21"/>
      <c r="AC52" s="21"/>
      <c r="AE52" s="21"/>
    </row>
    <row r="53" spans="1:35" ht="15" customHeight="1" x14ac:dyDescent="0.25">
      <c r="AC53" s="21"/>
      <c r="AE53" s="21"/>
    </row>
    <row r="55" spans="1:35" ht="15" customHeight="1" x14ac:dyDescent="0.25">
      <c r="H55" s="31"/>
    </row>
    <row r="56" spans="1:35" ht="15" customHeight="1" x14ac:dyDescent="0.25">
      <c r="H56" s="31"/>
    </row>
    <row r="57" spans="1:35" ht="15" customHeight="1" x14ac:dyDescent="0.25">
      <c r="H57" s="31"/>
    </row>
    <row r="62" spans="1:35" ht="15" customHeight="1" x14ac:dyDescent="0.25">
      <c r="J62" s="19" t="s">
        <v>77</v>
      </c>
      <c r="L62" s="19" t="s">
        <v>76</v>
      </c>
      <c r="N62" s="19" t="s">
        <v>76</v>
      </c>
      <c r="P62" s="19" t="s">
        <v>77</v>
      </c>
      <c r="R62" s="19" t="s">
        <v>77</v>
      </c>
      <c r="T62" s="19" t="s">
        <v>76</v>
      </c>
      <c r="Z62" s="19" t="s">
        <v>77</v>
      </c>
    </row>
    <row r="63" spans="1:35" ht="15" customHeight="1" x14ac:dyDescent="0.25">
      <c r="J63" s="20">
        <f>H51+K33</f>
        <v>4590751.0769999996</v>
      </c>
      <c r="L63" s="20">
        <f>M45</f>
        <v>24003210.433000006</v>
      </c>
      <c r="N63" s="20">
        <f>M3-E17-W18-AI18-M45-Q45</f>
        <v>4372242.5320000723</v>
      </c>
      <c r="P63" s="20">
        <f>O3</f>
        <v>2801806.5260000001</v>
      </c>
      <c r="R63" s="20">
        <f>C57+H56+S43+V51</f>
        <v>11301413.467</v>
      </c>
      <c r="T63" s="20">
        <f>Q45</f>
        <v>52494059.505999982</v>
      </c>
      <c r="Z63" s="20">
        <f>U37+W33+AB37-V51</f>
        <v>1502312.5329999998</v>
      </c>
    </row>
    <row r="64" spans="1:35" ht="15" customHeight="1" x14ac:dyDescent="0.25">
      <c r="AI64" s="19" t="s">
        <v>77</v>
      </c>
    </row>
    <row r="65" spans="1:35" ht="15" customHeight="1" x14ac:dyDescent="0.25">
      <c r="AI65" s="20">
        <f>AI34-AG43</f>
        <v>826453</v>
      </c>
    </row>
    <row r="67" spans="1:35" ht="15" customHeight="1" x14ac:dyDescent="0.25">
      <c r="B67" s="19" t="s">
        <v>77</v>
      </c>
    </row>
    <row r="68" spans="1:35" ht="15" customHeight="1" x14ac:dyDescent="0.25">
      <c r="B68" s="20">
        <f>C37+H37-H51</f>
        <v>3975565.9230000004</v>
      </c>
    </row>
    <row r="79" spans="1:35" ht="15" customHeight="1" x14ac:dyDescent="0.25">
      <c r="A79" s="83" t="s">
        <v>78</v>
      </c>
      <c r="B79" s="83"/>
      <c r="C79" s="83"/>
    </row>
    <row r="80" spans="1:35" ht="15" customHeight="1" x14ac:dyDescent="0.25">
      <c r="A80" s="18" t="s">
        <v>60</v>
      </c>
      <c r="B80" s="18" t="s">
        <v>77</v>
      </c>
      <c r="C80" s="18" t="s">
        <v>76</v>
      </c>
    </row>
    <row r="81" spans="1:3" ht="15" customHeight="1" x14ac:dyDescent="0.25">
      <c r="A81" s="18" t="s">
        <v>75</v>
      </c>
      <c r="B81" s="18">
        <v>4590751.0769999996</v>
      </c>
      <c r="C81" s="18">
        <v>24003210.433000006</v>
      </c>
    </row>
    <row r="82" spans="1:3" ht="15" customHeight="1" x14ac:dyDescent="0.25">
      <c r="A82" s="18" t="s">
        <v>74</v>
      </c>
      <c r="B82" s="18">
        <v>11301413.467</v>
      </c>
      <c r="C82" s="18">
        <v>52494059.505999982</v>
      </c>
    </row>
  </sheetData>
  <sheetProtection password="B056" sheet="1" objects="1" scenarios="1"/>
  <mergeCells count="1">
    <mergeCell ref="A79:C79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N79"/>
  <sheetViews>
    <sheetView showGridLines="0" zoomScale="70" zoomScaleNormal="70" workbookViewId="0">
      <selection activeCell="R29" sqref="R29"/>
    </sheetView>
  </sheetViews>
  <sheetFormatPr defaultRowHeight="15" customHeight="1" x14ac:dyDescent="0.25"/>
  <cols>
    <col min="1" max="2" width="9.140625" style="22"/>
    <col min="3" max="3" width="9.140625" style="22" customWidth="1"/>
    <col min="4" max="10" width="9.140625" style="22"/>
    <col min="11" max="11" width="10.28515625" style="22" bestFit="1" customWidth="1"/>
    <col min="12" max="12" width="10.85546875" style="22" bestFit="1" customWidth="1"/>
    <col min="13" max="13" width="10.85546875" style="22" customWidth="1"/>
    <col min="14" max="14" width="12" style="22" bestFit="1" customWidth="1"/>
    <col min="15" max="15" width="9.5703125" style="22" customWidth="1"/>
    <col min="16" max="16" width="9.28515625" style="22" bestFit="1" customWidth="1"/>
    <col min="17" max="18" width="9.28515625" style="22" customWidth="1"/>
    <col min="19" max="19" width="9.140625" style="22"/>
    <col min="20" max="20" width="10.28515625" style="22" bestFit="1" customWidth="1"/>
    <col min="21" max="21" width="9.85546875" style="22" bestFit="1" customWidth="1"/>
    <col min="22" max="22" width="9.140625" style="22"/>
    <col min="23" max="26" width="9.85546875" style="22" bestFit="1" customWidth="1"/>
    <col min="27" max="31" width="9.140625" style="22"/>
    <col min="32" max="32" width="9.85546875" style="22" bestFit="1" customWidth="1"/>
    <col min="33" max="33" width="9.140625" style="22"/>
    <col min="34" max="34" width="9.85546875" style="22" bestFit="1" customWidth="1"/>
    <col min="35" max="16384" width="9.140625" style="22"/>
  </cols>
  <sheetData>
    <row r="2" spans="11:26" ht="15" customHeight="1" x14ac:dyDescent="0.25"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Z2" s="23"/>
    </row>
    <row r="3" spans="11:26" ht="15" customHeight="1" x14ac:dyDescent="0.25">
      <c r="K3" s="18"/>
      <c r="L3" s="19" t="s">
        <v>48</v>
      </c>
      <c r="N3" s="19" t="s">
        <v>49</v>
      </c>
      <c r="O3" s="18"/>
      <c r="P3" s="19" t="s">
        <v>51</v>
      </c>
      <c r="R3" s="19" t="s">
        <v>50</v>
      </c>
      <c r="S3" s="18"/>
    </row>
    <row r="4" spans="11:26" ht="15" customHeight="1" x14ac:dyDescent="0.25">
      <c r="K4" s="18"/>
      <c r="L4" s="20">
        <f>Materiais!F4</f>
        <v>345299.402</v>
      </c>
      <c r="M4" s="23"/>
      <c r="N4" s="20">
        <f>Materiais!F5</f>
        <v>606958.32000000007</v>
      </c>
      <c r="O4" s="18"/>
      <c r="P4" s="20">
        <f>Materiais!F7</f>
        <v>761043.97800000012</v>
      </c>
      <c r="Q4" s="23"/>
      <c r="R4" s="20">
        <f>Materiais!F6</f>
        <v>10537348.169</v>
      </c>
      <c r="S4" s="18"/>
    </row>
    <row r="5" spans="11:26" ht="15" customHeight="1" x14ac:dyDescent="0.25">
      <c r="K5" s="18"/>
      <c r="L5" s="18"/>
      <c r="M5" s="18"/>
      <c r="O5" s="18"/>
      <c r="P5" s="18"/>
      <c r="Q5" s="18"/>
      <c r="R5" s="18"/>
      <c r="S5" s="18"/>
    </row>
    <row r="6" spans="11:26" ht="15" customHeight="1" x14ac:dyDescent="0.25">
      <c r="K6" s="18"/>
      <c r="L6" s="18"/>
      <c r="M6" s="18"/>
      <c r="N6" s="18"/>
      <c r="O6" s="18"/>
      <c r="P6" s="18"/>
      <c r="Q6" s="18"/>
      <c r="R6" s="18"/>
      <c r="S6" s="18"/>
    </row>
    <row r="7" spans="11:26" ht="15" customHeight="1" x14ac:dyDescent="0.25">
      <c r="K7" s="18"/>
      <c r="L7" s="18"/>
      <c r="M7" s="18"/>
      <c r="N7" s="18"/>
      <c r="O7" s="18"/>
      <c r="P7" s="18"/>
      <c r="Q7" s="18"/>
      <c r="R7" s="18"/>
      <c r="S7" s="18"/>
    </row>
    <row r="8" spans="11:26" ht="15" customHeight="1" x14ac:dyDescent="0.25"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</row>
    <row r="9" spans="11:26" ht="15" customHeight="1" x14ac:dyDescent="0.25"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</row>
    <row r="10" spans="11:26" ht="15" customHeight="1" x14ac:dyDescent="0.25"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</row>
    <row r="11" spans="11:26" ht="15" customHeight="1" x14ac:dyDescent="0.25"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3" spans="11:26" ht="15" customHeight="1" x14ac:dyDescent="0.25">
      <c r="K13" s="19" t="s">
        <v>48</v>
      </c>
      <c r="M13" s="19" t="s">
        <v>51</v>
      </c>
    </row>
    <row r="14" spans="11:26" ht="15" customHeight="1" x14ac:dyDescent="0.25">
      <c r="K14" s="20">
        <f>L4+N4</f>
        <v>952257.72200000007</v>
      </c>
      <c r="M14" s="20">
        <f>P4</f>
        <v>761043.97800000012</v>
      </c>
    </row>
    <row r="17" spans="2:40" ht="15" customHeight="1" x14ac:dyDescent="0.25">
      <c r="D17" s="23"/>
      <c r="F17" s="23"/>
      <c r="J17" s="19" t="s">
        <v>50</v>
      </c>
      <c r="T17" s="19" t="s">
        <v>50</v>
      </c>
    </row>
    <row r="18" spans="2:40" ht="15" customHeight="1" x14ac:dyDescent="0.25">
      <c r="J18" s="20">
        <v>4265466.16</v>
      </c>
      <c r="T18" s="20">
        <f>R4-J18</f>
        <v>6271882.0089999996</v>
      </c>
      <c r="Z18" s="23"/>
      <c r="AB18" s="23"/>
      <c r="AL18" s="23"/>
      <c r="AN18" s="23"/>
    </row>
    <row r="22" spans="2:40" ht="15" customHeight="1" x14ac:dyDescent="0.25">
      <c r="F22" s="35"/>
      <c r="O22" s="35"/>
    </row>
    <row r="23" spans="2:40" ht="15" customHeight="1" x14ac:dyDescent="0.25">
      <c r="F23" s="35"/>
      <c r="O23" s="35"/>
    </row>
    <row r="24" spans="2:40" ht="15" customHeight="1" x14ac:dyDescent="0.25">
      <c r="F24" s="35"/>
      <c r="O24" s="35"/>
    </row>
    <row r="25" spans="2:40" ht="15" customHeight="1" x14ac:dyDescent="0.25">
      <c r="F25" s="35"/>
      <c r="J25" s="19" t="s">
        <v>50</v>
      </c>
      <c r="L25" s="19" t="s">
        <v>48</v>
      </c>
      <c r="O25" s="35"/>
    </row>
    <row r="26" spans="2:40" ht="15" customHeight="1" x14ac:dyDescent="0.25">
      <c r="B26" s="23"/>
      <c r="F26" s="35"/>
      <c r="G26" s="23"/>
      <c r="I26" s="23"/>
      <c r="J26" s="20">
        <f>J18</f>
        <v>4265466.16</v>
      </c>
      <c r="L26" s="20">
        <f>K14</f>
        <v>952257.72200000007</v>
      </c>
      <c r="O26" s="35"/>
      <c r="U26" s="23"/>
      <c r="W26" s="23"/>
      <c r="Z26" s="23"/>
      <c r="AB26" s="23"/>
      <c r="AE26" s="23"/>
      <c r="AG26" s="23"/>
      <c r="AL26" s="23"/>
      <c r="AN26" s="23"/>
    </row>
    <row r="27" spans="2:40" ht="15" customHeight="1" x14ac:dyDescent="0.25">
      <c r="F27" s="35"/>
    </row>
    <row r="28" spans="2:40" ht="15" customHeight="1" x14ac:dyDescent="0.25">
      <c r="F28" s="35"/>
    </row>
    <row r="29" spans="2:40" ht="15" customHeight="1" x14ac:dyDescent="0.25">
      <c r="F29" s="35"/>
      <c r="L29" s="19" t="s">
        <v>51</v>
      </c>
    </row>
    <row r="30" spans="2:40" ht="15" customHeight="1" x14ac:dyDescent="0.25">
      <c r="F30" s="35"/>
      <c r="L30" s="20">
        <f>M14</f>
        <v>761043.97800000012</v>
      </c>
    </row>
    <row r="33" spans="2:38" ht="15" customHeight="1" x14ac:dyDescent="0.25">
      <c r="J33" s="23"/>
      <c r="Z33" s="23"/>
    </row>
    <row r="34" spans="2:38" ht="15" customHeight="1" x14ac:dyDescent="0.25">
      <c r="AL34" s="23"/>
    </row>
    <row r="37" spans="2:38" ht="15" customHeight="1" x14ac:dyDescent="0.25">
      <c r="B37" s="23"/>
      <c r="G37" s="23"/>
      <c r="X37" s="23"/>
      <c r="AE37" s="23"/>
    </row>
    <row r="45" spans="2:38" ht="15" customHeight="1" x14ac:dyDescent="0.25">
      <c r="L45" s="23"/>
      <c r="M45" s="23"/>
      <c r="N45" s="23"/>
      <c r="T45" s="23"/>
    </row>
    <row r="46" spans="2:38" ht="15" customHeight="1" x14ac:dyDescent="0.25">
      <c r="B46" s="23"/>
    </row>
    <row r="47" spans="2:38" ht="15" customHeight="1" x14ac:dyDescent="0.25">
      <c r="AF47" s="23"/>
    </row>
    <row r="51" spans="7:34" ht="15" customHeight="1" x14ac:dyDescent="0.25">
      <c r="G51" s="23"/>
      <c r="Y51" s="23"/>
      <c r="AH51" s="23"/>
    </row>
    <row r="52" spans="7:34" ht="15" customHeight="1" x14ac:dyDescent="0.25">
      <c r="AF52" s="23"/>
      <c r="AH52" s="23"/>
    </row>
    <row r="53" spans="7:34" ht="15" customHeight="1" x14ac:dyDescent="0.25">
      <c r="AF53" s="23"/>
      <c r="AH53" s="23"/>
    </row>
    <row r="56" spans="7:34" ht="15" customHeight="1" x14ac:dyDescent="0.25">
      <c r="G56" s="23"/>
    </row>
    <row r="63" spans="7:34" ht="15" customHeight="1" x14ac:dyDescent="0.25">
      <c r="I63" s="23"/>
      <c r="K63" s="23"/>
      <c r="O63" s="23"/>
      <c r="S63" s="23"/>
      <c r="U63" s="23"/>
      <c r="W63" s="23"/>
      <c r="AC63" s="23"/>
    </row>
    <row r="65" spans="1:38" ht="15" customHeight="1" x14ac:dyDescent="0.25">
      <c r="AL65" s="23"/>
    </row>
    <row r="68" spans="1:38" ht="15" customHeight="1" x14ac:dyDescent="0.25">
      <c r="A68" s="23"/>
    </row>
    <row r="79" spans="1:38" ht="15" customHeight="1" x14ac:dyDescent="0.25">
      <c r="A79" s="84"/>
      <c r="B79" s="84"/>
    </row>
  </sheetData>
  <sheetProtection password="B056" sheet="1" objects="1" scenarios="1"/>
  <mergeCells count="1">
    <mergeCell ref="A79:B7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9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1" sqref="C1:D2"/>
    </sheetView>
  </sheetViews>
  <sheetFormatPr defaultRowHeight="15" customHeight="1" x14ac:dyDescent="0.25"/>
  <cols>
    <col min="1" max="1" width="34.5703125" style="32" customWidth="1"/>
    <col min="2" max="2" width="28.5703125" style="26" customWidth="1"/>
    <col min="3" max="4" width="12.85546875" style="33" customWidth="1"/>
    <col min="5" max="8" width="9.5703125" style="26" customWidth="1"/>
    <col min="9" max="9" width="18.5703125" style="33" bestFit="1" customWidth="1"/>
    <col min="10" max="10" width="9.42578125" style="53" customWidth="1"/>
    <col min="11" max="11" width="26.140625" style="37" bestFit="1" customWidth="1"/>
    <col min="12" max="12" width="9.42578125" style="53" customWidth="1"/>
    <col min="13" max="15" width="8.5703125" style="26" customWidth="1"/>
    <col min="16" max="16384" width="9.140625" style="26"/>
  </cols>
  <sheetData>
    <row r="1" spans="1:15" s="33" customFormat="1" ht="15" customHeight="1" x14ac:dyDescent="0.25">
      <c r="A1" s="99" t="s">
        <v>88</v>
      </c>
      <c r="B1" s="99" t="s">
        <v>93</v>
      </c>
      <c r="C1" s="96" t="s">
        <v>299</v>
      </c>
      <c r="D1" s="96" t="s">
        <v>300</v>
      </c>
      <c r="E1" s="99" t="s">
        <v>190</v>
      </c>
      <c r="F1" s="99"/>
      <c r="G1" s="99"/>
      <c r="H1" s="99"/>
      <c r="I1" s="99" t="s">
        <v>287</v>
      </c>
      <c r="J1" s="99"/>
      <c r="K1" s="99" t="s">
        <v>288</v>
      </c>
      <c r="L1" s="99"/>
      <c r="M1" s="99" t="s">
        <v>194</v>
      </c>
      <c r="N1" s="99"/>
      <c r="O1" s="99"/>
    </row>
    <row r="2" spans="1:15" s="29" customFormat="1" ht="15" customHeight="1" x14ac:dyDescent="0.25">
      <c r="A2" s="99"/>
      <c r="B2" s="99"/>
      <c r="C2" s="96"/>
      <c r="D2" s="96"/>
      <c r="E2" s="68" t="s">
        <v>76</v>
      </c>
      <c r="F2" s="68" t="s">
        <v>50</v>
      </c>
      <c r="G2" s="68" t="s">
        <v>94</v>
      </c>
      <c r="H2" s="68" t="s">
        <v>77</v>
      </c>
      <c r="I2" s="69" t="s">
        <v>196</v>
      </c>
      <c r="J2" s="70" t="s">
        <v>197</v>
      </c>
      <c r="K2" s="69" t="s">
        <v>196</v>
      </c>
      <c r="L2" s="70" t="s">
        <v>197</v>
      </c>
      <c r="M2" s="68" t="s">
        <v>191</v>
      </c>
      <c r="N2" s="68" t="s">
        <v>297</v>
      </c>
      <c r="O2" s="68" t="s">
        <v>298</v>
      </c>
    </row>
    <row r="3" spans="1:15" s="33" customFormat="1" ht="15" customHeight="1" x14ac:dyDescent="0.25">
      <c r="A3" s="97" t="s">
        <v>294</v>
      </c>
      <c r="B3" s="40" t="s">
        <v>295</v>
      </c>
      <c r="C3" s="71">
        <v>-20.250613999999999</v>
      </c>
      <c r="D3" s="71">
        <v>-40.257874000000001</v>
      </c>
      <c r="E3" s="72"/>
      <c r="F3" s="73"/>
      <c r="G3" s="72">
        <f>SUM(Usinas!B14:G17)</f>
        <v>1054480</v>
      </c>
      <c r="H3" s="73"/>
      <c r="I3" s="73"/>
      <c r="J3" s="57"/>
      <c r="K3" s="57"/>
      <c r="L3" s="57"/>
      <c r="M3" s="74">
        <f xml:space="preserve"> (1/8760) * (( $E3*C$181 + $F3*C$182 + $G3*C$183) * (1-$J3) + $H3*C$184 * (1-$L3))</f>
        <v>9.1413529186674836E-2</v>
      </c>
      <c r="N3" s="74">
        <f t="shared" ref="N3:N4" si="0" xml:space="preserve"> (1/8760) * (( $E3*D$181 + $F3*D$182 + $G3*D$183) * (1-$J3) + $H3*D$184 * (1-$L3))</f>
        <v>4.3236128669373236E-2</v>
      </c>
      <c r="O3" s="74">
        <f t="shared" ref="O3:O4" si="1" xml:space="preserve"> (1/8760) * (( $E3*E$181 + $F3*E$182 + $G3*E$183) * (1-$J3) + $H3*E$184 * (1-$L3))</f>
        <v>6.5471851985050905E-3</v>
      </c>
    </row>
    <row r="4" spans="1:15" s="33" customFormat="1" ht="15" customHeight="1" x14ac:dyDescent="0.25">
      <c r="A4" s="98"/>
      <c r="B4" s="40" t="s">
        <v>296</v>
      </c>
      <c r="C4" s="71">
        <v>-20.250613999999999</v>
      </c>
      <c r="D4" s="71">
        <v>-40.257874000000001</v>
      </c>
      <c r="E4" s="72"/>
      <c r="F4" s="73"/>
      <c r="G4" s="72">
        <f>G3</f>
        <v>1054480</v>
      </c>
      <c r="H4" s="73"/>
      <c r="I4" s="73"/>
      <c r="J4" s="57"/>
      <c r="K4" s="57"/>
      <c r="L4" s="57"/>
      <c r="M4" s="74">
        <f t="shared" ref="M4" si="2" xml:space="preserve"> (1/8760) * (( $E4*C$181 + $F4*C$182 + $G4*C$183) * (1-$J4) + $H4*C$184 * (1-$L4))</f>
        <v>9.1413529186674836E-2</v>
      </c>
      <c r="N4" s="74">
        <f t="shared" si="0"/>
        <v>4.3236128669373236E-2</v>
      </c>
      <c r="O4" s="74">
        <f t="shared" si="1"/>
        <v>6.5471851985050905E-3</v>
      </c>
    </row>
    <row r="5" spans="1:15" ht="15" customHeight="1" x14ac:dyDescent="0.25">
      <c r="A5" s="95" t="s">
        <v>89</v>
      </c>
      <c r="B5" s="40" t="s">
        <v>90</v>
      </c>
      <c r="C5" s="71">
        <v>-20.276681</v>
      </c>
      <c r="D5" s="71">
        <v>-40.245950999999998</v>
      </c>
      <c r="E5" s="72">
        <f>'Tubarão - Rota'!E17</f>
        <v>9630826</v>
      </c>
      <c r="F5" s="73"/>
      <c r="G5" s="72">
        <f>SUM(Usinas!B14:C17)</f>
        <v>227834</v>
      </c>
      <c r="H5" s="73"/>
      <c r="I5" s="73" t="s">
        <v>201</v>
      </c>
      <c r="J5" s="57">
        <v>0.5</v>
      </c>
      <c r="K5" s="57"/>
      <c r="L5" s="57"/>
      <c r="M5" s="74">
        <f xml:space="preserve"> (1/8760) * (( $E5*C$181 + $F5*C$182 + $G5*C$183) * (1-$J5) + $H5*C$184 * (1-$L5))</f>
        <v>0.25430658650222332</v>
      </c>
      <c r="N5" s="74">
        <f xml:space="preserve"> (1/8760) * (( $E5*D$181 + $F5*D$182 + $G5*D$183) * (1-$J5) + $H5*D$184 * (1-$L5))</f>
        <v>0.12028014226456506</v>
      </c>
      <c r="O5" s="74">
        <f xml:space="preserve"> (1/8760) * (( $E5*E$181 + $F5*E$182 + $G5*E$183) * (1-$J5) + $H5*E$184 * (1-$L5))</f>
        <v>1.8213850114348423E-2</v>
      </c>
    </row>
    <row r="6" spans="1:15" ht="15" customHeight="1" x14ac:dyDescent="0.25">
      <c r="A6" s="95"/>
      <c r="B6" s="40" t="s">
        <v>91</v>
      </c>
      <c r="C6" s="71">
        <v>-20.277325999999999</v>
      </c>
      <c r="D6" s="71">
        <v>-40.246743000000002</v>
      </c>
      <c r="E6" s="72">
        <f t="shared" ref="E6:E11" si="3">E5</f>
        <v>9630826</v>
      </c>
      <c r="F6" s="73"/>
      <c r="G6" s="72">
        <f t="shared" ref="G6:G11" si="4">G5</f>
        <v>227834</v>
      </c>
      <c r="H6" s="73"/>
      <c r="I6" s="73" t="s">
        <v>263</v>
      </c>
      <c r="J6" s="57">
        <v>0.51</v>
      </c>
      <c r="K6" s="57"/>
      <c r="L6" s="57"/>
      <c r="M6" s="74">
        <f t="shared" ref="M6:M69" si="5" xml:space="preserve"> (1/8760) * (( $E6*C$181 + $F6*C$182 + $G6*C$183) * (1-$J6) + $H6*C$184 * (1-$L6))</f>
        <v>0.24922045477217883</v>
      </c>
      <c r="N6" s="74">
        <f t="shared" ref="N6:N69" si="6" xml:space="preserve"> (1/8760) * (( $E6*D$181 + $F6*D$182 + $G6*D$183) * (1-$J6) + $H6*D$184 * (1-$L6))</f>
        <v>0.11787453941927376</v>
      </c>
      <c r="O6" s="74">
        <f t="shared" ref="O6:O69" si="7" xml:space="preserve"> (1/8760) * (( $E6*E$181 + $F6*E$182 + $G6*E$183) * (1-$J6) + $H6*E$184 * (1-$L6))</f>
        <v>1.7849573112061454E-2</v>
      </c>
    </row>
    <row r="7" spans="1:15" ht="15" customHeight="1" x14ac:dyDescent="0.25">
      <c r="A7" s="95"/>
      <c r="B7" s="40" t="s">
        <v>92</v>
      </c>
      <c r="C7" s="71">
        <v>-20.276035</v>
      </c>
      <c r="D7" s="71">
        <v>-40.247320000000002</v>
      </c>
      <c r="E7" s="72">
        <f t="shared" si="3"/>
        <v>9630826</v>
      </c>
      <c r="F7" s="73"/>
      <c r="G7" s="72">
        <f t="shared" si="4"/>
        <v>227834</v>
      </c>
      <c r="H7" s="73"/>
      <c r="I7" s="73" t="s">
        <v>263</v>
      </c>
      <c r="J7" s="57">
        <v>0.51</v>
      </c>
      <c r="K7" s="57"/>
      <c r="L7" s="57"/>
      <c r="M7" s="74">
        <f t="shared" si="5"/>
        <v>0.24922045477217883</v>
      </c>
      <c r="N7" s="74">
        <f t="shared" si="6"/>
        <v>0.11787453941927376</v>
      </c>
      <c r="O7" s="74">
        <f t="shared" si="7"/>
        <v>1.7849573112061454E-2</v>
      </c>
    </row>
    <row r="8" spans="1:15" ht="15" customHeight="1" x14ac:dyDescent="0.25">
      <c r="A8" s="95"/>
      <c r="B8" s="40" t="s">
        <v>120</v>
      </c>
      <c r="C8" s="71">
        <v>-20.275251000000001</v>
      </c>
      <c r="D8" s="71">
        <v>-40.247706000000001</v>
      </c>
      <c r="E8" s="72">
        <f t="shared" si="3"/>
        <v>9630826</v>
      </c>
      <c r="F8" s="73"/>
      <c r="G8" s="72">
        <f t="shared" si="4"/>
        <v>227834</v>
      </c>
      <c r="H8" s="73"/>
      <c r="I8" s="75"/>
      <c r="J8" s="58"/>
      <c r="K8" s="58"/>
      <c r="L8" s="58"/>
      <c r="M8" s="74">
        <f t="shared" si="5"/>
        <v>0.50861317300444664</v>
      </c>
      <c r="N8" s="74">
        <f t="shared" si="6"/>
        <v>0.24056028452913011</v>
      </c>
      <c r="O8" s="74">
        <f t="shared" si="7"/>
        <v>3.6427700228696847E-2</v>
      </c>
    </row>
    <row r="9" spans="1:15" ht="15" customHeight="1" x14ac:dyDescent="0.25">
      <c r="A9" s="95" t="s">
        <v>95</v>
      </c>
      <c r="B9" s="40" t="s">
        <v>96</v>
      </c>
      <c r="C9" s="71">
        <v>-20.275251000000001</v>
      </c>
      <c r="D9" s="71">
        <v>-40.247706000000001</v>
      </c>
      <c r="E9" s="72">
        <f t="shared" si="3"/>
        <v>9630826</v>
      </c>
      <c r="F9" s="73"/>
      <c r="G9" s="72">
        <f t="shared" si="4"/>
        <v>227834</v>
      </c>
      <c r="H9" s="73"/>
      <c r="I9" s="75"/>
      <c r="J9" s="58"/>
      <c r="K9" s="58"/>
      <c r="L9" s="58"/>
      <c r="M9" s="74">
        <f t="shared" si="5"/>
        <v>0.50861317300444664</v>
      </c>
      <c r="N9" s="74">
        <f t="shared" si="6"/>
        <v>0.24056028452913011</v>
      </c>
      <c r="O9" s="74">
        <f t="shared" si="7"/>
        <v>3.6427700228696847E-2</v>
      </c>
    </row>
    <row r="10" spans="1:15" ht="14.25" customHeight="1" x14ac:dyDescent="0.25">
      <c r="A10" s="95"/>
      <c r="B10" s="40" t="s">
        <v>97</v>
      </c>
      <c r="C10" s="71">
        <v>-20.268681999999998</v>
      </c>
      <c r="D10" s="71">
        <v>-40.250402000000001</v>
      </c>
      <c r="E10" s="72">
        <f t="shared" si="3"/>
        <v>9630826</v>
      </c>
      <c r="F10" s="73"/>
      <c r="G10" s="72">
        <f t="shared" si="4"/>
        <v>227834</v>
      </c>
      <c r="H10" s="73"/>
      <c r="I10" s="73" t="s">
        <v>263</v>
      </c>
      <c r="J10" s="57">
        <v>0.51</v>
      </c>
      <c r="K10" s="57"/>
      <c r="L10" s="57"/>
      <c r="M10" s="74">
        <f t="shared" si="5"/>
        <v>0.24922045477217883</v>
      </c>
      <c r="N10" s="74">
        <f t="shared" si="6"/>
        <v>0.11787453941927376</v>
      </c>
      <c r="O10" s="74">
        <f t="shared" si="7"/>
        <v>1.7849573112061454E-2</v>
      </c>
    </row>
    <row r="11" spans="1:15" ht="15" customHeight="1" x14ac:dyDescent="0.25">
      <c r="A11" s="95"/>
      <c r="B11" s="40" t="s">
        <v>98</v>
      </c>
      <c r="C11" s="71">
        <v>-20.268967</v>
      </c>
      <c r="D11" s="71">
        <v>-40.251415999999999</v>
      </c>
      <c r="E11" s="72">
        <f t="shared" si="3"/>
        <v>9630826</v>
      </c>
      <c r="F11" s="73"/>
      <c r="G11" s="72">
        <f t="shared" si="4"/>
        <v>227834</v>
      </c>
      <c r="H11" s="73"/>
      <c r="I11" s="73" t="s">
        <v>263</v>
      </c>
      <c r="J11" s="57">
        <v>0.51</v>
      </c>
      <c r="K11" s="57"/>
      <c r="L11" s="57"/>
      <c r="M11" s="74">
        <f t="shared" si="5"/>
        <v>0.24922045477217883</v>
      </c>
      <c r="N11" s="74">
        <f t="shared" si="6"/>
        <v>0.11787453941927376</v>
      </c>
      <c r="O11" s="74">
        <f t="shared" si="7"/>
        <v>1.7849573112061454E-2</v>
      </c>
    </row>
    <row r="12" spans="1:15" ht="15" customHeight="1" x14ac:dyDescent="0.25">
      <c r="A12" s="95" t="s">
        <v>99</v>
      </c>
      <c r="B12" s="40" t="s">
        <v>90</v>
      </c>
      <c r="C12" s="71">
        <v>-20.276681</v>
      </c>
      <c r="D12" s="71">
        <v>-40.245950999999998</v>
      </c>
      <c r="E12" s="72">
        <f>'Tubarão - Rota'!AI18</f>
        <v>7299018</v>
      </c>
      <c r="F12" s="72">
        <f>Usinas!G8</f>
        <v>111087</v>
      </c>
      <c r="G12" s="72">
        <f>SUM(Usinas!G14:G17,Usinas!D14:F17)</f>
        <v>826646</v>
      </c>
      <c r="H12" s="73"/>
      <c r="I12" s="73" t="s">
        <v>201</v>
      </c>
      <c r="J12" s="57">
        <v>0.5</v>
      </c>
      <c r="K12" s="57"/>
      <c r="L12" s="57"/>
      <c r="M12" s="74">
        <f t="shared" si="5"/>
        <v>0.22408708325591548</v>
      </c>
      <c r="N12" s="74">
        <f t="shared" si="6"/>
        <v>0.10598713397239246</v>
      </c>
      <c r="O12" s="74">
        <f t="shared" si="7"/>
        <v>1.6049480287248001E-2</v>
      </c>
    </row>
    <row r="13" spans="1:15" ht="15" customHeight="1" x14ac:dyDescent="0.25">
      <c r="A13" s="95"/>
      <c r="B13" s="40" t="s">
        <v>103</v>
      </c>
      <c r="C13" s="71">
        <v>-20.276233000000001</v>
      </c>
      <c r="D13" s="71">
        <v>-40.244822999999997</v>
      </c>
      <c r="E13" s="72">
        <f t="shared" ref="E13:G14" si="8">E12</f>
        <v>7299018</v>
      </c>
      <c r="F13" s="72">
        <f t="shared" si="8"/>
        <v>111087</v>
      </c>
      <c r="G13" s="72">
        <f t="shared" si="8"/>
        <v>826646</v>
      </c>
      <c r="H13" s="73"/>
      <c r="I13" s="73" t="s">
        <v>263</v>
      </c>
      <c r="J13" s="57">
        <v>0.51</v>
      </c>
      <c r="K13" s="57"/>
      <c r="L13" s="57"/>
      <c r="M13" s="74">
        <f t="shared" si="5"/>
        <v>0.21960534159079717</v>
      </c>
      <c r="N13" s="74">
        <f t="shared" si="6"/>
        <v>0.1038673912929446</v>
      </c>
      <c r="O13" s="74">
        <f t="shared" si="7"/>
        <v>1.5728490681503039E-2</v>
      </c>
    </row>
    <row r="14" spans="1:15" ht="15" customHeight="1" x14ac:dyDescent="0.25">
      <c r="A14" s="95"/>
      <c r="B14" s="40" t="s">
        <v>119</v>
      </c>
      <c r="C14" s="71">
        <v>-20.270423000000001</v>
      </c>
      <c r="D14" s="71">
        <v>-40.247216000000002</v>
      </c>
      <c r="E14" s="72">
        <f t="shared" si="8"/>
        <v>7299018</v>
      </c>
      <c r="F14" s="72">
        <f t="shared" si="8"/>
        <v>111087</v>
      </c>
      <c r="G14" s="72">
        <f t="shared" si="8"/>
        <v>826646</v>
      </c>
      <c r="H14" s="73"/>
      <c r="I14" s="75"/>
      <c r="J14" s="58"/>
      <c r="K14" s="58"/>
      <c r="L14" s="58"/>
      <c r="M14" s="74">
        <f t="shared" si="5"/>
        <v>0.44817416651183095</v>
      </c>
      <c r="N14" s="74">
        <f t="shared" si="6"/>
        <v>0.21197426794478491</v>
      </c>
      <c r="O14" s="74">
        <f t="shared" si="7"/>
        <v>3.2098960574496002E-2</v>
      </c>
    </row>
    <row r="15" spans="1:15" ht="15" customHeight="1" x14ac:dyDescent="0.25">
      <c r="A15" s="95" t="s">
        <v>104</v>
      </c>
      <c r="B15" s="40" t="s">
        <v>216</v>
      </c>
      <c r="C15" s="71">
        <v>-20.270423000000001</v>
      </c>
      <c r="D15" s="71">
        <v>-40.247216000000002</v>
      </c>
      <c r="E15" s="72">
        <f>E14</f>
        <v>7299018</v>
      </c>
      <c r="F15" s="72">
        <f>F14</f>
        <v>111087</v>
      </c>
      <c r="G15" s="72">
        <f>SUM(Usinas!G14:G17)</f>
        <v>313632</v>
      </c>
      <c r="H15" s="73"/>
      <c r="I15" s="75"/>
      <c r="J15" s="58"/>
      <c r="K15" s="58"/>
      <c r="L15" s="58"/>
      <c r="M15" s="74">
        <f t="shared" si="5"/>
        <v>0.40370066273539823</v>
      </c>
      <c r="N15" s="74">
        <f t="shared" si="6"/>
        <v>0.19093950264512077</v>
      </c>
      <c r="O15" s="74">
        <f t="shared" si="7"/>
        <v>2.8913696114832577E-2</v>
      </c>
    </row>
    <row r="16" spans="1:15" ht="15" customHeight="1" x14ac:dyDescent="0.25">
      <c r="A16" s="95"/>
      <c r="B16" s="40" t="s">
        <v>105</v>
      </c>
      <c r="C16" s="71">
        <v>-20.266967999999999</v>
      </c>
      <c r="D16" s="71">
        <v>-40.248092</v>
      </c>
      <c r="E16" s="72">
        <f>E15</f>
        <v>7299018</v>
      </c>
      <c r="F16" s="72">
        <f>F15</f>
        <v>111087</v>
      </c>
      <c r="G16" s="72">
        <f>G15</f>
        <v>313632</v>
      </c>
      <c r="H16" s="73"/>
      <c r="I16" s="73" t="s">
        <v>263</v>
      </c>
      <c r="J16" s="57">
        <v>0.51</v>
      </c>
      <c r="K16" s="57"/>
      <c r="L16" s="57"/>
      <c r="M16" s="74">
        <f t="shared" si="5"/>
        <v>0.19781332474034513</v>
      </c>
      <c r="N16" s="74">
        <f t="shared" si="6"/>
        <v>9.3560356296109176E-2</v>
      </c>
      <c r="O16" s="74">
        <f t="shared" si="7"/>
        <v>1.4167711096267962E-2</v>
      </c>
    </row>
    <row r="17" spans="1:15" ht="15" customHeight="1" x14ac:dyDescent="0.25">
      <c r="A17" s="95"/>
      <c r="B17" s="40" t="s">
        <v>106</v>
      </c>
      <c r="C17" s="71">
        <v>-20.265628</v>
      </c>
      <c r="D17" s="71">
        <v>-40.245105000000002</v>
      </c>
      <c r="E17" s="72">
        <f t="shared" ref="E17:E25" si="9">E16</f>
        <v>7299018</v>
      </c>
      <c r="F17" s="72">
        <f t="shared" ref="F17:F25" si="10">F16</f>
        <v>111087</v>
      </c>
      <c r="G17" s="72">
        <f t="shared" ref="G17:G25" si="11">G16</f>
        <v>313632</v>
      </c>
      <c r="H17" s="73"/>
      <c r="I17" s="73" t="s">
        <v>263</v>
      </c>
      <c r="J17" s="57">
        <v>0.51</v>
      </c>
      <c r="K17" s="57"/>
      <c r="L17" s="57"/>
      <c r="M17" s="74">
        <f t="shared" si="5"/>
        <v>0.19781332474034513</v>
      </c>
      <c r="N17" s="74">
        <f t="shared" si="6"/>
        <v>9.3560356296109176E-2</v>
      </c>
      <c r="O17" s="74">
        <f t="shared" si="7"/>
        <v>1.4167711096267962E-2</v>
      </c>
    </row>
    <row r="18" spans="1:15" ht="15" customHeight="1" x14ac:dyDescent="0.25">
      <c r="A18" s="95"/>
      <c r="B18" s="40" t="s">
        <v>107</v>
      </c>
      <c r="C18" s="71">
        <v>-20.263380999999999</v>
      </c>
      <c r="D18" s="71">
        <v>-40.244584000000003</v>
      </c>
      <c r="E18" s="72">
        <f t="shared" si="9"/>
        <v>7299018</v>
      </c>
      <c r="F18" s="72">
        <f t="shared" si="10"/>
        <v>111087</v>
      </c>
      <c r="G18" s="72">
        <f t="shared" si="11"/>
        <v>313632</v>
      </c>
      <c r="H18" s="73"/>
      <c r="I18" s="73" t="s">
        <v>263</v>
      </c>
      <c r="J18" s="57">
        <v>0.51</v>
      </c>
      <c r="K18" s="57"/>
      <c r="L18" s="57"/>
      <c r="M18" s="74">
        <f t="shared" si="5"/>
        <v>0.19781332474034513</v>
      </c>
      <c r="N18" s="74">
        <f t="shared" si="6"/>
        <v>9.3560356296109176E-2</v>
      </c>
      <c r="O18" s="74">
        <f t="shared" si="7"/>
        <v>1.4167711096267962E-2</v>
      </c>
    </row>
    <row r="19" spans="1:15" ht="15" customHeight="1" x14ac:dyDescent="0.25">
      <c r="A19" s="95"/>
      <c r="B19" s="40" t="s">
        <v>108</v>
      </c>
      <c r="C19" s="71">
        <v>-20.263218999999999</v>
      </c>
      <c r="D19" s="71">
        <v>-40.244387000000003</v>
      </c>
      <c r="E19" s="72">
        <f t="shared" si="9"/>
        <v>7299018</v>
      </c>
      <c r="F19" s="72">
        <f t="shared" si="10"/>
        <v>111087</v>
      </c>
      <c r="G19" s="72">
        <f t="shared" si="11"/>
        <v>313632</v>
      </c>
      <c r="H19" s="73"/>
      <c r="I19" s="73" t="s">
        <v>263</v>
      </c>
      <c r="J19" s="57">
        <v>0.51</v>
      </c>
      <c r="K19" s="57"/>
      <c r="L19" s="57"/>
      <c r="M19" s="74">
        <f t="shared" si="5"/>
        <v>0.19781332474034513</v>
      </c>
      <c r="N19" s="74">
        <f t="shared" si="6"/>
        <v>9.3560356296109176E-2</v>
      </c>
      <c r="O19" s="74">
        <f t="shared" si="7"/>
        <v>1.4167711096267962E-2</v>
      </c>
    </row>
    <row r="20" spans="1:15" ht="15" customHeight="1" x14ac:dyDescent="0.25">
      <c r="A20" s="95"/>
      <c r="B20" s="40" t="s">
        <v>109</v>
      </c>
      <c r="C20" s="71">
        <v>-20.262308000000001</v>
      </c>
      <c r="D20" s="71">
        <v>-40.244686000000002</v>
      </c>
      <c r="E20" s="72">
        <f t="shared" si="9"/>
        <v>7299018</v>
      </c>
      <c r="F20" s="72">
        <f t="shared" si="10"/>
        <v>111087</v>
      </c>
      <c r="G20" s="72">
        <f t="shared" si="11"/>
        <v>313632</v>
      </c>
      <c r="H20" s="73"/>
      <c r="I20" s="76"/>
      <c r="J20" s="59"/>
      <c r="K20" s="59"/>
      <c r="L20" s="59"/>
      <c r="M20" s="74">
        <f t="shared" si="5"/>
        <v>0.40370066273539823</v>
      </c>
      <c r="N20" s="74">
        <f t="shared" si="6"/>
        <v>0.19093950264512077</v>
      </c>
      <c r="O20" s="74">
        <f t="shared" si="7"/>
        <v>2.8913696114832577E-2</v>
      </c>
    </row>
    <row r="21" spans="1:15" ht="15" customHeight="1" x14ac:dyDescent="0.25">
      <c r="A21" s="95"/>
      <c r="B21" s="40" t="s">
        <v>110</v>
      </c>
      <c r="C21" s="71">
        <v>-20.262308000000001</v>
      </c>
      <c r="D21" s="71">
        <v>-40.244686000000002</v>
      </c>
      <c r="E21" s="72">
        <f t="shared" si="9"/>
        <v>7299018</v>
      </c>
      <c r="F21" s="72">
        <f t="shared" si="10"/>
        <v>111087</v>
      </c>
      <c r="G21" s="72">
        <f t="shared" si="11"/>
        <v>313632</v>
      </c>
      <c r="H21" s="73"/>
      <c r="I21" s="76"/>
      <c r="J21" s="59"/>
      <c r="K21" s="59"/>
      <c r="L21" s="59"/>
      <c r="M21" s="74">
        <f t="shared" si="5"/>
        <v>0.40370066273539823</v>
      </c>
      <c r="N21" s="74">
        <f t="shared" si="6"/>
        <v>0.19093950264512077</v>
      </c>
      <c r="O21" s="74">
        <f t="shared" si="7"/>
        <v>2.8913696114832577E-2</v>
      </c>
    </row>
    <row r="22" spans="1:15" ht="15" customHeight="1" x14ac:dyDescent="0.25">
      <c r="A22" s="95"/>
      <c r="B22" s="40" t="s">
        <v>111</v>
      </c>
      <c r="C22" s="71">
        <v>-20.262788</v>
      </c>
      <c r="D22" s="71">
        <v>-40.244236999999998</v>
      </c>
      <c r="E22" s="72">
        <f t="shared" si="9"/>
        <v>7299018</v>
      </c>
      <c r="F22" s="72">
        <f t="shared" si="10"/>
        <v>111087</v>
      </c>
      <c r="G22" s="72">
        <f t="shared" si="11"/>
        <v>313632</v>
      </c>
      <c r="H22" s="73"/>
      <c r="I22" s="76"/>
      <c r="J22" s="59"/>
      <c r="K22" s="59"/>
      <c r="L22" s="59"/>
      <c r="M22" s="74">
        <f t="shared" si="5"/>
        <v>0.40370066273539823</v>
      </c>
      <c r="N22" s="74">
        <f t="shared" si="6"/>
        <v>0.19093950264512077</v>
      </c>
      <c r="O22" s="74">
        <f t="shared" si="7"/>
        <v>2.8913696114832577E-2</v>
      </c>
    </row>
    <row r="23" spans="1:15" ht="15" customHeight="1" x14ac:dyDescent="0.25">
      <c r="A23" s="95"/>
      <c r="B23" s="40" t="s">
        <v>113</v>
      </c>
      <c r="C23" s="71">
        <v>-20.261417999999999</v>
      </c>
      <c r="D23" s="71">
        <v>-40.245117999999998</v>
      </c>
      <c r="E23" s="72">
        <f t="shared" si="9"/>
        <v>7299018</v>
      </c>
      <c r="F23" s="72">
        <f t="shared" si="10"/>
        <v>111087</v>
      </c>
      <c r="G23" s="72">
        <f t="shared" si="11"/>
        <v>313632</v>
      </c>
      <c r="H23" s="73"/>
      <c r="I23" s="73" t="s">
        <v>263</v>
      </c>
      <c r="J23" s="57">
        <v>0.51</v>
      </c>
      <c r="K23" s="57"/>
      <c r="L23" s="57"/>
      <c r="M23" s="74">
        <f t="shared" si="5"/>
        <v>0.19781332474034513</v>
      </c>
      <c r="N23" s="74">
        <f t="shared" si="6"/>
        <v>9.3560356296109176E-2</v>
      </c>
      <c r="O23" s="74">
        <f t="shared" si="7"/>
        <v>1.4167711096267962E-2</v>
      </c>
    </row>
    <row r="24" spans="1:15" ht="15" customHeight="1" x14ac:dyDescent="0.25">
      <c r="A24" s="95"/>
      <c r="B24" s="40" t="s">
        <v>114</v>
      </c>
      <c r="C24" s="71">
        <v>-20.261634000000001</v>
      </c>
      <c r="D24" s="71">
        <v>-40.245531999999997</v>
      </c>
      <c r="E24" s="72">
        <f t="shared" si="9"/>
        <v>7299018</v>
      </c>
      <c r="F24" s="72">
        <f t="shared" si="10"/>
        <v>111087</v>
      </c>
      <c r="G24" s="72">
        <f t="shared" si="11"/>
        <v>313632</v>
      </c>
      <c r="H24" s="73"/>
      <c r="I24" s="73" t="s">
        <v>263</v>
      </c>
      <c r="J24" s="57">
        <v>0.51</v>
      </c>
      <c r="K24" s="57"/>
      <c r="L24" s="57"/>
      <c r="M24" s="74">
        <f t="shared" si="5"/>
        <v>0.19781332474034513</v>
      </c>
      <c r="N24" s="74">
        <f t="shared" si="6"/>
        <v>9.3560356296109176E-2</v>
      </c>
      <c r="O24" s="74">
        <f t="shared" si="7"/>
        <v>1.4167711096267962E-2</v>
      </c>
    </row>
    <row r="25" spans="1:15" ht="15" customHeight="1" x14ac:dyDescent="0.25">
      <c r="A25" s="95"/>
      <c r="B25" s="40" t="s">
        <v>112</v>
      </c>
      <c r="C25" s="71">
        <v>-20.263113000000001</v>
      </c>
      <c r="D25" s="71">
        <v>-40.244656999999997</v>
      </c>
      <c r="E25" s="72">
        <f t="shared" si="9"/>
        <v>7299018</v>
      </c>
      <c r="F25" s="72">
        <f t="shared" si="10"/>
        <v>111087</v>
      </c>
      <c r="G25" s="72">
        <f t="shared" si="11"/>
        <v>313632</v>
      </c>
      <c r="H25" s="73"/>
      <c r="I25" s="73" t="s">
        <v>263</v>
      </c>
      <c r="J25" s="57">
        <v>0.51</v>
      </c>
      <c r="K25" s="57"/>
      <c r="L25" s="57"/>
      <c r="M25" s="74">
        <f t="shared" si="5"/>
        <v>0.19781332474034513</v>
      </c>
      <c r="N25" s="74">
        <f t="shared" si="6"/>
        <v>9.3560356296109176E-2</v>
      </c>
      <c r="O25" s="74">
        <f t="shared" si="7"/>
        <v>1.4167711096267962E-2</v>
      </c>
    </row>
    <row r="26" spans="1:15" ht="15" customHeight="1" x14ac:dyDescent="0.25">
      <c r="A26" s="95"/>
      <c r="B26" s="40" t="s">
        <v>217</v>
      </c>
      <c r="C26" s="71">
        <v>-20.261427000000001</v>
      </c>
      <c r="D26" s="71">
        <v>-40.246068999999999</v>
      </c>
      <c r="E26" s="72">
        <f t="shared" ref="E26" si="12">E25</f>
        <v>7299018</v>
      </c>
      <c r="F26" s="72">
        <f t="shared" ref="F26" si="13">F25</f>
        <v>111087</v>
      </c>
      <c r="G26" s="72">
        <f t="shared" ref="G26" si="14">G25</f>
        <v>313632</v>
      </c>
      <c r="H26" s="73"/>
      <c r="I26" s="73" t="s">
        <v>263</v>
      </c>
      <c r="J26" s="57">
        <v>0.51</v>
      </c>
      <c r="K26" s="57"/>
      <c r="L26" s="57"/>
      <c r="M26" s="74">
        <f t="shared" si="5"/>
        <v>0.19781332474034513</v>
      </c>
      <c r="N26" s="74">
        <f t="shared" si="6"/>
        <v>9.3560356296109176E-2</v>
      </c>
      <c r="O26" s="74">
        <f t="shared" si="7"/>
        <v>1.4167711096267962E-2</v>
      </c>
    </row>
    <row r="27" spans="1:15" ht="15" customHeight="1" x14ac:dyDescent="0.25">
      <c r="A27" s="95" t="s">
        <v>100</v>
      </c>
      <c r="B27" s="40" t="s">
        <v>90</v>
      </c>
      <c r="C27" s="71">
        <v>-20.276681</v>
      </c>
      <c r="D27" s="71">
        <v>-40.245950999999998</v>
      </c>
      <c r="E27" s="72">
        <f>'Tubarão - Rota'!W18</f>
        <v>14220097</v>
      </c>
      <c r="F27" s="72">
        <f>SUM(Usinas!D8:F8)</f>
        <v>198764</v>
      </c>
      <c r="G27" s="73"/>
      <c r="H27" s="73"/>
      <c r="I27" s="73" t="s">
        <v>201</v>
      </c>
      <c r="J27" s="57">
        <v>0.5</v>
      </c>
      <c r="K27" s="57"/>
      <c r="L27" s="57"/>
      <c r="M27" s="74">
        <f t="shared" si="5"/>
        <v>0.36628606439249406</v>
      </c>
      <c r="N27" s="74">
        <f t="shared" si="6"/>
        <v>0.17324340883428768</v>
      </c>
      <c r="O27" s="74">
        <f t="shared" si="7"/>
        <v>2.6234001909192142E-2</v>
      </c>
    </row>
    <row r="28" spans="1:15" ht="15" customHeight="1" x14ac:dyDescent="0.25">
      <c r="A28" s="95"/>
      <c r="B28" s="40" t="s">
        <v>115</v>
      </c>
      <c r="C28" s="71">
        <v>-20.276237999999999</v>
      </c>
      <c r="D28" s="71">
        <v>-40.244788999999997</v>
      </c>
      <c r="E28" s="72">
        <f>E27</f>
        <v>14220097</v>
      </c>
      <c r="F28" s="72">
        <f>F27</f>
        <v>198764</v>
      </c>
      <c r="G28" s="73"/>
      <c r="H28" s="73"/>
      <c r="I28" s="73" t="s">
        <v>263</v>
      </c>
      <c r="J28" s="57">
        <v>0.51</v>
      </c>
      <c r="K28" s="57"/>
      <c r="L28" s="57"/>
      <c r="M28" s="74">
        <f t="shared" si="5"/>
        <v>0.35896034310464414</v>
      </c>
      <c r="N28" s="74">
        <f t="shared" si="6"/>
        <v>0.16977854065760192</v>
      </c>
      <c r="O28" s="74">
        <f t="shared" si="7"/>
        <v>2.57093218710083E-2</v>
      </c>
    </row>
    <row r="29" spans="1:15" ht="15" customHeight="1" x14ac:dyDescent="0.25">
      <c r="A29" s="95"/>
      <c r="B29" s="40" t="s">
        <v>116</v>
      </c>
      <c r="C29" s="71">
        <v>-20.274502999999999</v>
      </c>
      <c r="D29" s="71">
        <v>-40.245424999999997</v>
      </c>
      <c r="E29" s="72">
        <f t="shared" ref="E29:E31" si="15">E28</f>
        <v>14220097</v>
      </c>
      <c r="F29" s="72">
        <f t="shared" ref="F29:F31" si="16">F28</f>
        <v>198764</v>
      </c>
      <c r="G29" s="73"/>
      <c r="H29" s="73"/>
      <c r="I29" s="73" t="s">
        <v>263</v>
      </c>
      <c r="J29" s="57">
        <v>0.51</v>
      </c>
      <c r="K29" s="57"/>
      <c r="L29" s="57"/>
      <c r="M29" s="74">
        <f t="shared" si="5"/>
        <v>0.35896034310464414</v>
      </c>
      <c r="N29" s="74">
        <f t="shared" si="6"/>
        <v>0.16977854065760192</v>
      </c>
      <c r="O29" s="74">
        <f t="shared" si="7"/>
        <v>2.57093218710083E-2</v>
      </c>
    </row>
    <row r="30" spans="1:15" ht="15" customHeight="1" x14ac:dyDescent="0.25">
      <c r="A30" s="95"/>
      <c r="B30" s="40" t="s">
        <v>117</v>
      </c>
      <c r="C30" s="71">
        <v>-20.274379</v>
      </c>
      <c r="D30" s="71">
        <v>-40.245097999999999</v>
      </c>
      <c r="E30" s="72">
        <f t="shared" si="15"/>
        <v>14220097</v>
      </c>
      <c r="F30" s="72">
        <f t="shared" si="16"/>
        <v>198764</v>
      </c>
      <c r="G30" s="73"/>
      <c r="H30" s="73"/>
      <c r="I30" s="73" t="s">
        <v>263</v>
      </c>
      <c r="J30" s="57">
        <v>0.51</v>
      </c>
      <c r="K30" s="57"/>
      <c r="L30" s="57"/>
      <c r="M30" s="74">
        <f t="shared" si="5"/>
        <v>0.35896034310464414</v>
      </c>
      <c r="N30" s="74">
        <f t="shared" si="6"/>
        <v>0.16977854065760192</v>
      </c>
      <c r="O30" s="74">
        <f t="shared" si="7"/>
        <v>2.57093218710083E-2</v>
      </c>
    </row>
    <row r="31" spans="1:15" ht="15" customHeight="1" x14ac:dyDescent="0.25">
      <c r="A31" s="95"/>
      <c r="B31" s="40" t="s">
        <v>118</v>
      </c>
      <c r="C31" s="71">
        <v>-20.277028000000001</v>
      </c>
      <c r="D31" s="71">
        <v>-40.244047000000002</v>
      </c>
      <c r="E31" s="72">
        <f t="shared" si="15"/>
        <v>14220097</v>
      </c>
      <c r="F31" s="72">
        <f t="shared" si="16"/>
        <v>198764</v>
      </c>
      <c r="G31" s="73"/>
      <c r="H31" s="73"/>
      <c r="I31" s="75"/>
      <c r="J31" s="58"/>
      <c r="K31" s="58"/>
      <c r="L31" s="58"/>
      <c r="M31" s="74">
        <f t="shared" si="5"/>
        <v>0.73257212878498812</v>
      </c>
      <c r="N31" s="74">
        <f t="shared" si="6"/>
        <v>0.34648681766857536</v>
      </c>
      <c r="O31" s="74">
        <f t="shared" si="7"/>
        <v>5.2468003818384283E-2</v>
      </c>
    </row>
    <row r="32" spans="1:15" ht="15" customHeight="1" x14ac:dyDescent="0.25">
      <c r="A32" s="95" t="s">
        <v>121</v>
      </c>
      <c r="B32" s="40" t="s">
        <v>122</v>
      </c>
      <c r="C32" s="71">
        <v>-20.277028000000001</v>
      </c>
      <c r="D32" s="71">
        <v>-40.244047000000002</v>
      </c>
      <c r="E32" s="72">
        <f>E31</f>
        <v>14220097</v>
      </c>
      <c r="F32" s="72">
        <f>F31</f>
        <v>198764</v>
      </c>
      <c r="G32" s="73"/>
      <c r="H32" s="73"/>
      <c r="I32" s="75"/>
      <c r="J32" s="58"/>
      <c r="K32" s="58"/>
      <c r="L32" s="58"/>
      <c r="M32" s="74">
        <f t="shared" si="5"/>
        <v>0.73257212878498812</v>
      </c>
      <c r="N32" s="74">
        <f t="shared" si="6"/>
        <v>0.34648681766857536</v>
      </c>
      <c r="O32" s="74">
        <f t="shared" si="7"/>
        <v>5.2468003818384283E-2</v>
      </c>
    </row>
    <row r="33" spans="1:15" ht="15" customHeight="1" x14ac:dyDescent="0.25">
      <c r="A33" s="95"/>
      <c r="B33" s="40" t="s">
        <v>123</v>
      </c>
      <c r="C33" s="71">
        <v>-20.280090999999999</v>
      </c>
      <c r="D33" s="71">
        <v>-40.243178</v>
      </c>
      <c r="E33" s="72">
        <f>E32</f>
        <v>14220097</v>
      </c>
      <c r="F33" s="72">
        <f>F32</f>
        <v>198764</v>
      </c>
      <c r="G33" s="73"/>
      <c r="H33" s="73"/>
      <c r="I33" s="73" t="s">
        <v>263</v>
      </c>
      <c r="J33" s="57">
        <v>0.51</v>
      </c>
      <c r="K33" s="57"/>
      <c r="L33" s="57"/>
      <c r="M33" s="74">
        <f t="shared" si="5"/>
        <v>0.35896034310464414</v>
      </c>
      <c r="N33" s="74">
        <f t="shared" si="6"/>
        <v>0.16977854065760192</v>
      </c>
      <c r="O33" s="74">
        <f t="shared" si="7"/>
        <v>2.57093218710083E-2</v>
      </c>
    </row>
    <row r="34" spans="1:15" ht="15" customHeight="1" x14ac:dyDescent="0.25">
      <c r="A34" s="95" t="s">
        <v>102</v>
      </c>
      <c r="B34" s="40" t="s">
        <v>90</v>
      </c>
      <c r="C34" s="71">
        <v>-20.276681</v>
      </c>
      <c r="D34" s="71">
        <v>-40.245950999999998</v>
      </c>
      <c r="E34" s="72">
        <f>'Tubarão - Rota'!M45</f>
        <v>24003210.433000006</v>
      </c>
      <c r="F34" s="73"/>
      <c r="G34" s="73"/>
      <c r="H34" s="73"/>
      <c r="I34" s="73" t="s">
        <v>201</v>
      </c>
      <c r="J34" s="57">
        <v>0.5</v>
      </c>
      <c r="K34" s="57"/>
      <c r="L34" s="57"/>
      <c r="M34" s="74">
        <f t="shared" si="5"/>
        <v>0.60920319254513144</v>
      </c>
      <c r="N34" s="74">
        <f t="shared" si="6"/>
        <v>0.28813664512269727</v>
      </c>
      <c r="O34" s="74">
        <f t="shared" si="7"/>
        <v>4.3632120547151307E-2</v>
      </c>
    </row>
    <row r="35" spans="1:15" ht="15" customHeight="1" x14ac:dyDescent="0.25">
      <c r="A35" s="95"/>
      <c r="B35" s="40" t="s">
        <v>124</v>
      </c>
      <c r="C35" s="71">
        <v>-20.277678000000002</v>
      </c>
      <c r="D35" s="71">
        <v>-40.247939000000002</v>
      </c>
      <c r="E35" s="72">
        <f>E34/2</f>
        <v>12001605.216500003</v>
      </c>
      <c r="F35" s="72"/>
      <c r="G35" s="72"/>
      <c r="H35" s="72"/>
      <c r="I35" s="73" t="s">
        <v>202</v>
      </c>
      <c r="J35" s="57">
        <f>1-((1-0.51)*(1-0.5))</f>
        <v>0.755</v>
      </c>
      <c r="K35" s="57"/>
      <c r="L35" s="57"/>
      <c r="M35" s="74">
        <f t="shared" si="5"/>
        <v>0.1492547821735572</v>
      </c>
      <c r="N35" s="74">
        <f t="shared" si="6"/>
        <v>7.0593478055060832E-2</v>
      </c>
      <c r="O35" s="74">
        <f t="shared" si="7"/>
        <v>1.0689869534052069E-2</v>
      </c>
    </row>
    <row r="36" spans="1:15" ht="15" customHeight="1" x14ac:dyDescent="0.25">
      <c r="A36" s="95"/>
      <c r="B36" s="40" t="s">
        <v>125</v>
      </c>
      <c r="C36" s="71">
        <v>-20.280417</v>
      </c>
      <c r="D36" s="71">
        <v>-40.246288</v>
      </c>
      <c r="E36" s="72">
        <f>E35</f>
        <v>12001605.216500003</v>
      </c>
      <c r="F36" s="72"/>
      <c r="G36" s="72"/>
      <c r="H36" s="72"/>
      <c r="I36" s="75" t="s">
        <v>201</v>
      </c>
      <c r="J36" s="58">
        <v>0.5</v>
      </c>
      <c r="K36" s="58"/>
      <c r="L36" s="58"/>
      <c r="M36" s="74">
        <f t="shared" si="5"/>
        <v>0.30460159627256572</v>
      </c>
      <c r="N36" s="74">
        <f t="shared" si="6"/>
        <v>0.14406832256134863</v>
      </c>
      <c r="O36" s="74">
        <f t="shared" si="7"/>
        <v>2.1816060273575653E-2</v>
      </c>
    </row>
    <row r="37" spans="1:15" ht="15" customHeight="1" x14ac:dyDescent="0.25">
      <c r="A37" s="95"/>
      <c r="B37" s="40" t="s">
        <v>91</v>
      </c>
      <c r="C37" s="71">
        <v>-20.277325999999999</v>
      </c>
      <c r="D37" s="71">
        <v>-40.246743000000002</v>
      </c>
      <c r="E37" s="72">
        <f>E34/2</f>
        <v>12001605.216500003</v>
      </c>
      <c r="F37" s="72"/>
      <c r="G37" s="72"/>
      <c r="H37" s="72"/>
      <c r="I37" s="73" t="s">
        <v>202</v>
      </c>
      <c r="J37" s="57">
        <f t="shared" ref="J37:J40" si="17">1-((1-0.51)*(1-0.5))</f>
        <v>0.755</v>
      </c>
      <c r="K37" s="57"/>
      <c r="L37" s="57"/>
      <c r="M37" s="74">
        <f t="shared" si="5"/>
        <v>0.1492547821735572</v>
      </c>
      <c r="N37" s="74">
        <f t="shared" si="6"/>
        <v>7.0593478055060832E-2</v>
      </c>
      <c r="O37" s="74">
        <f t="shared" si="7"/>
        <v>1.0689869534052069E-2</v>
      </c>
    </row>
    <row r="38" spans="1:15" ht="15" customHeight="1" x14ac:dyDescent="0.25">
      <c r="A38" s="95"/>
      <c r="B38" s="40" t="s">
        <v>126</v>
      </c>
      <c r="C38" s="71">
        <v>-20.276892</v>
      </c>
      <c r="D38" s="71">
        <v>-40.246952999999998</v>
      </c>
      <c r="E38" s="72">
        <f>E37</f>
        <v>12001605.216500003</v>
      </c>
      <c r="F38" s="72"/>
      <c r="G38" s="72"/>
      <c r="H38" s="72"/>
      <c r="I38" s="73" t="s">
        <v>202</v>
      </c>
      <c r="J38" s="57">
        <f t="shared" si="17"/>
        <v>0.755</v>
      </c>
      <c r="K38" s="57"/>
      <c r="L38" s="57"/>
      <c r="M38" s="74">
        <f t="shared" si="5"/>
        <v>0.1492547821735572</v>
      </c>
      <c r="N38" s="74">
        <f t="shared" si="6"/>
        <v>7.0593478055060832E-2</v>
      </c>
      <c r="O38" s="74">
        <f t="shared" si="7"/>
        <v>1.0689869534052069E-2</v>
      </c>
    </row>
    <row r="39" spans="1:15" ht="15" customHeight="1" x14ac:dyDescent="0.25">
      <c r="A39" s="95"/>
      <c r="B39" s="40" t="s">
        <v>127</v>
      </c>
      <c r="C39" s="71">
        <v>-20.277004999999999</v>
      </c>
      <c r="D39" s="71">
        <v>-40.247185999999999</v>
      </c>
      <c r="E39" s="72">
        <f>E38</f>
        <v>12001605.216500003</v>
      </c>
      <c r="F39" s="72"/>
      <c r="G39" s="72"/>
      <c r="H39" s="72"/>
      <c r="I39" s="73" t="s">
        <v>202</v>
      </c>
      <c r="J39" s="57">
        <f t="shared" si="17"/>
        <v>0.755</v>
      </c>
      <c r="K39" s="57"/>
      <c r="L39" s="57"/>
      <c r="M39" s="74">
        <f t="shared" si="5"/>
        <v>0.1492547821735572</v>
      </c>
      <c r="N39" s="74">
        <f t="shared" si="6"/>
        <v>7.0593478055060832E-2</v>
      </c>
      <c r="O39" s="74">
        <f t="shared" si="7"/>
        <v>1.0689869534052069E-2</v>
      </c>
    </row>
    <row r="40" spans="1:15" ht="15" customHeight="1" x14ac:dyDescent="0.25">
      <c r="A40" s="95"/>
      <c r="B40" s="40" t="s">
        <v>128</v>
      </c>
      <c r="C40" s="71">
        <v>-20.277597</v>
      </c>
      <c r="D40" s="71">
        <v>-40.246979000000003</v>
      </c>
      <c r="E40" s="72">
        <f>E39</f>
        <v>12001605.216500003</v>
      </c>
      <c r="F40" s="72"/>
      <c r="G40" s="72"/>
      <c r="H40" s="72"/>
      <c r="I40" s="73" t="s">
        <v>202</v>
      </c>
      <c r="J40" s="57">
        <f t="shared" si="17"/>
        <v>0.755</v>
      </c>
      <c r="K40" s="57"/>
      <c r="L40" s="57"/>
      <c r="M40" s="74">
        <f t="shared" si="5"/>
        <v>0.1492547821735572</v>
      </c>
      <c r="N40" s="74">
        <f t="shared" si="6"/>
        <v>7.0593478055060832E-2</v>
      </c>
      <c r="O40" s="74">
        <f t="shared" si="7"/>
        <v>1.0689869534052069E-2</v>
      </c>
    </row>
    <row r="41" spans="1:15" ht="15" customHeight="1" x14ac:dyDescent="0.25">
      <c r="A41" s="95"/>
      <c r="B41" s="40" t="s">
        <v>129</v>
      </c>
      <c r="C41" s="71">
        <v>-20.280417</v>
      </c>
      <c r="D41" s="71">
        <v>-40.246288</v>
      </c>
      <c r="E41" s="72">
        <f>E40</f>
        <v>12001605.216500003</v>
      </c>
      <c r="F41" s="72"/>
      <c r="G41" s="72"/>
      <c r="H41" s="72"/>
      <c r="I41" s="75" t="s">
        <v>201</v>
      </c>
      <c r="J41" s="58">
        <v>0.5</v>
      </c>
      <c r="K41" s="58"/>
      <c r="L41" s="58"/>
      <c r="M41" s="74">
        <f t="shared" si="5"/>
        <v>0.30460159627256572</v>
      </c>
      <c r="N41" s="74">
        <f t="shared" si="6"/>
        <v>0.14406832256134863</v>
      </c>
      <c r="O41" s="74">
        <f t="shared" si="7"/>
        <v>2.1816060273575653E-2</v>
      </c>
    </row>
    <row r="42" spans="1:15" ht="15" customHeight="1" x14ac:dyDescent="0.25">
      <c r="A42" s="95" t="s">
        <v>101</v>
      </c>
      <c r="B42" s="40" t="s">
        <v>90</v>
      </c>
      <c r="C42" s="71">
        <v>-20.276681</v>
      </c>
      <c r="D42" s="71">
        <v>-40.245950999999998</v>
      </c>
      <c r="E42" s="72">
        <f>'Tubarão - Rota'!Q45</f>
        <v>52494059.505999982</v>
      </c>
      <c r="F42" s="72"/>
      <c r="G42" s="72"/>
      <c r="H42" s="72"/>
      <c r="I42" s="73" t="s">
        <v>201</v>
      </c>
      <c r="J42" s="57">
        <v>0.5</v>
      </c>
      <c r="K42" s="57"/>
      <c r="L42" s="57"/>
      <c r="M42" s="74">
        <f t="shared" si="5"/>
        <v>1.3323029738031746</v>
      </c>
      <c r="N42" s="74">
        <f t="shared" si="6"/>
        <v>0.63014329842042027</v>
      </c>
      <c r="O42" s="74">
        <f t="shared" si="7"/>
        <v>9.5421699475092228E-2</v>
      </c>
    </row>
    <row r="43" spans="1:15" ht="15" customHeight="1" x14ac:dyDescent="0.25">
      <c r="A43" s="95"/>
      <c r="B43" s="40" t="s">
        <v>130</v>
      </c>
      <c r="C43" s="71">
        <v>-20.277512000000002</v>
      </c>
      <c r="D43" s="71">
        <v>-40.246586000000001</v>
      </c>
      <c r="E43" s="72">
        <f>E42</f>
        <v>52494059.505999982</v>
      </c>
      <c r="F43" s="72"/>
      <c r="G43" s="72"/>
      <c r="H43" s="72"/>
      <c r="I43" s="73" t="s">
        <v>202</v>
      </c>
      <c r="J43" s="57">
        <f t="shared" ref="J43:J45" si="18">1-((1-0.51)*(1-0.5))</f>
        <v>0.755</v>
      </c>
      <c r="K43" s="57"/>
      <c r="L43" s="57"/>
      <c r="M43" s="74">
        <f t="shared" si="5"/>
        <v>0.65282845716355553</v>
      </c>
      <c r="N43" s="74">
        <f t="shared" si="6"/>
        <v>0.30877021622600598</v>
      </c>
      <c r="O43" s="74">
        <f t="shared" si="7"/>
        <v>4.6756632742795193E-2</v>
      </c>
    </row>
    <row r="44" spans="1:15" ht="15" customHeight="1" x14ac:dyDescent="0.25">
      <c r="A44" s="95"/>
      <c r="B44" s="40" t="s">
        <v>131</v>
      </c>
      <c r="C44" s="71">
        <v>-20.277982999999999</v>
      </c>
      <c r="D44" s="71">
        <v>-40.246088</v>
      </c>
      <c r="E44" s="72">
        <f>E43</f>
        <v>52494059.505999982</v>
      </c>
      <c r="F44" s="72"/>
      <c r="G44" s="72"/>
      <c r="H44" s="72"/>
      <c r="I44" s="73" t="s">
        <v>202</v>
      </c>
      <c r="J44" s="57">
        <f t="shared" si="18"/>
        <v>0.755</v>
      </c>
      <c r="K44" s="57"/>
      <c r="L44" s="57"/>
      <c r="M44" s="74">
        <f t="shared" si="5"/>
        <v>0.65282845716355553</v>
      </c>
      <c r="N44" s="74">
        <f t="shared" si="6"/>
        <v>0.30877021622600598</v>
      </c>
      <c r="O44" s="74">
        <f t="shared" si="7"/>
        <v>4.6756632742795193E-2</v>
      </c>
    </row>
    <row r="45" spans="1:15" ht="15" customHeight="1" x14ac:dyDescent="0.25">
      <c r="A45" s="95"/>
      <c r="B45" s="40" t="s">
        <v>132</v>
      </c>
      <c r="C45" s="71">
        <v>-20.285323000000002</v>
      </c>
      <c r="D45" s="71">
        <v>-40.24315</v>
      </c>
      <c r="E45" s="72">
        <f>E44</f>
        <v>52494059.505999982</v>
      </c>
      <c r="F45" s="72"/>
      <c r="G45" s="72"/>
      <c r="H45" s="72"/>
      <c r="I45" s="73" t="s">
        <v>202</v>
      </c>
      <c r="J45" s="57">
        <f t="shared" si="18"/>
        <v>0.755</v>
      </c>
      <c r="K45" s="57"/>
      <c r="L45" s="57"/>
      <c r="M45" s="74">
        <f t="shared" si="5"/>
        <v>0.65282845716355553</v>
      </c>
      <c r="N45" s="74">
        <f t="shared" si="6"/>
        <v>0.30877021622600598</v>
      </c>
      <c r="O45" s="74">
        <f t="shared" si="7"/>
        <v>4.6756632742795193E-2</v>
      </c>
    </row>
    <row r="46" spans="1:15" ht="15" customHeight="1" x14ac:dyDescent="0.25">
      <c r="A46" s="95"/>
      <c r="B46" s="40" t="s">
        <v>133</v>
      </c>
      <c r="C46" s="71">
        <v>-20.284103999999999</v>
      </c>
      <c r="D46" s="71">
        <v>-40.240141999999999</v>
      </c>
      <c r="E46" s="72">
        <f>E45</f>
        <v>52494059.505999982</v>
      </c>
      <c r="F46" s="72"/>
      <c r="G46" s="72"/>
      <c r="H46" s="72"/>
      <c r="I46" s="75" t="s">
        <v>201</v>
      </c>
      <c r="J46" s="58">
        <v>0.5</v>
      </c>
      <c r="K46" s="58"/>
      <c r="L46" s="58"/>
      <c r="M46" s="74">
        <f t="shared" si="5"/>
        <v>1.3323029738031746</v>
      </c>
      <c r="N46" s="74">
        <f t="shared" si="6"/>
        <v>0.63014329842042027</v>
      </c>
      <c r="O46" s="74">
        <f t="shared" si="7"/>
        <v>9.5421699475092228E-2</v>
      </c>
    </row>
    <row r="47" spans="1:15" ht="15" customHeight="1" x14ac:dyDescent="0.25">
      <c r="A47" s="95" t="s">
        <v>134</v>
      </c>
      <c r="B47" s="40" t="s">
        <v>90</v>
      </c>
      <c r="C47" s="71">
        <v>-20.276681</v>
      </c>
      <c r="D47" s="71">
        <v>-40.245950999999998</v>
      </c>
      <c r="E47" s="72">
        <f>'Tubarão - Rota'!N63</f>
        <v>4372242.5320000723</v>
      </c>
      <c r="F47" s="72"/>
      <c r="G47" s="72"/>
      <c r="H47" s="77">
        <f>'Tubarão - Rota'!P63</f>
        <v>2801806.5260000001</v>
      </c>
      <c r="I47" s="73" t="s">
        <v>201</v>
      </c>
      <c r="J47" s="57">
        <v>0.5</v>
      </c>
      <c r="K47" s="57"/>
      <c r="L47" s="57"/>
      <c r="M47" s="74">
        <f t="shared" si="5"/>
        <v>0.59508732846352275</v>
      </c>
      <c r="N47" s="74">
        <f t="shared" si="6"/>
        <v>0.2814602229219364</v>
      </c>
      <c r="O47" s="74">
        <f t="shared" si="7"/>
        <v>4.2621119471036084E-2</v>
      </c>
    </row>
    <row r="48" spans="1:15" ht="15" customHeight="1" x14ac:dyDescent="0.25">
      <c r="A48" s="95"/>
      <c r="B48" s="40" t="s">
        <v>130</v>
      </c>
      <c r="C48" s="71">
        <v>-20.277512000000002</v>
      </c>
      <c r="D48" s="71">
        <v>-40.246586000000001</v>
      </c>
      <c r="E48" s="72">
        <f>E47</f>
        <v>4372242.5320000723</v>
      </c>
      <c r="F48" s="72"/>
      <c r="G48" s="72"/>
      <c r="H48" s="77">
        <f>H47</f>
        <v>2801806.5260000001</v>
      </c>
      <c r="I48" s="73" t="s">
        <v>202</v>
      </c>
      <c r="J48" s="57">
        <f t="shared" ref="J48:J53" si="19">1-((1-0.51)*(1-0.5))</f>
        <v>0.755</v>
      </c>
      <c r="K48" s="57"/>
      <c r="L48" s="57"/>
      <c r="M48" s="74">
        <f t="shared" si="5"/>
        <v>0.53849373655961641</v>
      </c>
      <c r="N48" s="74">
        <f t="shared" si="6"/>
        <v>0.25469298350792668</v>
      </c>
      <c r="O48" s="74">
        <f t="shared" si="7"/>
        <v>3.8567794645486042E-2</v>
      </c>
    </row>
    <row r="49" spans="1:15" ht="15" customHeight="1" x14ac:dyDescent="0.25">
      <c r="A49" s="95"/>
      <c r="B49" s="40" t="s">
        <v>131</v>
      </c>
      <c r="C49" s="71">
        <v>-20.277982999999999</v>
      </c>
      <c r="D49" s="71">
        <v>-40.246088</v>
      </c>
      <c r="E49" s="72">
        <f>E48</f>
        <v>4372242.5320000723</v>
      </c>
      <c r="F49" s="72"/>
      <c r="G49" s="72"/>
      <c r="H49" s="77">
        <f>H48</f>
        <v>2801806.5260000001</v>
      </c>
      <c r="I49" s="73" t="s">
        <v>202</v>
      </c>
      <c r="J49" s="57">
        <f t="shared" si="19"/>
        <v>0.755</v>
      </c>
      <c r="K49" s="57"/>
      <c r="L49" s="57"/>
      <c r="M49" s="74">
        <f t="shared" si="5"/>
        <v>0.53849373655961641</v>
      </c>
      <c r="N49" s="74">
        <f t="shared" si="6"/>
        <v>0.25469298350792668</v>
      </c>
      <c r="O49" s="74">
        <f t="shared" si="7"/>
        <v>3.8567794645486042E-2</v>
      </c>
    </row>
    <row r="50" spans="1:15" s="30" customFormat="1" ht="15" customHeight="1" x14ac:dyDescent="0.25">
      <c r="A50" s="95"/>
      <c r="B50" s="40" t="s">
        <v>143</v>
      </c>
      <c r="C50" s="71">
        <v>-20.285323000000002</v>
      </c>
      <c r="D50" s="71">
        <v>-40.24315</v>
      </c>
      <c r="E50" s="72">
        <f>E49</f>
        <v>4372242.5320000723</v>
      </c>
      <c r="F50" s="72"/>
      <c r="G50" s="72"/>
      <c r="H50" s="77">
        <f>H49</f>
        <v>2801806.5260000001</v>
      </c>
      <c r="I50" s="73" t="s">
        <v>202</v>
      </c>
      <c r="J50" s="57">
        <f t="shared" si="19"/>
        <v>0.755</v>
      </c>
      <c r="K50" s="57"/>
      <c r="L50" s="57"/>
      <c r="M50" s="74">
        <f t="shared" si="5"/>
        <v>0.53849373655961641</v>
      </c>
      <c r="N50" s="74">
        <f t="shared" si="6"/>
        <v>0.25469298350792668</v>
      </c>
      <c r="O50" s="74">
        <f t="shared" si="7"/>
        <v>3.8567794645486042E-2</v>
      </c>
    </row>
    <row r="51" spans="1:15" ht="15" customHeight="1" x14ac:dyDescent="0.25">
      <c r="A51" s="95"/>
      <c r="B51" s="40" t="s">
        <v>135</v>
      </c>
      <c r="C51" s="71">
        <v>-20.285886999999999</v>
      </c>
      <c r="D51" s="71">
        <v>-40.244557999999998</v>
      </c>
      <c r="E51" s="72">
        <f>E50/2</f>
        <v>2186121.2660000362</v>
      </c>
      <c r="F51" s="72"/>
      <c r="G51" s="72"/>
      <c r="H51" s="77">
        <f>H50/2</f>
        <v>1400903.263</v>
      </c>
      <c r="I51" s="73" t="s">
        <v>202</v>
      </c>
      <c r="J51" s="57">
        <f t="shared" si="19"/>
        <v>0.755</v>
      </c>
      <c r="K51" s="57"/>
      <c r="L51" s="57"/>
      <c r="M51" s="74">
        <f t="shared" si="5"/>
        <v>0.2692468682798082</v>
      </c>
      <c r="N51" s="74">
        <f t="shared" si="6"/>
        <v>0.12734649175396334</v>
      </c>
      <c r="O51" s="74">
        <f t="shared" si="7"/>
        <v>1.9283897322743021E-2</v>
      </c>
    </row>
    <row r="52" spans="1:15" ht="15" customHeight="1" x14ac:dyDescent="0.25">
      <c r="A52" s="95"/>
      <c r="B52" s="40" t="s">
        <v>136</v>
      </c>
      <c r="C52" s="71">
        <v>-20.285374000000001</v>
      </c>
      <c r="D52" s="71">
        <v>-40.244999999999997</v>
      </c>
      <c r="E52" s="72">
        <f>E51</f>
        <v>2186121.2660000362</v>
      </c>
      <c r="F52" s="72"/>
      <c r="G52" s="72"/>
      <c r="H52" s="77">
        <f>H51</f>
        <v>1400903.263</v>
      </c>
      <c r="I52" s="73" t="s">
        <v>202</v>
      </c>
      <c r="J52" s="57">
        <f t="shared" si="19"/>
        <v>0.755</v>
      </c>
      <c r="K52" s="57"/>
      <c r="L52" s="57"/>
      <c r="M52" s="74">
        <f t="shared" si="5"/>
        <v>0.2692468682798082</v>
      </c>
      <c r="N52" s="74">
        <f t="shared" si="6"/>
        <v>0.12734649175396334</v>
      </c>
      <c r="O52" s="74">
        <f t="shared" si="7"/>
        <v>1.9283897322743021E-2</v>
      </c>
    </row>
    <row r="53" spans="1:15" ht="15" customHeight="1" x14ac:dyDescent="0.25">
      <c r="A53" s="95"/>
      <c r="B53" s="40" t="s">
        <v>137</v>
      </c>
      <c r="C53" s="71">
        <v>-20.286928</v>
      </c>
      <c r="D53" s="71">
        <v>-40.247687999999997</v>
      </c>
      <c r="E53" s="72">
        <f>E52</f>
        <v>2186121.2660000362</v>
      </c>
      <c r="F53" s="72"/>
      <c r="G53" s="72"/>
      <c r="H53" s="77">
        <f>H52</f>
        <v>1400903.263</v>
      </c>
      <c r="I53" s="73" t="s">
        <v>202</v>
      </c>
      <c r="J53" s="57">
        <f t="shared" si="19"/>
        <v>0.755</v>
      </c>
      <c r="K53" s="57"/>
      <c r="L53" s="57"/>
      <c r="M53" s="74">
        <f t="shared" si="5"/>
        <v>0.2692468682798082</v>
      </c>
      <c r="N53" s="74">
        <f t="shared" si="6"/>
        <v>0.12734649175396334</v>
      </c>
      <c r="O53" s="74">
        <f t="shared" si="7"/>
        <v>1.9283897322743021E-2</v>
      </c>
    </row>
    <row r="54" spans="1:15" s="33" customFormat="1" ht="15" customHeight="1" x14ac:dyDescent="0.25">
      <c r="A54" s="95"/>
      <c r="B54" s="40" t="s">
        <v>153</v>
      </c>
      <c r="C54" s="71">
        <v>-20.287773000000001</v>
      </c>
      <c r="D54" s="71">
        <v>-40.246915000000001</v>
      </c>
      <c r="E54" s="72">
        <f>E53</f>
        <v>2186121.2660000362</v>
      </c>
      <c r="F54" s="72"/>
      <c r="G54" s="72"/>
      <c r="H54" s="77">
        <f>H53</f>
        <v>1400903.263</v>
      </c>
      <c r="I54" s="75" t="s">
        <v>201</v>
      </c>
      <c r="J54" s="58">
        <v>0.5</v>
      </c>
      <c r="K54" s="58"/>
      <c r="L54" s="58"/>
      <c r="M54" s="74">
        <f t="shared" si="5"/>
        <v>0.29754366423176137</v>
      </c>
      <c r="N54" s="74">
        <f t="shared" si="6"/>
        <v>0.1407301114609682</v>
      </c>
      <c r="O54" s="74">
        <f t="shared" si="7"/>
        <v>2.1310559735518042E-2</v>
      </c>
    </row>
    <row r="55" spans="1:15" ht="15" customHeight="1" x14ac:dyDescent="0.25">
      <c r="A55" s="95"/>
      <c r="B55" s="40" t="s">
        <v>138</v>
      </c>
      <c r="C55" s="71">
        <v>-20.286007000000001</v>
      </c>
      <c r="D55" s="71">
        <v>-40.244484999999997</v>
      </c>
      <c r="E55" s="72">
        <f>E50/2</f>
        <v>2186121.2660000362</v>
      </c>
      <c r="F55" s="72"/>
      <c r="G55" s="72"/>
      <c r="H55" s="77">
        <f>H50/2</f>
        <v>1400903.263</v>
      </c>
      <c r="I55" s="73" t="s">
        <v>202</v>
      </c>
      <c r="J55" s="57">
        <f t="shared" ref="J55:J59" si="20">1-((1-0.51)*(1-0.5))</f>
        <v>0.755</v>
      </c>
      <c r="K55" s="57"/>
      <c r="L55" s="57"/>
      <c r="M55" s="74">
        <f t="shared" si="5"/>
        <v>0.2692468682798082</v>
      </c>
      <c r="N55" s="74">
        <f t="shared" si="6"/>
        <v>0.12734649175396334</v>
      </c>
      <c r="O55" s="74">
        <f t="shared" si="7"/>
        <v>1.9283897322743021E-2</v>
      </c>
    </row>
    <row r="56" spans="1:15" ht="15" customHeight="1" x14ac:dyDescent="0.25">
      <c r="A56" s="95"/>
      <c r="B56" s="40" t="s">
        <v>139</v>
      </c>
      <c r="C56" s="71">
        <v>-20.287610000000001</v>
      </c>
      <c r="D56" s="71">
        <v>-40.243876999999998</v>
      </c>
      <c r="E56" s="72">
        <f>E55</f>
        <v>2186121.2660000362</v>
      </c>
      <c r="F56" s="72"/>
      <c r="G56" s="72"/>
      <c r="H56" s="77">
        <f>H55</f>
        <v>1400903.263</v>
      </c>
      <c r="I56" s="73" t="s">
        <v>202</v>
      </c>
      <c r="J56" s="57">
        <f t="shared" si="20"/>
        <v>0.755</v>
      </c>
      <c r="K56" s="57"/>
      <c r="L56" s="57"/>
      <c r="M56" s="74">
        <f t="shared" si="5"/>
        <v>0.2692468682798082</v>
      </c>
      <c r="N56" s="74">
        <f t="shared" si="6"/>
        <v>0.12734649175396334</v>
      </c>
      <c r="O56" s="74">
        <f t="shared" si="7"/>
        <v>1.9283897322743021E-2</v>
      </c>
    </row>
    <row r="57" spans="1:15" ht="15" customHeight="1" x14ac:dyDescent="0.25">
      <c r="A57" s="95"/>
      <c r="B57" s="40" t="s">
        <v>140</v>
      </c>
      <c r="C57" s="71">
        <v>-20.287931</v>
      </c>
      <c r="D57" s="71">
        <v>-40.243747999999997</v>
      </c>
      <c r="E57" s="72">
        <f>E56</f>
        <v>2186121.2660000362</v>
      </c>
      <c r="F57" s="72"/>
      <c r="G57" s="72"/>
      <c r="H57" s="77">
        <f>H56</f>
        <v>1400903.263</v>
      </c>
      <c r="I57" s="73" t="s">
        <v>202</v>
      </c>
      <c r="J57" s="57">
        <f t="shared" si="20"/>
        <v>0.755</v>
      </c>
      <c r="K57" s="57"/>
      <c r="L57" s="57"/>
      <c r="M57" s="74">
        <f t="shared" si="5"/>
        <v>0.2692468682798082</v>
      </c>
      <c r="N57" s="74">
        <f t="shared" si="6"/>
        <v>0.12734649175396334</v>
      </c>
      <c r="O57" s="74">
        <f t="shared" si="7"/>
        <v>1.9283897322743021E-2</v>
      </c>
    </row>
    <row r="58" spans="1:15" ht="15" customHeight="1" x14ac:dyDescent="0.25">
      <c r="A58" s="95"/>
      <c r="B58" s="40" t="s">
        <v>141</v>
      </c>
      <c r="C58" s="71">
        <v>-20.28885</v>
      </c>
      <c r="D58" s="71">
        <v>-40.243397000000002</v>
      </c>
      <c r="E58" s="72">
        <f>E57</f>
        <v>2186121.2660000362</v>
      </c>
      <c r="F58" s="72"/>
      <c r="G58" s="72"/>
      <c r="H58" s="77">
        <f>H57</f>
        <v>1400903.263</v>
      </c>
      <c r="I58" s="73" t="s">
        <v>202</v>
      </c>
      <c r="J58" s="57">
        <f t="shared" si="20"/>
        <v>0.755</v>
      </c>
      <c r="K58" s="57"/>
      <c r="L58" s="57"/>
      <c r="M58" s="74">
        <f t="shared" si="5"/>
        <v>0.2692468682798082</v>
      </c>
      <c r="N58" s="74">
        <f t="shared" si="6"/>
        <v>0.12734649175396334</v>
      </c>
      <c r="O58" s="74">
        <f t="shared" si="7"/>
        <v>1.9283897322743021E-2</v>
      </c>
    </row>
    <row r="59" spans="1:15" s="33" customFormat="1" ht="15" customHeight="1" x14ac:dyDescent="0.25">
      <c r="A59" s="95"/>
      <c r="B59" s="40" t="s">
        <v>142</v>
      </c>
      <c r="C59" s="71">
        <v>-20.289898000000001</v>
      </c>
      <c r="D59" s="71">
        <v>-40.245173999999999</v>
      </c>
      <c r="E59" s="72">
        <f>E58</f>
        <v>2186121.2660000362</v>
      </c>
      <c r="F59" s="72"/>
      <c r="G59" s="72"/>
      <c r="H59" s="77">
        <f>H58</f>
        <v>1400903.263</v>
      </c>
      <c r="I59" s="73" t="s">
        <v>202</v>
      </c>
      <c r="J59" s="57">
        <f t="shared" si="20"/>
        <v>0.755</v>
      </c>
      <c r="K59" s="57"/>
      <c r="L59" s="57"/>
      <c r="M59" s="74">
        <f t="shared" si="5"/>
        <v>0.2692468682798082</v>
      </c>
      <c r="N59" s="74">
        <f t="shared" si="6"/>
        <v>0.12734649175396334</v>
      </c>
      <c r="O59" s="74">
        <f t="shared" si="7"/>
        <v>1.9283897322743021E-2</v>
      </c>
    </row>
    <row r="60" spans="1:15" ht="15" customHeight="1" x14ac:dyDescent="0.25">
      <c r="A60" s="95"/>
      <c r="B60" s="40" t="s">
        <v>154</v>
      </c>
      <c r="C60" s="71">
        <v>-20.290136</v>
      </c>
      <c r="D60" s="71">
        <v>-40.244892</v>
      </c>
      <c r="E60" s="72">
        <f>E59</f>
        <v>2186121.2660000362</v>
      </c>
      <c r="F60" s="73"/>
      <c r="G60" s="73"/>
      <c r="H60" s="77">
        <f>H59</f>
        <v>1400903.263</v>
      </c>
      <c r="I60" s="75" t="s">
        <v>292</v>
      </c>
      <c r="J60" s="58">
        <v>0.48</v>
      </c>
      <c r="K60" s="75" t="s">
        <v>292</v>
      </c>
      <c r="L60" s="58">
        <v>0.48</v>
      </c>
      <c r="M60" s="74">
        <f t="shared" si="5"/>
        <v>0.18357434048878185</v>
      </c>
      <c r="N60" s="74">
        <f t="shared" si="6"/>
        <v>8.6825701582531931E-2</v>
      </c>
      <c r="O60" s="74">
        <f t="shared" si="7"/>
        <v>1.3147891953926266E-2</v>
      </c>
    </row>
    <row r="61" spans="1:15" ht="15" customHeight="1" x14ac:dyDescent="0.25">
      <c r="A61" s="42" t="s">
        <v>144</v>
      </c>
      <c r="B61" s="40" t="s">
        <v>218</v>
      </c>
      <c r="C61" s="71">
        <v>-20.275521999999999</v>
      </c>
      <c r="D61" s="71">
        <v>-40.249974000000002</v>
      </c>
      <c r="E61" s="72"/>
      <c r="F61" s="72"/>
      <c r="G61" s="72"/>
      <c r="H61" s="72">
        <f>('Tubarão - Rota'!C37+'Tubarão - Rota'!H37)</f>
        <v>8566317</v>
      </c>
      <c r="I61" s="78"/>
      <c r="J61" s="58"/>
      <c r="K61" s="58" t="s">
        <v>289</v>
      </c>
      <c r="L61" s="58">
        <v>0.8</v>
      </c>
      <c r="M61" s="74">
        <f t="shared" si="5"/>
        <v>0.29603194044165171</v>
      </c>
      <c r="N61" s="74">
        <f t="shared" si="6"/>
        <v>0.14001510696564609</v>
      </c>
      <c r="O61" s="74">
        <f t="shared" si="7"/>
        <v>2.1202287626226408E-2</v>
      </c>
    </row>
    <row r="62" spans="1:15" ht="15" customHeight="1" x14ac:dyDescent="0.25">
      <c r="A62" s="95" t="s">
        <v>145</v>
      </c>
      <c r="B62" s="40" t="s">
        <v>146</v>
      </c>
      <c r="C62" s="71">
        <v>-20.275521999999999</v>
      </c>
      <c r="D62" s="71">
        <v>-40.249974000000002</v>
      </c>
      <c r="E62" s="72"/>
      <c r="F62" s="72"/>
      <c r="G62" s="72"/>
      <c r="H62" s="72">
        <f>'Tubarão - Rota'!H51</f>
        <v>4590751.0769999996</v>
      </c>
      <c r="I62" s="78"/>
      <c r="J62" s="58"/>
      <c r="K62" s="58" t="s">
        <v>289</v>
      </c>
      <c r="L62" s="58">
        <f>$L$61</f>
        <v>0.8</v>
      </c>
      <c r="M62" s="74">
        <f t="shared" si="5"/>
        <v>0.15864565243253459</v>
      </c>
      <c r="N62" s="74">
        <f t="shared" si="6"/>
        <v>7.5035105880252834E-2</v>
      </c>
      <c r="O62" s="74">
        <f t="shared" si="7"/>
        <v>1.1362458890438288E-2</v>
      </c>
    </row>
    <row r="63" spans="1:15" ht="15" customHeight="1" x14ac:dyDescent="0.25">
      <c r="A63" s="95"/>
      <c r="B63" s="40" t="s">
        <v>147</v>
      </c>
      <c r="C63" s="71">
        <v>-20.276606000000001</v>
      </c>
      <c r="D63" s="71">
        <v>-40.249552999999999</v>
      </c>
      <c r="E63" s="72"/>
      <c r="F63" s="72"/>
      <c r="G63" s="72"/>
      <c r="H63" s="72">
        <f>H62</f>
        <v>4590751.0769999996</v>
      </c>
      <c r="I63" s="73" t="s">
        <v>202</v>
      </c>
      <c r="J63" s="57">
        <f t="shared" ref="J63:J65" si="21">1-((1-0.51)*(1-0.5))</f>
        <v>0.755</v>
      </c>
      <c r="K63" s="57" t="s">
        <v>290</v>
      </c>
      <c r="L63" s="57">
        <f>1-((1-0.51)*(1-0.5)*(1-$L$61))</f>
        <v>0.95100000000000007</v>
      </c>
      <c r="M63" s="74">
        <f t="shared" si="5"/>
        <v>3.8868184845970925E-2</v>
      </c>
      <c r="N63" s="74">
        <f t="shared" si="6"/>
        <v>1.8383600940661923E-2</v>
      </c>
      <c r="O63" s="74">
        <f t="shared" si="7"/>
        <v>2.7838024281573778E-3</v>
      </c>
    </row>
    <row r="64" spans="1:15" ht="15" customHeight="1" x14ac:dyDescent="0.25">
      <c r="A64" s="95"/>
      <c r="B64" s="40" t="s">
        <v>148</v>
      </c>
      <c r="C64" s="71">
        <v>-20.276710999999999</v>
      </c>
      <c r="D64" s="71">
        <v>-40.249960000000002</v>
      </c>
      <c r="E64" s="72"/>
      <c r="F64" s="72"/>
      <c r="G64" s="72"/>
      <c r="H64" s="72">
        <f>H63</f>
        <v>4590751.0769999996</v>
      </c>
      <c r="I64" s="73" t="s">
        <v>202</v>
      </c>
      <c r="J64" s="57">
        <f t="shared" si="21"/>
        <v>0.755</v>
      </c>
      <c r="K64" s="57" t="s">
        <v>290</v>
      </c>
      <c r="L64" s="57">
        <f t="shared" ref="L64:L65" si="22">1-((1-0.51)*(1-0.5)*(1-$L$61))</f>
        <v>0.95100000000000007</v>
      </c>
      <c r="M64" s="74">
        <f t="shared" si="5"/>
        <v>3.8868184845970925E-2</v>
      </c>
      <c r="N64" s="74">
        <f t="shared" si="6"/>
        <v>1.8383600940661923E-2</v>
      </c>
      <c r="O64" s="74">
        <f t="shared" si="7"/>
        <v>2.7838024281573778E-3</v>
      </c>
    </row>
    <row r="65" spans="1:15" ht="15" customHeight="1" x14ac:dyDescent="0.25">
      <c r="A65" s="95"/>
      <c r="B65" s="40" t="s">
        <v>149</v>
      </c>
      <c r="C65" s="71">
        <v>-20.277864000000001</v>
      </c>
      <c r="D65" s="71">
        <v>-40.248632000000001</v>
      </c>
      <c r="E65" s="72"/>
      <c r="F65" s="72"/>
      <c r="G65" s="72"/>
      <c r="H65" s="72">
        <f>H64</f>
        <v>4590751.0769999996</v>
      </c>
      <c r="I65" s="73" t="s">
        <v>202</v>
      </c>
      <c r="J65" s="57">
        <f t="shared" si="21"/>
        <v>0.755</v>
      </c>
      <c r="K65" s="57" t="s">
        <v>290</v>
      </c>
      <c r="L65" s="57">
        <f t="shared" si="22"/>
        <v>0.95100000000000007</v>
      </c>
      <c r="M65" s="74">
        <f t="shared" si="5"/>
        <v>3.8868184845970925E-2</v>
      </c>
      <c r="N65" s="74">
        <f t="shared" si="6"/>
        <v>1.8383600940661923E-2</v>
      </c>
      <c r="O65" s="74">
        <f t="shared" si="7"/>
        <v>2.7838024281573778E-3</v>
      </c>
    </row>
    <row r="66" spans="1:15" ht="15" customHeight="1" x14ac:dyDescent="0.25">
      <c r="A66" s="95"/>
      <c r="B66" s="40" t="s">
        <v>219</v>
      </c>
      <c r="C66" s="71">
        <v>-20.280417</v>
      </c>
      <c r="D66" s="71">
        <v>-40.246288</v>
      </c>
      <c r="E66" s="72"/>
      <c r="F66" s="72"/>
      <c r="G66" s="72"/>
      <c r="H66" s="72">
        <f>H65</f>
        <v>4590751.0769999996</v>
      </c>
      <c r="I66" s="75" t="s">
        <v>201</v>
      </c>
      <c r="J66" s="58">
        <v>0.5</v>
      </c>
      <c r="K66" s="58" t="s">
        <v>291</v>
      </c>
      <c r="L66" s="58">
        <f>1-((1-0.5)*(1-$L$61))</f>
        <v>0.9</v>
      </c>
      <c r="M66" s="74">
        <f t="shared" si="5"/>
        <v>7.9322826216267295E-2</v>
      </c>
      <c r="N66" s="74">
        <f t="shared" si="6"/>
        <v>3.7517552940126417E-2</v>
      </c>
      <c r="O66" s="74">
        <f t="shared" si="7"/>
        <v>5.681229445219144E-3</v>
      </c>
    </row>
    <row r="67" spans="1:15" ht="15" customHeight="1" x14ac:dyDescent="0.25">
      <c r="A67" s="95" t="s">
        <v>150</v>
      </c>
      <c r="B67" s="40" t="s">
        <v>146</v>
      </c>
      <c r="C67" s="71">
        <v>-20.275521999999999</v>
      </c>
      <c r="D67" s="71">
        <v>-40.249974000000002</v>
      </c>
      <c r="E67" s="73"/>
      <c r="F67" s="72"/>
      <c r="G67" s="72"/>
      <c r="H67" s="72">
        <f>'Tubarão - Rota'!B68</f>
        <v>3975565.9230000004</v>
      </c>
      <c r="I67" s="78"/>
      <c r="J67" s="58"/>
      <c r="K67" s="58" t="s">
        <v>289</v>
      </c>
      <c r="L67" s="58">
        <f>$L$61</f>
        <v>0.8</v>
      </c>
      <c r="M67" s="74">
        <f t="shared" si="5"/>
        <v>0.13738628800911715</v>
      </c>
      <c r="N67" s="74">
        <f t="shared" si="6"/>
        <v>6.498000108539323E-2</v>
      </c>
      <c r="O67" s="74">
        <f t="shared" si="7"/>
        <v>9.8398287357881198E-3</v>
      </c>
    </row>
    <row r="68" spans="1:15" ht="15" customHeight="1" x14ac:dyDescent="0.25">
      <c r="A68" s="95"/>
      <c r="B68" s="40" t="s">
        <v>147</v>
      </c>
      <c r="C68" s="71">
        <v>-20.276606000000001</v>
      </c>
      <c r="D68" s="71">
        <v>-40.249552999999999</v>
      </c>
      <c r="E68" s="73"/>
      <c r="F68" s="72"/>
      <c r="G68" s="72"/>
      <c r="H68" s="72">
        <f>H67</f>
        <v>3975565.9230000004</v>
      </c>
      <c r="I68" s="73" t="s">
        <v>202</v>
      </c>
      <c r="J68" s="57">
        <f t="shared" ref="J68:J74" si="23">1-((1-0.51)*(1-0.5))</f>
        <v>0.755</v>
      </c>
      <c r="K68" s="57" t="s">
        <v>290</v>
      </c>
      <c r="L68" s="57">
        <f t="shared" ref="L68:L74" si="24">1-((1-0.51)*(1-0.5)*(1-$L$61))</f>
        <v>0.95100000000000007</v>
      </c>
      <c r="M68" s="74">
        <f t="shared" si="5"/>
        <v>3.365964056223366E-2</v>
      </c>
      <c r="N68" s="74">
        <f t="shared" si="6"/>
        <v>1.5920100265921323E-2</v>
      </c>
      <c r="O68" s="74">
        <f t="shared" si="7"/>
        <v>2.4107580402680864E-3</v>
      </c>
    </row>
    <row r="69" spans="1:15" ht="15" customHeight="1" x14ac:dyDescent="0.25">
      <c r="A69" s="95"/>
      <c r="B69" s="40" t="s">
        <v>148</v>
      </c>
      <c r="C69" s="71">
        <v>-20.276710999999999</v>
      </c>
      <c r="D69" s="71">
        <v>-40.249960000000002</v>
      </c>
      <c r="E69" s="73"/>
      <c r="F69" s="72"/>
      <c r="G69" s="72"/>
      <c r="H69" s="72">
        <f>H68</f>
        <v>3975565.9230000004</v>
      </c>
      <c r="I69" s="73" t="s">
        <v>202</v>
      </c>
      <c r="J69" s="57">
        <f t="shared" si="23"/>
        <v>0.755</v>
      </c>
      <c r="K69" s="57" t="s">
        <v>290</v>
      </c>
      <c r="L69" s="57">
        <f t="shared" si="24"/>
        <v>0.95100000000000007</v>
      </c>
      <c r="M69" s="74">
        <f t="shared" si="5"/>
        <v>3.365964056223366E-2</v>
      </c>
      <c r="N69" s="74">
        <f t="shared" si="6"/>
        <v>1.5920100265921323E-2</v>
      </c>
      <c r="O69" s="74">
        <f t="shared" si="7"/>
        <v>2.4107580402680864E-3</v>
      </c>
    </row>
    <row r="70" spans="1:15" ht="15" customHeight="1" x14ac:dyDescent="0.25">
      <c r="A70" s="95"/>
      <c r="B70" s="40" t="s">
        <v>149</v>
      </c>
      <c r="C70" s="71">
        <v>-20.277864000000001</v>
      </c>
      <c r="D70" s="71">
        <v>-40.248632000000001</v>
      </c>
      <c r="E70" s="73"/>
      <c r="F70" s="72"/>
      <c r="G70" s="72"/>
      <c r="H70" s="72">
        <f>H69</f>
        <v>3975565.9230000004</v>
      </c>
      <c r="I70" s="73" t="s">
        <v>202</v>
      </c>
      <c r="J70" s="57">
        <f t="shared" si="23"/>
        <v>0.755</v>
      </c>
      <c r="K70" s="57" t="s">
        <v>290</v>
      </c>
      <c r="L70" s="57">
        <f t="shared" si="24"/>
        <v>0.95100000000000007</v>
      </c>
      <c r="M70" s="74">
        <f t="shared" ref="M70:M133" si="25" xml:space="preserve"> (1/8760) * (( $E70*C$181 + $F70*C$182 + $G70*C$183) * (1-$J70) + $H70*C$184 * (1-$L70))</f>
        <v>3.365964056223366E-2</v>
      </c>
      <c r="N70" s="74">
        <f t="shared" ref="N70:N133" si="26" xml:space="preserve"> (1/8760) * (( $E70*D$181 + $F70*D$182 + $G70*D$183) * (1-$J70) + $H70*D$184 * (1-$L70))</f>
        <v>1.5920100265921323E-2</v>
      </c>
      <c r="O70" s="74">
        <f t="shared" ref="O70:O133" si="27" xml:space="preserve"> (1/8760) * (( $E70*E$181 + $F70*E$182 + $G70*E$183) * (1-$J70) + $H70*E$184 * (1-$L70))</f>
        <v>2.4107580402680864E-3</v>
      </c>
    </row>
    <row r="71" spans="1:15" ht="15" customHeight="1" x14ac:dyDescent="0.25">
      <c r="A71" s="95"/>
      <c r="B71" s="40" t="s">
        <v>155</v>
      </c>
      <c r="C71" s="71">
        <v>-20.283211999999999</v>
      </c>
      <c r="D71" s="71">
        <v>-40.245654999999999</v>
      </c>
      <c r="E71" s="73"/>
      <c r="F71" s="72"/>
      <c r="G71" s="72"/>
      <c r="H71" s="72">
        <f>H70</f>
        <v>3975565.9230000004</v>
      </c>
      <c r="I71" s="73" t="s">
        <v>202</v>
      </c>
      <c r="J71" s="57">
        <f t="shared" si="23"/>
        <v>0.755</v>
      </c>
      <c r="K71" s="57" t="s">
        <v>290</v>
      </c>
      <c r="L71" s="57">
        <f t="shared" si="24"/>
        <v>0.95100000000000007</v>
      </c>
      <c r="M71" s="74">
        <f t="shared" si="25"/>
        <v>3.365964056223366E-2</v>
      </c>
      <c r="N71" s="74">
        <f t="shared" si="26"/>
        <v>1.5920100265921323E-2</v>
      </c>
      <c r="O71" s="74">
        <f t="shared" si="27"/>
        <v>2.4107580402680864E-3</v>
      </c>
    </row>
    <row r="72" spans="1:15" ht="15" customHeight="1" x14ac:dyDescent="0.25">
      <c r="A72" s="95"/>
      <c r="B72" s="40" t="s">
        <v>152</v>
      </c>
      <c r="C72" s="71">
        <v>-20.285886999999999</v>
      </c>
      <c r="D72" s="71">
        <v>-40.244557999999998</v>
      </c>
      <c r="E72" s="73"/>
      <c r="F72" s="72"/>
      <c r="G72" s="72"/>
      <c r="H72" s="72">
        <f>H71/2</f>
        <v>1987782.9615000002</v>
      </c>
      <c r="I72" s="73" t="s">
        <v>202</v>
      </c>
      <c r="J72" s="57">
        <f t="shared" si="23"/>
        <v>0.755</v>
      </c>
      <c r="K72" s="57" t="s">
        <v>290</v>
      </c>
      <c r="L72" s="57">
        <f t="shared" si="24"/>
        <v>0.95100000000000007</v>
      </c>
      <c r="M72" s="74">
        <f t="shared" si="25"/>
        <v>1.682982028111683E-2</v>
      </c>
      <c r="N72" s="74">
        <f t="shared" si="26"/>
        <v>7.9600501329606613E-3</v>
      </c>
      <c r="O72" s="74">
        <f t="shared" si="27"/>
        <v>1.2053790201340432E-3</v>
      </c>
    </row>
    <row r="73" spans="1:15" ht="15" customHeight="1" x14ac:dyDescent="0.25">
      <c r="A73" s="95"/>
      <c r="B73" s="40" t="s">
        <v>136</v>
      </c>
      <c r="C73" s="71">
        <v>-20.285374000000001</v>
      </c>
      <c r="D73" s="71">
        <v>-40.244999999999997</v>
      </c>
      <c r="E73" s="73"/>
      <c r="F73" s="72"/>
      <c r="G73" s="72"/>
      <c r="H73" s="72">
        <f>H72</f>
        <v>1987782.9615000002</v>
      </c>
      <c r="I73" s="73" t="s">
        <v>202</v>
      </c>
      <c r="J73" s="57">
        <f t="shared" si="23"/>
        <v>0.755</v>
      </c>
      <c r="K73" s="57" t="s">
        <v>290</v>
      </c>
      <c r="L73" s="57">
        <f t="shared" si="24"/>
        <v>0.95100000000000007</v>
      </c>
      <c r="M73" s="74">
        <f t="shared" si="25"/>
        <v>1.682982028111683E-2</v>
      </c>
      <c r="N73" s="74">
        <f t="shared" si="26"/>
        <v>7.9600501329606613E-3</v>
      </c>
      <c r="O73" s="74">
        <f t="shared" si="27"/>
        <v>1.2053790201340432E-3</v>
      </c>
    </row>
    <row r="74" spans="1:15" ht="15" customHeight="1" x14ac:dyDescent="0.25">
      <c r="A74" s="95"/>
      <c r="B74" s="40" t="s">
        <v>137</v>
      </c>
      <c r="C74" s="71">
        <v>-20.286928</v>
      </c>
      <c r="D74" s="71">
        <v>-40.247687999999997</v>
      </c>
      <c r="E74" s="73"/>
      <c r="F74" s="72"/>
      <c r="G74" s="72"/>
      <c r="H74" s="72">
        <f>H73</f>
        <v>1987782.9615000002</v>
      </c>
      <c r="I74" s="73" t="s">
        <v>202</v>
      </c>
      <c r="J74" s="57">
        <f t="shared" si="23"/>
        <v>0.755</v>
      </c>
      <c r="K74" s="57" t="s">
        <v>290</v>
      </c>
      <c r="L74" s="57">
        <f t="shared" si="24"/>
        <v>0.95100000000000007</v>
      </c>
      <c r="M74" s="74">
        <f t="shared" si="25"/>
        <v>1.682982028111683E-2</v>
      </c>
      <c r="N74" s="74">
        <f t="shared" si="26"/>
        <v>7.9600501329606613E-3</v>
      </c>
      <c r="O74" s="74">
        <f t="shared" si="27"/>
        <v>1.2053790201340432E-3</v>
      </c>
    </row>
    <row r="75" spans="1:15" ht="15" customHeight="1" x14ac:dyDescent="0.25">
      <c r="A75" s="95"/>
      <c r="B75" s="40" t="s">
        <v>153</v>
      </c>
      <c r="C75" s="71">
        <v>-20.287773000000001</v>
      </c>
      <c r="D75" s="71">
        <v>-40.246915000000001</v>
      </c>
      <c r="E75" s="73"/>
      <c r="F75" s="72"/>
      <c r="G75" s="72"/>
      <c r="H75" s="72">
        <f>H74</f>
        <v>1987782.9615000002</v>
      </c>
      <c r="I75" s="75" t="s">
        <v>201</v>
      </c>
      <c r="J75" s="58">
        <v>0.5</v>
      </c>
      <c r="K75" s="58" t="s">
        <v>289</v>
      </c>
      <c r="L75" s="58">
        <f>$L$61</f>
        <v>0.8</v>
      </c>
      <c r="M75" s="74">
        <f t="shared" si="25"/>
        <v>6.8693144004558573E-2</v>
      </c>
      <c r="N75" s="74">
        <f t="shared" si="26"/>
        <v>3.2490000542696615E-2</v>
      </c>
      <c r="O75" s="74">
        <f t="shared" si="27"/>
        <v>4.9199143678940599E-3</v>
      </c>
    </row>
    <row r="76" spans="1:15" ht="15" customHeight="1" x14ac:dyDescent="0.25">
      <c r="A76" s="95"/>
      <c r="B76" s="40" t="s">
        <v>151</v>
      </c>
      <c r="C76" s="71">
        <v>-20.286007000000001</v>
      </c>
      <c r="D76" s="71">
        <v>-40.244484999999997</v>
      </c>
      <c r="E76" s="73"/>
      <c r="F76" s="72"/>
      <c r="G76" s="72"/>
      <c r="H76" s="72">
        <f>H71/2</f>
        <v>1987782.9615000002</v>
      </c>
      <c r="I76" s="73" t="s">
        <v>202</v>
      </c>
      <c r="J76" s="57">
        <f t="shared" ref="J76:J80" si="28">1-((1-0.51)*(1-0.5))</f>
        <v>0.755</v>
      </c>
      <c r="K76" s="57" t="s">
        <v>290</v>
      </c>
      <c r="L76" s="57">
        <f t="shared" ref="L76:L80" si="29">1-((1-0.51)*(1-0.5)*(1-$L$61))</f>
        <v>0.95100000000000007</v>
      </c>
      <c r="M76" s="74">
        <f t="shared" si="25"/>
        <v>1.682982028111683E-2</v>
      </c>
      <c r="N76" s="74">
        <f t="shared" si="26"/>
        <v>7.9600501329606613E-3</v>
      </c>
      <c r="O76" s="74">
        <f t="shared" si="27"/>
        <v>1.2053790201340432E-3</v>
      </c>
    </row>
    <row r="77" spans="1:15" ht="15" customHeight="1" x14ac:dyDescent="0.25">
      <c r="A77" s="95"/>
      <c r="B77" s="40" t="s">
        <v>139</v>
      </c>
      <c r="C77" s="71">
        <v>-20.287610000000001</v>
      </c>
      <c r="D77" s="71">
        <v>-40.243876999999998</v>
      </c>
      <c r="E77" s="73"/>
      <c r="F77" s="72"/>
      <c r="G77" s="72"/>
      <c r="H77" s="72">
        <f>H76</f>
        <v>1987782.9615000002</v>
      </c>
      <c r="I77" s="73" t="s">
        <v>202</v>
      </c>
      <c r="J77" s="57">
        <f t="shared" si="28"/>
        <v>0.755</v>
      </c>
      <c r="K77" s="57" t="s">
        <v>290</v>
      </c>
      <c r="L77" s="57">
        <f t="shared" si="29"/>
        <v>0.95100000000000007</v>
      </c>
      <c r="M77" s="74">
        <f t="shared" si="25"/>
        <v>1.682982028111683E-2</v>
      </c>
      <c r="N77" s="74">
        <f t="shared" si="26"/>
        <v>7.9600501329606613E-3</v>
      </c>
      <c r="O77" s="74">
        <f t="shared" si="27"/>
        <v>1.2053790201340432E-3</v>
      </c>
    </row>
    <row r="78" spans="1:15" ht="15" customHeight="1" x14ac:dyDescent="0.25">
      <c r="A78" s="95"/>
      <c r="B78" s="40" t="s">
        <v>140</v>
      </c>
      <c r="C78" s="71">
        <v>-20.287931</v>
      </c>
      <c r="D78" s="71">
        <v>-40.243747999999997</v>
      </c>
      <c r="E78" s="73"/>
      <c r="F78" s="72"/>
      <c r="G78" s="72"/>
      <c r="H78" s="72">
        <f>H77</f>
        <v>1987782.9615000002</v>
      </c>
      <c r="I78" s="73" t="s">
        <v>202</v>
      </c>
      <c r="J78" s="57">
        <f t="shared" si="28"/>
        <v>0.755</v>
      </c>
      <c r="K78" s="57" t="s">
        <v>290</v>
      </c>
      <c r="L78" s="57">
        <f t="shared" si="29"/>
        <v>0.95100000000000007</v>
      </c>
      <c r="M78" s="74">
        <f t="shared" si="25"/>
        <v>1.682982028111683E-2</v>
      </c>
      <c r="N78" s="74">
        <f t="shared" si="26"/>
        <v>7.9600501329606613E-3</v>
      </c>
      <c r="O78" s="74">
        <f t="shared" si="27"/>
        <v>1.2053790201340432E-3</v>
      </c>
    </row>
    <row r="79" spans="1:15" ht="15" customHeight="1" x14ac:dyDescent="0.25">
      <c r="A79" s="95"/>
      <c r="B79" s="40" t="s">
        <v>141</v>
      </c>
      <c r="C79" s="71">
        <v>-20.28885</v>
      </c>
      <c r="D79" s="71">
        <v>-40.243397000000002</v>
      </c>
      <c r="E79" s="73"/>
      <c r="F79" s="72"/>
      <c r="G79" s="72"/>
      <c r="H79" s="72">
        <f>H78</f>
        <v>1987782.9615000002</v>
      </c>
      <c r="I79" s="73" t="s">
        <v>202</v>
      </c>
      <c r="J79" s="57">
        <f t="shared" si="28"/>
        <v>0.755</v>
      </c>
      <c r="K79" s="57" t="s">
        <v>290</v>
      </c>
      <c r="L79" s="57">
        <f t="shared" si="29"/>
        <v>0.95100000000000007</v>
      </c>
      <c r="M79" s="74">
        <f t="shared" si="25"/>
        <v>1.682982028111683E-2</v>
      </c>
      <c r="N79" s="74">
        <f t="shared" si="26"/>
        <v>7.9600501329606613E-3</v>
      </c>
      <c r="O79" s="74">
        <f t="shared" si="27"/>
        <v>1.2053790201340432E-3</v>
      </c>
    </row>
    <row r="80" spans="1:15" ht="15" customHeight="1" x14ac:dyDescent="0.25">
      <c r="A80" s="95"/>
      <c r="B80" s="40" t="s">
        <v>142</v>
      </c>
      <c r="C80" s="71">
        <v>-20.289898000000001</v>
      </c>
      <c r="D80" s="71">
        <v>-40.245173999999999</v>
      </c>
      <c r="E80" s="73"/>
      <c r="F80" s="72"/>
      <c r="G80" s="72"/>
      <c r="H80" s="72">
        <f>H79</f>
        <v>1987782.9615000002</v>
      </c>
      <c r="I80" s="73" t="s">
        <v>202</v>
      </c>
      <c r="J80" s="57">
        <f t="shared" si="28"/>
        <v>0.755</v>
      </c>
      <c r="K80" s="57" t="s">
        <v>290</v>
      </c>
      <c r="L80" s="57">
        <f t="shared" si="29"/>
        <v>0.95100000000000007</v>
      </c>
      <c r="M80" s="74">
        <f t="shared" si="25"/>
        <v>1.682982028111683E-2</v>
      </c>
      <c r="N80" s="74">
        <f t="shared" si="26"/>
        <v>7.9600501329606613E-3</v>
      </c>
      <c r="O80" s="74">
        <f t="shared" si="27"/>
        <v>1.2053790201340432E-3</v>
      </c>
    </row>
    <row r="81" spans="1:15" ht="15" customHeight="1" x14ac:dyDescent="0.25">
      <c r="A81" s="95"/>
      <c r="B81" s="40" t="s">
        <v>154</v>
      </c>
      <c r="C81" s="71">
        <v>-20.290136</v>
      </c>
      <c r="D81" s="71">
        <v>-40.244892</v>
      </c>
      <c r="E81" s="73"/>
      <c r="F81" s="72"/>
      <c r="G81" s="72"/>
      <c r="H81" s="72">
        <f>H80</f>
        <v>1987782.9615000002</v>
      </c>
      <c r="I81" s="75" t="s">
        <v>292</v>
      </c>
      <c r="J81" s="58">
        <v>0.48</v>
      </c>
      <c r="K81" s="58" t="s">
        <v>293</v>
      </c>
      <c r="L81" s="58">
        <f>1-((1-0.48)*(1-$L$61))</f>
        <v>0.89600000000000002</v>
      </c>
      <c r="M81" s="74">
        <f t="shared" si="25"/>
        <v>3.5720434882370457E-2</v>
      </c>
      <c r="N81" s="74">
        <f t="shared" si="26"/>
        <v>1.6894800282202242E-2</v>
      </c>
      <c r="O81" s="74">
        <f t="shared" si="27"/>
        <v>2.5583554713049109E-3</v>
      </c>
    </row>
    <row r="82" spans="1:15" ht="15" customHeight="1" x14ac:dyDescent="0.25">
      <c r="A82" s="95" t="s">
        <v>156</v>
      </c>
      <c r="B82" s="40" t="s">
        <v>157</v>
      </c>
      <c r="C82" s="71">
        <v>-20.275013000000001</v>
      </c>
      <c r="D82" s="71">
        <v>-40.242882000000002</v>
      </c>
      <c r="E82" s="73"/>
      <c r="F82" s="73"/>
      <c r="G82" s="73"/>
      <c r="H82" s="72">
        <f>'Tubarão - Rota'!U37+'Tubarão - Rota'!W33+'Tubarão - Rota'!AB37</f>
        <v>12803726</v>
      </c>
      <c r="I82" s="73" t="s">
        <v>202</v>
      </c>
      <c r="J82" s="57">
        <f t="shared" ref="J82:J83" si="30">1-((1-0.51)*(1-0.5))</f>
        <v>0.755</v>
      </c>
      <c r="K82" s="57" t="s">
        <v>290</v>
      </c>
      <c r="L82" s="57">
        <f t="shared" ref="L82:L83" si="31">1-((1-0.51)*(1-0.5)*(1-$L$61))</f>
        <v>0.95100000000000007</v>
      </c>
      <c r="M82" s="74">
        <f t="shared" si="25"/>
        <v>0.10840439408236816</v>
      </c>
      <c r="N82" s="74">
        <f t="shared" si="26"/>
        <v>5.1272348552471411E-2</v>
      </c>
      <c r="O82" s="74">
        <f t="shared" si="27"/>
        <v>7.7640984950885289E-3</v>
      </c>
    </row>
    <row r="83" spans="1:15" ht="15" customHeight="1" x14ac:dyDescent="0.25">
      <c r="A83" s="95"/>
      <c r="B83" s="40" t="s">
        <v>158</v>
      </c>
      <c r="C83" s="71">
        <v>-20.273980000000002</v>
      </c>
      <c r="D83" s="71">
        <v>-40.239570999999998</v>
      </c>
      <c r="E83" s="73"/>
      <c r="F83" s="73"/>
      <c r="G83" s="73"/>
      <c r="H83" s="72">
        <f>H82</f>
        <v>12803726</v>
      </c>
      <c r="I83" s="73" t="s">
        <v>202</v>
      </c>
      <c r="J83" s="57">
        <f t="shared" si="30"/>
        <v>0.755</v>
      </c>
      <c r="K83" s="57" t="s">
        <v>290</v>
      </c>
      <c r="L83" s="57">
        <f t="shared" si="31"/>
        <v>0.95100000000000007</v>
      </c>
      <c r="M83" s="74">
        <f t="shared" si="25"/>
        <v>0.10840439408236816</v>
      </c>
      <c r="N83" s="74">
        <f t="shared" si="26"/>
        <v>5.1272348552471411E-2</v>
      </c>
      <c r="O83" s="74">
        <f t="shared" si="27"/>
        <v>7.7640984950885289E-3</v>
      </c>
    </row>
    <row r="84" spans="1:15" ht="15" customHeight="1" x14ac:dyDescent="0.25">
      <c r="A84" s="95"/>
      <c r="B84" s="40" t="s">
        <v>159</v>
      </c>
      <c r="C84" s="71">
        <v>-20.277037</v>
      </c>
      <c r="D84" s="71">
        <v>-40.238892999999997</v>
      </c>
      <c r="E84" s="73"/>
      <c r="F84" s="73"/>
      <c r="G84" s="73"/>
      <c r="H84" s="72">
        <f>H82</f>
        <v>12803726</v>
      </c>
      <c r="I84" s="75" t="s">
        <v>201</v>
      </c>
      <c r="J84" s="58">
        <v>0.5</v>
      </c>
      <c r="K84" s="58" t="s">
        <v>291</v>
      </c>
      <c r="L84" s="58">
        <f>1-((1-0.5)*(1-$L$61))</f>
        <v>0.9</v>
      </c>
      <c r="M84" s="74">
        <f t="shared" si="25"/>
        <v>0.22123345731095567</v>
      </c>
      <c r="N84" s="74">
        <f t="shared" si="26"/>
        <v>0.10463744602545198</v>
      </c>
      <c r="O84" s="74">
        <f t="shared" si="27"/>
        <v>1.5845098969568445E-2</v>
      </c>
    </row>
    <row r="85" spans="1:15" ht="15" customHeight="1" x14ac:dyDescent="0.25">
      <c r="A85" s="95" t="s">
        <v>160</v>
      </c>
      <c r="B85" s="40" t="s">
        <v>161</v>
      </c>
      <c r="C85" s="71">
        <v>-20.277037</v>
      </c>
      <c r="D85" s="71">
        <v>-40.238892999999997</v>
      </c>
      <c r="E85" s="73"/>
      <c r="F85" s="73"/>
      <c r="G85" s="73"/>
      <c r="H85" s="72">
        <f>'Tubarão - Rota'!V51</f>
        <v>11301413.467</v>
      </c>
      <c r="I85" s="78"/>
      <c r="J85" s="58"/>
      <c r="K85" s="58" t="s">
        <v>289</v>
      </c>
      <c r="L85" s="58">
        <f>$L$61</f>
        <v>0.8</v>
      </c>
      <c r="M85" s="74">
        <f t="shared" si="25"/>
        <v>0.39055049659841273</v>
      </c>
      <c r="N85" s="74">
        <f t="shared" si="26"/>
        <v>0.18471982947222218</v>
      </c>
      <c r="O85" s="74">
        <f t="shared" si="27"/>
        <v>2.7971859891507935E-2</v>
      </c>
    </row>
    <row r="86" spans="1:15" ht="15" customHeight="1" x14ac:dyDescent="0.25">
      <c r="A86" s="95"/>
      <c r="B86" s="40" t="s">
        <v>162</v>
      </c>
      <c r="C86" s="71">
        <v>-20.279927000000001</v>
      </c>
      <c r="D86" s="71">
        <v>-40.237743000000002</v>
      </c>
      <c r="E86" s="73"/>
      <c r="F86" s="73"/>
      <c r="G86" s="73"/>
      <c r="H86" s="72">
        <f>H85</f>
        <v>11301413.467</v>
      </c>
      <c r="I86" s="73" t="s">
        <v>202</v>
      </c>
      <c r="J86" s="57">
        <f t="shared" ref="J86:J88" si="32">1-((1-0.51)*(1-0.5))</f>
        <v>0.755</v>
      </c>
      <c r="K86" s="57" t="s">
        <v>290</v>
      </c>
      <c r="L86" s="57">
        <f t="shared" ref="L86:L88" si="33">1-((1-0.51)*(1-0.5)*(1-$L$61))</f>
        <v>0.95100000000000007</v>
      </c>
      <c r="M86" s="74">
        <f t="shared" si="25"/>
        <v>9.5684871666611007E-2</v>
      </c>
      <c r="N86" s="74">
        <f t="shared" si="26"/>
        <v>4.5256358220694383E-2</v>
      </c>
      <c r="O86" s="74">
        <f t="shared" si="27"/>
        <v>6.8531056734194356E-3</v>
      </c>
    </row>
    <row r="87" spans="1:15" ht="15" customHeight="1" x14ac:dyDescent="0.25">
      <c r="A87" s="95"/>
      <c r="B87" s="40" t="s">
        <v>163</v>
      </c>
      <c r="C87" s="71">
        <v>-20.280892000000001</v>
      </c>
      <c r="D87" s="71">
        <v>-40.237704000000001</v>
      </c>
      <c r="E87" s="73"/>
      <c r="F87" s="73"/>
      <c r="G87" s="73"/>
      <c r="H87" s="72">
        <f>H86</f>
        <v>11301413.467</v>
      </c>
      <c r="I87" s="73" t="s">
        <v>202</v>
      </c>
      <c r="J87" s="57">
        <f t="shared" si="32"/>
        <v>0.755</v>
      </c>
      <c r="K87" s="57" t="s">
        <v>290</v>
      </c>
      <c r="L87" s="57">
        <f t="shared" si="33"/>
        <v>0.95100000000000007</v>
      </c>
      <c r="M87" s="74">
        <f t="shared" si="25"/>
        <v>9.5684871666611007E-2</v>
      </c>
      <c r="N87" s="74">
        <f t="shared" si="26"/>
        <v>4.5256358220694383E-2</v>
      </c>
      <c r="O87" s="74">
        <f t="shared" si="27"/>
        <v>6.8531056734194356E-3</v>
      </c>
    </row>
    <row r="88" spans="1:15" ht="15" customHeight="1" x14ac:dyDescent="0.25">
      <c r="A88" s="95"/>
      <c r="B88" s="40" t="s">
        <v>164</v>
      </c>
      <c r="C88" s="71">
        <v>-20.281715999999999</v>
      </c>
      <c r="D88" s="71">
        <v>-40.237628000000001</v>
      </c>
      <c r="E88" s="73"/>
      <c r="F88" s="73"/>
      <c r="G88" s="73"/>
      <c r="H88" s="72">
        <f>H87</f>
        <v>11301413.467</v>
      </c>
      <c r="I88" s="73" t="s">
        <v>202</v>
      </c>
      <c r="J88" s="57">
        <f t="shared" si="32"/>
        <v>0.755</v>
      </c>
      <c r="K88" s="57" t="s">
        <v>290</v>
      </c>
      <c r="L88" s="57">
        <f t="shared" si="33"/>
        <v>0.95100000000000007</v>
      </c>
      <c r="M88" s="74">
        <f t="shared" si="25"/>
        <v>9.5684871666611007E-2</v>
      </c>
      <c r="N88" s="74">
        <f t="shared" si="26"/>
        <v>4.5256358220694383E-2</v>
      </c>
      <c r="O88" s="74">
        <f t="shared" si="27"/>
        <v>6.8531056734194356E-3</v>
      </c>
    </row>
    <row r="89" spans="1:15" ht="15" customHeight="1" x14ac:dyDescent="0.25">
      <c r="A89" s="95"/>
      <c r="B89" s="40" t="s">
        <v>165</v>
      </c>
      <c r="C89" s="71">
        <v>-20.284103999999999</v>
      </c>
      <c r="D89" s="71">
        <v>-40.240141999999999</v>
      </c>
      <c r="E89" s="73"/>
      <c r="F89" s="73"/>
      <c r="G89" s="73"/>
      <c r="H89" s="72">
        <f>H88</f>
        <v>11301413.467</v>
      </c>
      <c r="I89" s="75" t="s">
        <v>201</v>
      </c>
      <c r="J89" s="58">
        <v>0.5</v>
      </c>
      <c r="K89" s="58" t="s">
        <v>291</v>
      </c>
      <c r="L89" s="58">
        <f>1-((1-0.5)*(1-$L$61))</f>
        <v>0.9</v>
      </c>
      <c r="M89" s="74">
        <f t="shared" si="25"/>
        <v>0.19527524829920637</v>
      </c>
      <c r="N89" s="74">
        <f t="shared" si="26"/>
        <v>9.235991473611109E-2</v>
      </c>
      <c r="O89" s="74">
        <f t="shared" si="27"/>
        <v>1.3985929945753968E-2</v>
      </c>
    </row>
    <row r="90" spans="1:15" ht="15" customHeight="1" x14ac:dyDescent="0.25">
      <c r="A90" s="95" t="s">
        <v>166</v>
      </c>
      <c r="B90" s="40" t="s">
        <v>161</v>
      </c>
      <c r="C90" s="71">
        <v>-20.277037</v>
      </c>
      <c r="D90" s="71">
        <v>-40.238892999999997</v>
      </c>
      <c r="E90" s="73"/>
      <c r="F90" s="73"/>
      <c r="G90" s="73"/>
      <c r="H90" s="72">
        <f>'Tubarão - Rota'!Z63</f>
        <v>1502312.5329999998</v>
      </c>
      <c r="I90" s="78"/>
      <c r="J90" s="58"/>
      <c r="K90" s="58" t="s">
        <v>289</v>
      </c>
      <c r="L90" s="58">
        <f>$L$61</f>
        <v>0.8</v>
      </c>
      <c r="M90" s="74">
        <f t="shared" si="25"/>
        <v>5.1916418023498653E-2</v>
      </c>
      <c r="N90" s="74">
        <f t="shared" si="26"/>
        <v>2.4555062578681792E-2</v>
      </c>
      <c r="O90" s="74">
        <f t="shared" si="27"/>
        <v>3.7183380476289579E-3</v>
      </c>
    </row>
    <row r="91" spans="1:15" ht="15" customHeight="1" x14ac:dyDescent="0.25">
      <c r="A91" s="95"/>
      <c r="B91" s="40" t="s">
        <v>162</v>
      </c>
      <c r="C91" s="71">
        <v>-20.279927000000001</v>
      </c>
      <c r="D91" s="71">
        <v>-40.237743000000002</v>
      </c>
      <c r="E91" s="73"/>
      <c r="F91" s="73"/>
      <c r="G91" s="73"/>
      <c r="H91" s="72">
        <f>H90</f>
        <v>1502312.5329999998</v>
      </c>
      <c r="I91" s="73" t="s">
        <v>202</v>
      </c>
      <c r="J91" s="57">
        <f t="shared" ref="J91:J98" si="34">1-((1-0.51)*(1-0.5))</f>
        <v>0.755</v>
      </c>
      <c r="K91" s="57" t="s">
        <v>290</v>
      </c>
      <c r="L91" s="57">
        <f t="shared" ref="L91:L98" si="35">1-((1-0.51)*(1-0.5)*(1-$L$61))</f>
        <v>0.95100000000000007</v>
      </c>
      <c r="M91" s="74">
        <f t="shared" si="25"/>
        <v>1.2719522415757153E-2</v>
      </c>
      <c r="N91" s="74">
        <f t="shared" si="26"/>
        <v>6.0159903317770326E-3</v>
      </c>
      <c r="O91" s="74">
        <f t="shared" si="27"/>
        <v>9.1099282166909356E-4</v>
      </c>
    </row>
    <row r="92" spans="1:15" ht="15" customHeight="1" x14ac:dyDescent="0.25">
      <c r="A92" s="95"/>
      <c r="B92" s="40" t="s">
        <v>163</v>
      </c>
      <c r="C92" s="71">
        <v>-20.280892000000001</v>
      </c>
      <c r="D92" s="71">
        <v>-40.237704000000001</v>
      </c>
      <c r="E92" s="73"/>
      <c r="F92" s="73"/>
      <c r="G92" s="73"/>
      <c r="H92" s="72">
        <f>H91</f>
        <v>1502312.5329999998</v>
      </c>
      <c r="I92" s="73" t="s">
        <v>202</v>
      </c>
      <c r="J92" s="57">
        <f t="shared" si="34"/>
        <v>0.755</v>
      </c>
      <c r="K92" s="57" t="s">
        <v>290</v>
      </c>
      <c r="L92" s="57">
        <f t="shared" si="35"/>
        <v>0.95100000000000007</v>
      </c>
      <c r="M92" s="74">
        <f t="shared" si="25"/>
        <v>1.2719522415757153E-2</v>
      </c>
      <c r="N92" s="74">
        <f t="shared" si="26"/>
        <v>6.0159903317770326E-3</v>
      </c>
      <c r="O92" s="74">
        <f t="shared" si="27"/>
        <v>9.1099282166909356E-4</v>
      </c>
    </row>
    <row r="93" spans="1:15" ht="15" customHeight="1" x14ac:dyDescent="0.25">
      <c r="A93" s="95"/>
      <c r="B93" s="40" t="s">
        <v>164</v>
      </c>
      <c r="C93" s="71">
        <v>-20.281715999999999</v>
      </c>
      <c r="D93" s="71">
        <v>-40.237628000000001</v>
      </c>
      <c r="E93" s="73"/>
      <c r="F93" s="73"/>
      <c r="G93" s="73"/>
      <c r="H93" s="72">
        <f>H92</f>
        <v>1502312.5329999998</v>
      </c>
      <c r="I93" s="73" t="s">
        <v>202</v>
      </c>
      <c r="J93" s="57">
        <f t="shared" si="34"/>
        <v>0.755</v>
      </c>
      <c r="K93" s="57" t="s">
        <v>290</v>
      </c>
      <c r="L93" s="57">
        <f t="shared" si="35"/>
        <v>0.95100000000000007</v>
      </c>
      <c r="M93" s="74">
        <f t="shared" si="25"/>
        <v>1.2719522415757153E-2</v>
      </c>
      <c r="N93" s="74">
        <f t="shared" si="26"/>
        <v>6.0159903317770326E-3</v>
      </c>
      <c r="O93" s="74">
        <f t="shared" si="27"/>
        <v>9.1099282166909356E-4</v>
      </c>
    </row>
    <row r="94" spans="1:15" ht="15" customHeight="1" x14ac:dyDescent="0.25">
      <c r="A94" s="95"/>
      <c r="B94" s="40" t="s">
        <v>167</v>
      </c>
      <c r="C94" s="71">
        <v>-20.283904</v>
      </c>
      <c r="D94" s="71">
        <v>-40.243555999999998</v>
      </c>
      <c r="E94" s="73"/>
      <c r="F94" s="73"/>
      <c r="G94" s="73"/>
      <c r="H94" s="72">
        <f>H93</f>
        <v>1502312.5329999998</v>
      </c>
      <c r="I94" s="73" t="s">
        <v>202</v>
      </c>
      <c r="J94" s="57">
        <f t="shared" si="34"/>
        <v>0.755</v>
      </c>
      <c r="K94" s="57" t="s">
        <v>290</v>
      </c>
      <c r="L94" s="57">
        <f t="shared" si="35"/>
        <v>0.95100000000000007</v>
      </c>
      <c r="M94" s="74">
        <f t="shared" si="25"/>
        <v>1.2719522415757153E-2</v>
      </c>
      <c r="N94" s="74">
        <f t="shared" si="26"/>
        <v>6.0159903317770326E-3</v>
      </c>
      <c r="O94" s="74">
        <f t="shared" si="27"/>
        <v>9.1099282166909356E-4</v>
      </c>
    </row>
    <row r="95" spans="1:15" ht="15" customHeight="1" x14ac:dyDescent="0.25">
      <c r="A95" s="95"/>
      <c r="B95" s="40" t="s">
        <v>168</v>
      </c>
      <c r="C95" s="71">
        <v>-20.285450000000001</v>
      </c>
      <c r="D95" s="71">
        <v>-40.243112000000004</v>
      </c>
      <c r="E95" s="73"/>
      <c r="F95" s="73"/>
      <c r="G95" s="73"/>
      <c r="H95" s="72">
        <f>H94</f>
        <v>1502312.5329999998</v>
      </c>
      <c r="I95" s="73" t="s">
        <v>202</v>
      </c>
      <c r="J95" s="57">
        <f t="shared" si="34"/>
        <v>0.755</v>
      </c>
      <c r="K95" s="57" t="s">
        <v>290</v>
      </c>
      <c r="L95" s="57">
        <f t="shared" si="35"/>
        <v>0.95100000000000007</v>
      </c>
      <c r="M95" s="74">
        <f t="shared" si="25"/>
        <v>1.2719522415757153E-2</v>
      </c>
      <c r="N95" s="74">
        <f t="shared" si="26"/>
        <v>6.0159903317770326E-3</v>
      </c>
      <c r="O95" s="74">
        <f t="shared" si="27"/>
        <v>9.1099282166909356E-4</v>
      </c>
    </row>
    <row r="96" spans="1:15" ht="15" customHeight="1" x14ac:dyDescent="0.25">
      <c r="A96" s="95"/>
      <c r="B96" s="40" t="s">
        <v>135</v>
      </c>
      <c r="C96" s="71">
        <v>-20.285886999999999</v>
      </c>
      <c r="D96" s="71">
        <v>-40.244557999999998</v>
      </c>
      <c r="E96" s="73"/>
      <c r="F96" s="73"/>
      <c r="G96" s="73"/>
      <c r="H96" s="72">
        <f>H95/2</f>
        <v>751156.26649999991</v>
      </c>
      <c r="I96" s="73" t="s">
        <v>202</v>
      </c>
      <c r="J96" s="57">
        <f t="shared" si="34"/>
        <v>0.755</v>
      </c>
      <c r="K96" s="57" t="s">
        <v>290</v>
      </c>
      <c r="L96" s="57">
        <f t="shared" si="35"/>
        <v>0.95100000000000007</v>
      </c>
      <c r="M96" s="74">
        <f t="shared" si="25"/>
        <v>6.3597612078785766E-3</v>
      </c>
      <c r="N96" s="74">
        <f t="shared" si="26"/>
        <v>3.0079951658885163E-3</v>
      </c>
      <c r="O96" s="74">
        <f t="shared" si="27"/>
        <v>4.5549641083454678E-4</v>
      </c>
    </row>
    <row r="97" spans="1:15" ht="15" customHeight="1" x14ac:dyDescent="0.25">
      <c r="A97" s="95"/>
      <c r="B97" s="40" t="s">
        <v>136</v>
      </c>
      <c r="C97" s="71">
        <v>-20.285374000000001</v>
      </c>
      <c r="D97" s="71">
        <v>-40.244999999999997</v>
      </c>
      <c r="E97" s="73"/>
      <c r="F97" s="73"/>
      <c r="G97" s="73"/>
      <c r="H97" s="72">
        <f>H96</f>
        <v>751156.26649999991</v>
      </c>
      <c r="I97" s="73" t="s">
        <v>202</v>
      </c>
      <c r="J97" s="57">
        <f t="shared" si="34"/>
        <v>0.755</v>
      </c>
      <c r="K97" s="57" t="s">
        <v>290</v>
      </c>
      <c r="L97" s="57">
        <f t="shared" si="35"/>
        <v>0.95100000000000007</v>
      </c>
      <c r="M97" s="74">
        <f t="shared" si="25"/>
        <v>6.3597612078785766E-3</v>
      </c>
      <c r="N97" s="74">
        <f t="shared" si="26"/>
        <v>3.0079951658885163E-3</v>
      </c>
      <c r="O97" s="74">
        <f t="shared" si="27"/>
        <v>4.5549641083454678E-4</v>
      </c>
    </row>
    <row r="98" spans="1:15" ht="15" customHeight="1" x14ac:dyDescent="0.25">
      <c r="A98" s="95"/>
      <c r="B98" s="40" t="s">
        <v>137</v>
      </c>
      <c r="C98" s="71">
        <v>-20.286928</v>
      </c>
      <c r="D98" s="71">
        <v>-40.247687999999997</v>
      </c>
      <c r="E98" s="73"/>
      <c r="F98" s="73"/>
      <c r="G98" s="73"/>
      <c r="H98" s="72">
        <f>H97</f>
        <v>751156.26649999991</v>
      </c>
      <c r="I98" s="73" t="s">
        <v>202</v>
      </c>
      <c r="J98" s="57">
        <f t="shared" si="34"/>
        <v>0.755</v>
      </c>
      <c r="K98" s="57" t="s">
        <v>290</v>
      </c>
      <c r="L98" s="57">
        <f t="shared" si="35"/>
        <v>0.95100000000000007</v>
      </c>
      <c r="M98" s="74">
        <f t="shared" si="25"/>
        <v>6.3597612078785766E-3</v>
      </c>
      <c r="N98" s="74">
        <f t="shared" si="26"/>
        <v>3.0079951658885163E-3</v>
      </c>
      <c r="O98" s="74">
        <f t="shared" si="27"/>
        <v>4.5549641083454678E-4</v>
      </c>
    </row>
    <row r="99" spans="1:15" ht="15" customHeight="1" x14ac:dyDescent="0.25">
      <c r="A99" s="95"/>
      <c r="B99" s="40" t="s">
        <v>153</v>
      </c>
      <c r="C99" s="71">
        <v>-20.287773000000001</v>
      </c>
      <c r="D99" s="71">
        <v>-40.246915000000001</v>
      </c>
      <c r="E99" s="73"/>
      <c r="F99" s="73"/>
      <c r="G99" s="73"/>
      <c r="H99" s="72">
        <f>H98</f>
        <v>751156.26649999991</v>
      </c>
      <c r="I99" s="75" t="s">
        <v>201</v>
      </c>
      <c r="J99" s="58">
        <v>0.5</v>
      </c>
      <c r="K99" s="58" t="s">
        <v>289</v>
      </c>
      <c r="L99" s="58">
        <f>$L$61</f>
        <v>0.8</v>
      </c>
      <c r="M99" s="74">
        <f t="shared" si="25"/>
        <v>2.5958209011749327E-2</v>
      </c>
      <c r="N99" s="74">
        <f t="shared" si="26"/>
        <v>1.2277531289340896E-2</v>
      </c>
      <c r="O99" s="74">
        <f t="shared" si="27"/>
        <v>1.859169023814479E-3</v>
      </c>
    </row>
    <row r="100" spans="1:15" ht="15" customHeight="1" x14ac:dyDescent="0.25">
      <c r="A100" s="95"/>
      <c r="B100" s="40" t="s">
        <v>138</v>
      </c>
      <c r="C100" s="71">
        <v>-20.286007000000001</v>
      </c>
      <c r="D100" s="71">
        <v>-40.244484999999997</v>
      </c>
      <c r="E100" s="73"/>
      <c r="F100" s="73"/>
      <c r="G100" s="73"/>
      <c r="H100" s="72">
        <f>H95/2</f>
        <v>751156.26649999991</v>
      </c>
      <c r="I100" s="73" t="s">
        <v>202</v>
      </c>
      <c r="J100" s="57">
        <f t="shared" ref="J100:J104" si="36">1-((1-0.51)*(1-0.5))</f>
        <v>0.755</v>
      </c>
      <c r="K100" s="57" t="s">
        <v>290</v>
      </c>
      <c r="L100" s="57">
        <f t="shared" ref="L100:L104" si="37">1-((1-0.51)*(1-0.5)*(1-$L$61))</f>
        <v>0.95100000000000007</v>
      </c>
      <c r="M100" s="74">
        <f t="shared" si="25"/>
        <v>6.3597612078785766E-3</v>
      </c>
      <c r="N100" s="74">
        <f t="shared" si="26"/>
        <v>3.0079951658885163E-3</v>
      </c>
      <c r="O100" s="74">
        <f t="shared" si="27"/>
        <v>4.5549641083454678E-4</v>
      </c>
    </row>
    <row r="101" spans="1:15" ht="15" customHeight="1" x14ac:dyDescent="0.25">
      <c r="A101" s="95"/>
      <c r="B101" s="40" t="s">
        <v>139</v>
      </c>
      <c r="C101" s="71">
        <v>-20.287610000000001</v>
      </c>
      <c r="D101" s="71">
        <v>-40.243876999999998</v>
      </c>
      <c r="E101" s="73"/>
      <c r="F101" s="73"/>
      <c r="G101" s="73"/>
      <c r="H101" s="72">
        <f>H100</f>
        <v>751156.26649999991</v>
      </c>
      <c r="I101" s="73" t="s">
        <v>202</v>
      </c>
      <c r="J101" s="57">
        <f t="shared" si="36"/>
        <v>0.755</v>
      </c>
      <c r="K101" s="57" t="s">
        <v>290</v>
      </c>
      <c r="L101" s="57">
        <f t="shared" si="37"/>
        <v>0.95100000000000007</v>
      </c>
      <c r="M101" s="74">
        <f t="shared" si="25"/>
        <v>6.3597612078785766E-3</v>
      </c>
      <c r="N101" s="74">
        <f t="shared" si="26"/>
        <v>3.0079951658885163E-3</v>
      </c>
      <c r="O101" s="74">
        <f t="shared" si="27"/>
        <v>4.5549641083454678E-4</v>
      </c>
    </row>
    <row r="102" spans="1:15" ht="15" customHeight="1" x14ac:dyDescent="0.25">
      <c r="A102" s="95"/>
      <c r="B102" s="40" t="s">
        <v>140</v>
      </c>
      <c r="C102" s="71">
        <v>-20.287931</v>
      </c>
      <c r="D102" s="71">
        <v>-40.243747999999997</v>
      </c>
      <c r="E102" s="73"/>
      <c r="F102" s="73"/>
      <c r="G102" s="73"/>
      <c r="H102" s="72">
        <f>H101</f>
        <v>751156.26649999991</v>
      </c>
      <c r="I102" s="73" t="s">
        <v>202</v>
      </c>
      <c r="J102" s="57">
        <f t="shared" si="36"/>
        <v>0.755</v>
      </c>
      <c r="K102" s="57" t="s">
        <v>290</v>
      </c>
      <c r="L102" s="57">
        <f t="shared" si="37"/>
        <v>0.95100000000000007</v>
      </c>
      <c r="M102" s="74">
        <f t="shared" si="25"/>
        <v>6.3597612078785766E-3</v>
      </c>
      <c r="N102" s="74">
        <f t="shared" si="26"/>
        <v>3.0079951658885163E-3</v>
      </c>
      <c r="O102" s="74">
        <f t="shared" si="27"/>
        <v>4.5549641083454678E-4</v>
      </c>
    </row>
    <row r="103" spans="1:15" ht="15" customHeight="1" x14ac:dyDescent="0.25">
      <c r="A103" s="95"/>
      <c r="B103" s="40" t="s">
        <v>141</v>
      </c>
      <c r="C103" s="71">
        <v>-20.28885</v>
      </c>
      <c r="D103" s="71">
        <v>-40.243397000000002</v>
      </c>
      <c r="E103" s="73"/>
      <c r="F103" s="73"/>
      <c r="G103" s="73"/>
      <c r="H103" s="72">
        <f>H102</f>
        <v>751156.26649999991</v>
      </c>
      <c r="I103" s="73" t="s">
        <v>202</v>
      </c>
      <c r="J103" s="57">
        <f t="shared" si="36"/>
        <v>0.755</v>
      </c>
      <c r="K103" s="57" t="s">
        <v>290</v>
      </c>
      <c r="L103" s="57">
        <f t="shared" si="37"/>
        <v>0.95100000000000007</v>
      </c>
      <c r="M103" s="74">
        <f t="shared" si="25"/>
        <v>6.3597612078785766E-3</v>
      </c>
      <c r="N103" s="74">
        <f t="shared" si="26"/>
        <v>3.0079951658885163E-3</v>
      </c>
      <c r="O103" s="74">
        <f t="shared" si="27"/>
        <v>4.5549641083454678E-4</v>
      </c>
    </row>
    <row r="104" spans="1:15" ht="15" customHeight="1" x14ac:dyDescent="0.25">
      <c r="A104" s="95"/>
      <c r="B104" s="40" t="s">
        <v>142</v>
      </c>
      <c r="C104" s="71">
        <v>-20.289898000000001</v>
      </c>
      <c r="D104" s="71">
        <v>-40.245173999999999</v>
      </c>
      <c r="E104" s="73"/>
      <c r="F104" s="73"/>
      <c r="G104" s="73"/>
      <c r="H104" s="72">
        <f>H103</f>
        <v>751156.26649999991</v>
      </c>
      <c r="I104" s="73" t="s">
        <v>202</v>
      </c>
      <c r="J104" s="57">
        <f t="shared" si="36"/>
        <v>0.755</v>
      </c>
      <c r="K104" s="57" t="s">
        <v>290</v>
      </c>
      <c r="L104" s="57">
        <f t="shared" si="37"/>
        <v>0.95100000000000007</v>
      </c>
      <c r="M104" s="74">
        <f t="shared" si="25"/>
        <v>6.3597612078785766E-3</v>
      </c>
      <c r="N104" s="74">
        <f t="shared" si="26"/>
        <v>3.0079951658885163E-3</v>
      </c>
      <c r="O104" s="74">
        <f t="shared" si="27"/>
        <v>4.5549641083454678E-4</v>
      </c>
    </row>
    <row r="105" spans="1:15" ht="15" customHeight="1" x14ac:dyDescent="0.25">
      <c r="A105" s="95"/>
      <c r="B105" s="40" t="s">
        <v>154</v>
      </c>
      <c r="C105" s="71">
        <v>-20.290136</v>
      </c>
      <c r="D105" s="71">
        <v>-40.244892</v>
      </c>
      <c r="E105" s="73"/>
      <c r="F105" s="73"/>
      <c r="G105" s="73"/>
      <c r="H105" s="72">
        <f>H104</f>
        <v>751156.26649999991</v>
      </c>
      <c r="I105" s="75" t="s">
        <v>292</v>
      </c>
      <c r="J105" s="58">
        <v>0.48</v>
      </c>
      <c r="K105" s="58" t="s">
        <v>293</v>
      </c>
      <c r="L105" s="58">
        <f>1-((1-0.48)*(1-$L$61))</f>
        <v>0.89600000000000002</v>
      </c>
      <c r="M105" s="74">
        <f t="shared" si="25"/>
        <v>1.3498268686109649E-2</v>
      </c>
      <c r="N105" s="74">
        <f t="shared" si="26"/>
        <v>6.3843162704572661E-3</v>
      </c>
      <c r="O105" s="74">
        <f t="shared" si="27"/>
        <v>9.6676789238352894E-4</v>
      </c>
    </row>
    <row r="106" spans="1:15" ht="15" customHeight="1" x14ac:dyDescent="0.25">
      <c r="A106" s="95" t="s">
        <v>169</v>
      </c>
      <c r="B106" s="40" t="s">
        <v>170</v>
      </c>
      <c r="C106" s="71">
        <v>-20.263750999999999</v>
      </c>
      <c r="D106" s="71">
        <v>-40.244253999999998</v>
      </c>
      <c r="E106" s="73"/>
      <c r="F106" s="73"/>
      <c r="G106" s="73"/>
      <c r="H106" s="72">
        <f>'Tubarão - Rota'!AI34</f>
        <v>6564061</v>
      </c>
      <c r="I106" s="73" t="s">
        <v>202</v>
      </c>
      <c r="J106" s="57">
        <f>1-((1-0.51)*(1-0.5))</f>
        <v>0.755</v>
      </c>
      <c r="K106" s="57" t="s">
        <v>290</v>
      </c>
      <c r="L106" s="57">
        <f>1-((1-0.51)*(1-0.5)*(1-$L$61))</f>
        <v>0.95100000000000007</v>
      </c>
      <c r="M106" s="74">
        <f t="shared" si="25"/>
        <v>5.5575467283875302E-2</v>
      </c>
      <c r="N106" s="74">
        <f t="shared" si="26"/>
        <v>2.6285693985616695E-2</v>
      </c>
      <c r="O106" s="74">
        <f t="shared" si="27"/>
        <v>3.9804050892505273E-3</v>
      </c>
    </row>
    <row r="107" spans="1:15" ht="15" customHeight="1" x14ac:dyDescent="0.25">
      <c r="A107" s="95"/>
      <c r="B107" s="40" t="s">
        <v>171</v>
      </c>
      <c r="C107" s="71">
        <v>-20.262754999999999</v>
      </c>
      <c r="D107" s="71">
        <v>-40.242420000000003</v>
      </c>
      <c r="E107" s="73"/>
      <c r="F107" s="73"/>
      <c r="G107" s="73"/>
      <c r="H107" s="72">
        <f>H106</f>
        <v>6564061</v>
      </c>
      <c r="I107" s="75" t="s">
        <v>201</v>
      </c>
      <c r="J107" s="58">
        <v>0.5</v>
      </c>
      <c r="K107" s="58" t="s">
        <v>291</v>
      </c>
      <c r="L107" s="58">
        <f>1-((1-0.5)*(1-$L$61))</f>
        <v>0.9</v>
      </c>
      <c r="M107" s="74">
        <f t="shared" si="25"/>
        <v>0.11341932098750074</v>
      </c>
      <c r="N107" s="74">
        <f t="shared" si="26"/>
        <v>5.3644273440034126E-2</v>
      </c>
      <c r="O107" s="74">
        <f t="shared" si="27"/>
        <v>8.1232756923480254E-3</v>
      </c>
    </row>
    <row r="108" spans="1:15" ht="15" customHeight="1" x14ac:dyDescent="0.25">
      <c r="A108" s="95" t="s">
        <v>172</v>
      </c>
      <c r="B108" s="40" t="s">
        <v>173</v>
      </c>
      <c r="C108" s="71">
        <v>-20.262754999999999</v>
      </c>
      <c r="D108" s="71">
        <v>-40.242420000000003</v>
      </c>
      <c r="E108" s="73"/>
      <c r="F108" s="73"/>
      <c r="G108" s="73"/>
      <c r="H108" s="72">
        <f>'Tubarão - Rota'!AG43</f>
        <v>5737608</v>
      </c>
      <c r="I108" s="78"/>
      <c r="J108" s="58"/>
      <c r="K108" s="58" t="s">
        <v>289</v>
      </c>
      <c r="L108" s="58">
        <f>$L$61</f>
        <v>0.8</v>
      </c>
      <c r="M108" s="74">
        <f t="shared" si="25"/>
        <v>0.19827835343164918</v>
      </c>
      <c r="N108" s="74">
        <f t="shared" si="26"/>
        <v>9.3780302298752977E-2</v>
      </c>
      <c r="O108" s="74">
        <f t="shared" si="27"/>
        <v>1.4201017205239736E-2</v>
      </c>
    </row>
    <row r="109" spans="1:15" ht="15" customHeight="1" x14ac:dyDescent="0.25">
      <c r="A109" s="95"/>
      <c r="B109" s="40" t="s">
        <v>174</v>
      </c>
      <c r="C109" s="71">
        <v>-20.261604999999999</v>
      </c>
      <c r="D109" s="71">
        <v>-40.240600999999998</v>
      </c>
      <c r="E109" s="73"/>
      <c r="F109" s="73"/>
      <c r="G109" s="73"/>
      <c r="H109" s="72">
        <f>H108</f>
        <v>5737608</v>
      </c>
      <c r="I109" s="73" t="s">
        <v>202</v>
      </c>
      <c r="J109" s="57">
        <f t="shared" ref="J109:J110" si="38">1-((1-0.51)*(1-0.5))</f>
        <v>0.755</v>
      </c>
      <c r="K109" s="57" t="s">
        <v>290</v>
      </c>
      <c r="L109" s="57">
        <f t="shared" ref="L109:L110" si="39">1-((1-0.51)*(1-0.5)*(1-$L$61))</f>
        <v>0.95100000000000007</v>
      </c>
      <c r="M109" s="74">
        <f t="shared" si="25"/>
        <v>4.8578196590753991E-2</v>
      </c>
      <c r="N109" s="74">
        <f t="shared" si="26"/>
        <v>2.2976174063194452E-2</v>
      </c>
      <c r="O109" s="74">
        <f t="shared" si="27"/>
        <v>3.4792492152837312E-3</v>
      </c>
    </row>
    <row r="110" spans="1:15" ht="15" customHeight="1" x14ac:dyDescent="0.25">
      <c r="A110" s="95"/>
      <c r="B110" s="40" t="s">
        <v>175</v>
      </c>
      <c r="C110" s="71">
        <v>-20.258555999999999</v>
      </c>
      <c r="D110" s="71">
        <v>-40.242666999999997</v>
      </c>
      <c r="E110" s="73"/>
      <c r="F110" s="73"/>
      <c r="G110" s="73"/>
      <c r="H110" s="72">
        <f>H109</f>
        <v>5737608</v>
      </c>
      <c r="I110" s="73" t="s">
        <v>202</v>
      </c>
      <c r="J110" s="57">
        <f t="shared" si="38"/>
        <v>0.755</v>
      </c>
      <c r="K110" s="57" t="s">
        <v>290</v>
      </c>
      <c r="L110" s="57">
        <f t="shared" si="39"/>
        <v>0.95100000000000007</v>
      </c>
      <c r="M110" s="74">
        <f t="shared" si="25"/>
        <v>4.8578196590753991E-2</v>
      </c>
      <c r="N110" s="74">
        <f t="shared" si="26"/>
        <v>2.2976174063194452E-2</v>
      </c>
      <c r="O110" s="74">
        <f t="shared" si="27"/>
        <v>3.4792492152837312E-3</v>
      </c>
    </row>
    <row r="111" spans="1:15" ht="15" customHeight="1" x14ac:dyDescent="0.25">
      <c r="A111" s="95" t="s">
        <v>176</v>
      </c>
      <c r="B111" s="40" t="s">
        <v>173</v>
      </c>
      <c r="C111" s="71">
        <v>-20.262754999999999</v>
      </c>
      <c r="D111" s="71">
        <v>-40.242420000000003</v>
      </c>
      <c r="E111" s="73"/>
      <c r="F111" s="73"/>
      <c r="G111" s="73"/>
      <c r="H111" s="72">
        <f>'Tubarão - Rota'!AI65</f>
        <v>826453</v>
      </c>
      <c r="I111" s="78"/>
      <c r="J111" s="58"/>
      <c r="K111" s="58" t="s">
        <v>289</v>
      </c>
      <c r="L111" s="58">
        <f>$L$61</f>
        <v>0.8</v>
      </c>
      <c r="M111" s="74">
        <f t="shared" si="25"/>
        <v>2.8560288543352342E-2</v>
      </c>
      <c r="N111" s="74">
        <f t="shared" si="26"/>
        <v>1.3508244581315295E-2</v>
      </c>
      <c r="O111" s="74">
        <f t="shared" si="27"/>
        <v>2.0455341794563165E-3</v>
      </c>
    </row>
    <row r="112" spans="1:15" ht="15" customHeight="1" x14ac:dyDescent="0.25">
      <c r="A112" s="95"/>
      <c r="B112" s="40" t="s">
        <v>174</v>
      </c>
      <c r="C112" s="71">
        <v>-20.261604999999999</v>
      </c>
      <c r="D112" s="71">
        <v>-40.240600999999998</v>
      </c>
      <c r="E112" s="73"/>
      <c r="F112" s="73"/>
      <c r="G112" s="73"/>
      <c r="H112" s="72">
        <f>H111</f>
        <v>826453</v>
      </c>
      <c r="I112" s="73" t="s">
        <v>202</v>
      </c>
      <c r="J112" s="57">
        <f t="shared" ref="J112:J125" si="40">1-((1-0.51)*(1-0.5))</f>
        <v>0.755</v>
      </c>
      <c r="K112" s="57" t="s">
        <v>290</v>
      </c>
      <c r="L112" s="57">
        <f t="shared" ref="L112:L125" si="41">1-((1-0.51)*(1-0.5)*(1-$L$61))</f>
        <v>0.95100000000000007</v>
      </c>
      <c r="M112" s="74">
        <f t="shared" si="25"/>
        <v>6.9972706931213154E-3</v>
      </c>
      <c r="N112" s="74">
        <f t="shared" si="26"/>
        <v>3.3095199224222435E-3</v>
      </c>
      <c r="O112" s="74">
        <f t="shared" si="27"/>
        <v>5.0115587396679692E-4</v>
      </c>
    </row>
    <row r="113" spans="1:15" ht="15" customHeight="1" x14ac:dyDescent="0.25">
      <c r="A113" s="95"/>
      <c r="B113" s="40" t="s">
        <v>177</v>
      </c>
      <c r="C113" s="71">
        <v>-20.263048000000001</v>
      </c>
      <c r="D113" s="71">
        <v>-40.239646999999998</v>
      </c>
      <c r="E113" s="73"/>
      <c r="F113" s="73"/>
      <c r="G113" s="73"/>
      <c r="H113" s="72">
        <f t="shared" ref="H113:H122" si="42">H112</f>
        <v>826453</v>
      </c>
      <c r="I113" s="73" t="s">
        <v>202</v>
      </c>
      <c r="J113" s="57">
        <f t="shared" si="40"/>
        <v>0.755</v>
      </c>
      <c r="K113" s="57" t="s">
        <v>290</v>
      </c>
      <c r="L113" s="57">
        <f t="shared" si="41"/>
        <v>0.95100000000000007</v>
      </c>
      <c r="M113" s="74">
        <f t="shared" si="25"/>
        <v>6.9972706931213154E-3</v>
      </c>
      <c r="N113" s="74">
        <f t="shared" si="26"/>
        <v>3.3095199224222435E-3</v>
      </c>
      <c r="O113" s="74">
        <f t="shared" si="27"/>
        <v>5.0115587396679692E-4</v>
      </c>
    </row>
    <row r="114" spans="1:15" ht="15" customHeight="1" x14ac:dyDescent="0.25">
      <c r="A114" s="95"/>
      <c r="B114" s="40" t="s">
        <v>178</v>
      </c>
      <c r="C114" s="71">
        <v>-20.269317999999998</v>
      </c>
      <c r="D114" s="71">
        <v>-40.237051999999998</v>
      </c>
      <c r="E114" s="73"/>
      <c r="F114" s="73"/>
      <c r="G114" s="73"/>
      <c r="H114" s="72">
        <f t="shared" si="42"/>
        <v>826453</v>
      </c>
      <c r="I114" s="73" t="s">
        <v>202</v>
      </c>
      <c r="J114" s="57">
        <f t="shared" si="40"/>
        <v>0.755</v>
      </c>
      <c r="K114" s="57" t="s">
        <v>290</v>
      </c>
      <c r="L114" s="57">
        <f t="shared" si="41"/>
        <v>0.95100000000000007</v>
      </c>
      <c r="M114" s="74">
        <f t="shared" si="25"/>
        <v>6.9972706931213154E-3</v>
      </c>
      <c r="N114" s="74">
        <f t="shared" si="26"/>
        <v>3.3095199224222435E-3</v>
      </c>
      <c r="O114" s="74">
        <f t="shared" si="27"/>
        <v>5.0115587396679692E-4</v>
      </c>
    </row>
    <row r="115" spans="1:15" ht="15" customHeight="1" x14ac:dyDescent="0.25">
      <c r="A115" s="95"/>
      <c r="B115" s="40" t="s">
        <v>179</v>
      </c>
      <c r="C115" s="71">
        <v>-20.270710000000001</v>
      </c>
      <c r="D115" s="71">
        <v>-40.23742</v>
      </c>
      <c r="E115" s="73"/>
      <c r="F115" s="73"/>
      <c r="G115" s="73"/>
      <c r="H115" s="72">
        <f t="shared" si="42"/>
        <v>826453</v>
      </c>
      <c r="I115" s="73" t="s">
        <v>202</v>
      </c>
      <c r="J115" s="57">
        <f t="shared" si="40"/>
        <v>0.755</v>
      </c>
      <c r="K115" s="57" t="s">
        <v>290</v>
      </c>
      <c r="L115" s="57">
        <f t="shared" si="41"/>
        <v>0.95100000000000007</v>
      </c>
      <c r="M115" s="74">
        <f t="shared" si="25"/>
        <v>6.9972706931213154E-3</v>
      </c>
      <c r="N115" s="74">
        <f t="shared" si="26"/>
        <v>3.3095199224222435E-3</v>
      </c>
      <c r="O115" s="74">
        <f t="shared" si="27"/>
        <v>5.0115587396679692E-4</v>
      </c>
    </row>
    <row r="116" spans="1:15" ht="15" customHeight="1" x14ac:dyDescent="0.25">
      <c r="A116" s="95"/>
      <c r="B116" s="40" t="s">
        <v>180</v>
      </c>
      <c r="C116" s="71">
        <v>-20.273717000000001</v>
      </c>
      <c r="D116" s="71">
        <v>-40.239491999999998</v>
      </c>
      <c r="E116" s="73"/>
      <c r="F116" s="73"/>
      <c r="G116" s="73"/>
      <c r="H116" s="72">
        <f t="shared" si="42"/>
        <v>826453</v>
      </c>
      <c r="I116" s="73" t="s">
        <v>202</v>
      </c>
      <c r="J116" s="57">
        <f t="shared" si="40"/>
        <v>0.755</v>
      </c>
      <c r="K116" s="57" t="s">
        <v>290</v>
      </c>
      <c r="L116" s="57">
        <f t="shared" si="41"/>
        <v>0.95100000000000007</v>
      </c>
      <c r="M116" s="74">
        <f t="shared" si="25"/>
        <v>6.9972706931213154E-3</v>
      </c>
      <c r="N116" s="74">
        <f t="shared" si="26"/>
        <v>3.3095199224222435E-3</v>
      </c>
      <c r="O116" s="74">
        <f t="shared" si="27"/>
        <v>5.0115587396679692E-4</v>
      </c>
    </row>
    <row r="117" spans="1:15" ht="15" customHeight="1" x14ac:dyDescent="0.25">
      <c r="A117" s="95"/>
      <c r="B117" s="40" t="s">
        <v>181</v>
      </c>
      <c r="C117" s="71">
        <v>-20.279453</v>
      </c>
      <c r="D117" s="71">
        <v>-40.237192</v>
      </c>
      <c r="E117" s="73"/>
      <c r="F117" s="73"/>
      <c r="G117" s="73"/>
      <c r="H117" s="72">
        <f t="shared" si="42"/>
        <v>826453</v>
      </c>
      <c r="I117" s="73" t="s">
        <v>202</v>
      </c>
      <c r="J117" s="57">
        <f t="shared" si="40"/>
        <v>0.755</v>
      </c>
      <c r="K117" s="57" t="s">
        <v>290</v>
      </c>
      <c r="L117" s="57">
        <f t="shared" si="41"/>
        <v>0.95100000000000007</v>
      </c>
      <c r="M117" s="74">
        <f t="shared" si="25"/>
        <v>6.9972706931213154E-3</v>
      </c>
      <c r="N117" s="74">
        <f t="shared" si="26"/>
        <v>3.3095199224222435E-3</v>
      </c>
      <c r="O117" s="74">
        <f t="shared" si="27"/>
        <v>5.0115587396679692E-4</v>
      </c>
    </row>
    <row r="118" spans="1:15" ht="15" customHeight="1" x14ac:dyDescent="0.25">
      <c r="A118" s="95"/>
      <c r="B118" s="40" t="s">
        <v>182</v>
      </c>
      <c r="C118" s="71">
        <v>-20.280061</v>
      </c>
      <c r="D118" s="71">
        <v>-40.237358</v>
      </c>
      <c r="E118" s="73"/>
      <c r="F118" s="73"/>
      <c r="G118" s="73"/>
      <c r="H118" s="72">
        <f t="shared" si="42"/>
        <v>826453</v>
      </c>
      <c r="I118" s="73" t="s">
        <v>202</v>
      </c>
      <c r="J118" s="57">
        <f t="shared" si="40"/>
        <v>0.755</v>
      </c>
      <c r="K118" s="57" t="s">
        <v>290</v>
      </c>
      <c r="L118" s="57">
        <f t="shared" si="41"/>
        <v>0.95100000000000007</v>
      </c>
      <c r="M118" s="74">
        <f t="shared" si="25"/>
        <v>6.9972706931213154E-3</v>
      </c>
      <c r="N118" s="74">
        <f t="shared" si="26"/>
        <v>3.3095199224222435E-3</v>
      </c>
      <c r="O118" s="74">
        <f t="shared" si="27"/>
        <v>5.0115587396679692E-4</v>
      </c>
    </row>
    <row r="119" spans="1:15" ht="15" customHeight="1" x14ac:dyDescent="0.25">
      <c r="A119" s="95"/>
      <c r="B119" s="40" t="s">
        <v>183</v>
      </c>
      <c r="C119" s="71">
        <v>-20.280892000000001</v>
      </c>
      <c r="D119" s="71">
        <v>-40.237704000000001</v>
      </c>
      <c r="E119" s="73"/>
      <c r="F119" s="73"/>
      <c r="G119" s="73"/>
      <c r="H119" s="72">
        <f t="shared" si="42"/>
        <v>826453</v>
      </c>
      <c r="I119" s="73" t="s">
        <v>202</v>
      </c>
      <c r="J119" s="57">
        <f t="shared" si="40"/>
        <v>0.755</v>
      </c>
      <c r="K119" s="57" t="s">
        <v>290</v>
      </c>
      <c r="L119" s="57">
        <f t="shared" si="41"/>
        <v>0.95100000000000007</v>
      </c>
      <c r="M119" s="74">
        <f t="shared" si="25"/>
        <v>6.9972706931213154E-3</v>
      </c>
      <c r="N119" s="74">
        <f t="shared" si="26"/>
        <v>3.3095199224222435E-3</v>
      </c>
      <c r="O119" s="74">
        <f t="shared" si="27"/>
        <v>5.0115587396679692E-4</v>
      </c>
    </row>
    <row r="120" spans="1:15" ht="15" customHeight="1" x14ac:dyDescent="0.25">
      <c r="A120" s="95"/>
      <c r="B120" s="40" t="s">
        <v>164</v>
      </c>
      <c r="C120" s="71">
        <v>-20.281715999999999</v>
      </c>
      <c r="D120" s="71">
        <v>-40.237628000000001</v>
      </c>
      <c r="E120" s="73"/>
      <c r="F120" s="73"/>
      <c r="G120" s="73"/>
      <c r="H120" s="72">
        <f t="shared" si="42"/>
        <v>826453</v>
      </c>
      <c r="I120" s="73" t="s">
        <v>202</v>
      </c>
      <c r="J120" s="57">
        <f t="shared" si="40"/>
        <v>0.755</v>
      </c>
      <c r="K120" s="57" t="s">
        <v>290</v>
      </c>
      <c r="L120" s="57">
        <f t="shared" si="41"/>
        <v>0.95100000000000007</v>
      </c>
      <c r="M120" s="74">
        <f t="shared" si="25"/>
        <v>6.9972706931213154E-3</v>
      </c>
      <c r="N120" s="74">
        <f t="shared" si="26"/>
        <v>3.3095199224222435E-3</v>
      </c>
      <c r="O120" s="74">
        <f t="shared" si="27"/>
        <v>5.0115587396679692E-4</v>
      </c>
    </row>
    <row r="121" spans="1:15" ht="15" customHeight="1" x14ac:dyDescent="0.25">
      <c r="A121" s="95"/>
      <c r="B121" s="40" t="s">
        <v>167</v>
      </c>
      <c r="C121" s="71">
        <v>-20.283904</v>
      </c>
      <c r="D121" s="71">
        <v>-40.243555999999998</v>
      </c>
      <c r="E121" s="73"/>
      <c r="F121" s="73"/>
      <c r="G121" s="73"/>
      <c r="H121" s="72">
        <f t="shared" si="42"/>
        <v>826453</v>
      </c>
      <c r="I121" s="73" t="s">
        <v>202</v>
      </c>
      <c r="J121" s="57">
        <f t="shared" si="40"/>
        <v>0.755</v>
      </c>
      <c r="K121" s="57" t="s">
        <v>290</v>
      </c>
      <c r="L121" s="57">
        <f t="shared" si="41"/>
        <v>0.95100000000000007</v>
      </c>
      <c r="M121" s="74">
        <f t="shared" si="25"/>
        <v>6.9972706931213154E-3</v>
      </c>
      <c r="N121" s="74">
        <f t="shared" si="26"/>
        <v>3.3095199224222435E-3</v>
      </c>
      <c r="O121" s="74">
        <f t="shared" si="27"/>
        <v>5.0115587396679692E-4</v>
      </c>
    </row>
    <row r="122" spans="1:15" ht="15" customHeight="1" x14ac:dyDescent="0.25">
      <c r="A122" s="95"/>
      <c r="B122" s="40" t="s">
        <v>168</v>
      </c>
      <c r="C122" s="71">
        <v>-20.285450000000001</v>
      </c>
      <c r="D122" s="71">
        <v>-40.243112000000004</v>
      </c>
      <c r="E122" s="73"/>
      <c r="F122" s="73"/>
      <c r="G122" s="73"/>
      <c r="H122" s="72">
        <f t="shared" si="42"/>
        <v>826453</v>
      </c>
      <c r="I122" s="73" t="s">
        <v>202</v>
      </c>
      <c r="J122" s="57">
        <f t="shared" si="40"/>
        <v>0.755</v>
      </c>
      <c r="K122" s="57" t="s">
        <v>290</v>
      </c>
      <c r="L122" s="57">
        <f t="shared" si="41"/>
        <v>0.95100000000000007</v>
      </c>
      <c r="M122" s="74">
        <f t="shared" si="25"/>
        <v>6.9972706931213154E-3</v>
      </c>
      <c r="N122" s="74">
        <f t="shared" si="26"/>
        <v>3.3095199224222435E-3</v>
      </c>
      <c r="O122" s="74">
        <f t="shared" si="27"/>
        <v>5.0115587396679692E-4</v>
      </c>
    </row>
    <row r="123" spans="1:15" ht="15" customHeight="1" x14ac:dyDescent="0.25">
      <c r="A123" s="95"/>
      <c r="B123" s="40" t="s">
        <v>135</v>
      </c>
      <c r="C123" s="71">
        <v>-20.285886999999999</v>
      </c>
      <c r="D123" s="71">
        <v>-40.244557999999998</v>
      </c>
      <c r="E123" s="73"/>
      <c r="F123" s="73"/>
      <c r="G123" s="73"/>
      <c r="H123" s="72">
        <f>H122/2</f>
        <v>413226.5</v>
      </c>
      <c r="I123" s="73" t="s">
        <v>202</v>
      </c>
      <c r="J123" s="57">
        <f t="shared" si="40"/>
        <v>0.755</v>
      </c>
      <c r="K123" s="57" t="s">
        <v>290</v>
      </c>
      <c r="L123" s="57">
        <f t="shared" si="41"/>
        <v>0.95100000000000007</v>
      </c>
      <c r="M123" s="74">
        <f t="shared" si="25"/>
        <v>3.4986353465606577E-3</v>
      </c>
      <c r="N123" s="74">
        <f t="shared" si="26"/>
        <v>1.6547599612111218E-3</v>
      </c>
      <c r="O123" s="74">
        <f t="shared" si="27"/>
        <v>2.5057793698339846E-4</v>
      </c>
    </row>
    <row r="124" spans="1:15" ht="15" customHeight="1" x14ac:dyDescent="0.25">
      <c r="A124" s="95"/>
      <c r="B124" s="40" t="s">
        <v>136</v>
      </c>
      <c r="C124" s="71">
        <v>-20.285374000000001</v>
      </c>
      <c r="D124" s="71">
        <v>-40.244999999999997</v>
      </c>
      <c r="E124" s="73"/>
      <c r="F124" s="73"/>
      <c r="G124" s="73"/>
      <c r="H124" s="72">
        <f>H123</f>
        <v>413226.5</v>
      </c>
      <c r="I124" s="73" t="s">
        <v>202</v>
      </c>
      <c r="J124" s="57">
        <f t="shared" si="40"/>
        <v>0.755</v>
      </c>
      <c r="K124" s="57" t="s">
        <v>290</v>
      </c>
      <c r="L124" s="57">
        <f t="shared" si="41"/>
        <v>0.95100000000000007</v>
      </c>
      <c r="M124" s="74">
        <f t="shared" si="25"/>
        <v>3.4986353465606577E-3</v>
      </c>
      <c r="N124" s="74">
        <f t="shared" si="26"/>
        <v>1.6547599612111218E-3</v>
      </c>
      <c r="O124" s="74">
        <f t="shared" si="27"/>
        <v>2.5057793698339846E-4</v>
      </c>
    </row>
    <row r="125" spans="1:15" ht="15" customHeight="1" x14ac:dyDescent="0.25">
      <c r="A125" s="95"/>
      <c r="B125" s="40" t="s">
        <v>137</v>
      </c>
      <c r="C125" s="71">
        <v>-20.286928</v>
      </c>
      <c r="D125" s="71">
        <v>-40.247687999999997</v>
      </c>
      <c r="E125" s="73"/>
      <c r="F125" s="73"/>
      <c r="G125" s="73"/>
      <c r="H125" s="72">
        <f>H124</f>
        <v>413226.5</v>
      </c>
      <c r="I125" s="73" t="s">
        <v>202</v>
      </c>
      <c r="J125" s="57">
        <f t="shared" si="40"/>
        <v>0.755</v>
      </c>
      <c r="K125" s="57" t="s">
        <v>290</v>
      </c>
      <c r="L125" s="57">
        <f t="shared" si="41"/>
        <v>0.95100000000000007</v>
      </c>
      <c r="M125" s="74">
        <f t="shared" si="25"/>
        <v>3.4986353465606577E-3</v>
      </c>
      <c r="N125" s="74">
        <f t="shared" si="26"/>
        <v>1.6547599612111218E-3</v>
      </c>
      <c r="O125" s="74">
        <f t="shared" si="27"/>
        <v>2.5057793698339846E-4</v>
      </c>
    </row>
    <row r="126" spans="1:15" ht="15" customHeight="1" x14ac:dyDescent="0.25">
      <c r="A126" s="95"/>
      <c r="B126" s="40" t="s">
        <v>153</v>
      </c>
      <c r="C126" s="71">
        <v>-20.287773000000001</v>
      </c>
      <c r="D126" s="71">
        <v>-40.246915000000001</v>
      </c>
      <c r="E126" s="73"/>
      <c r="F126" s="73"/>
      <c r="G126" s="73"/>
      <c r="H126" s="72">
        <f>H125</f>
        <v>413226.5</v>
      </c>
      <c r="I126" s="75" t="s">
        <v>201</v>
      </c>
      <c r="J126" s="58">
        <v>0.5</v>
      </c>
      <c r="K126" s="58" t="s">
        <v>289</v>
      </c>
      <c r="L126" s="58">
        <f>$L$61</f>
        <v>0.8</v>
      </c>
      <c r="M126" s="74">
        <f t="shared" si="25"/>
        <v>1.4280144271676171E-2</v>
      </c>
      <c r="N126" s="74">
        <f t="shared" si="26"/>
        <v>6.7541222906576477E-3</v>
      </c>
      <c r="O126" s="74">
        <f t="shared" si="27"/>
        <v>1.0227670897281582E-3</v>
      </c>
    </row>
    <row r="127" spans="1:15" ht="15" customHeight="1" x14ac:dyDescent="0.25">
      <c r="A127" s="95"/>
      <c r="B127" s="40" t="s">
        <v>138</v>
      </c>
      <c r="C127" s="71">
        <v>-20.286007000000001</v>
      </c>
      <c r="D127" s="71">
        <v>-40.244484999999997</v>
      </c>
      <c r="E127" s="73"/>
      <c r="F127" s="73"/>
      <c r="G127" s="73"/>
      <c r="H127" s="72">
        <f>H122/2</f>
        <v>413226.5</v>
      </c>
      <c r="I127" s="73" t="s">
        <v>202</v>
      </c>
      <c r="J127" s="57">
        <f t="shared" ref="J127:J131" si="43">1-((1-0.51)*(1-0.5))</f>
        <v>0.755</v>
      </c>
      <c r="K127" s="57" t="s">
        <v>290</v>
      </c>
      <c r="L127" s="57">
        <f t="shared" ref="L127:L131" si="44">1-((1-0.51)*(1-0.5)*(1-$L$61))</f>
        <v>0.95100000000000007</v>
      </c>
      <c r="M127" s="74">
        <f t="shared" si="25"/>
        <v>3.4986353465606577E-3</v>
      </c>
      <c r="N127" s="74">
        <f t="shared" si="26"/>
        <v>1.6547599612111218E-3</v>
      </c>
      <c r="O127" s="74">
        <f t="shared" si="27"/>
        <v>2.5057793698339846E-4</v>
      </c>
    </row>
    <row r="128" spans="1:15" ht="15" customHeight="1" x14ac:dyDescent="0.25">
      <c r="A128" s="95"/>
      <c r="B128" s="40" t="s">
        <v>139</v>
      </c>
      <c r="C128" s="71">
        <v>-20.287610000000001</v>
      </c>
      <c r="D128" s="71">
        <v>-40.243876999999998</v>
      </c>
      <c r="E128" s="73"/>
      <c r="F128" s="73"/>
      <c r="G128" s="73"/>
      <c r="H128" s="72">
        <f>H127</f>
        <v>413226.5</v>
      </c>
      <c r="I128" s="73" t="s">
        <v>202</v>
      </c>
      <c r="J128" s="57">
        <f t="shared" si="43"/>
        <v>0.755</v>
      </c>
      <c r="K128" s="57" t="s">
        <v>290</v>
      </c>
      <c r="L128" s="57">
        <f t="shared" si="44"/>
        <v>0.95100000000000007</v>
      </c>
      <c r="M128" s="74">
        <f t="shared" si="25"/>
        <v>3.4986353465606577E-3</v>
      </c>
      <c r="N128" s="74">
        <f t="shared" si="26"/>
        <v>1.6547599612111218E-3</v>
      </c>
      <c r="O128" s="74">
        <f t="shared" si="27"/>
        <v>2.5057793698339846E-4</v>
      </c>
    </row>
    <row r="129" spans="1:15" ht="15" customHeight="1" x14ac:dyDescent="0.25">
      <c r="A129" s="95"/>
      <c r="B129" s="40" t="s">
        <v>140</v>
      </c>
      <c r="C129" s="71">
        <v>-20.287931</v>
      </c>
      <c r="D129" s="71">
        <v>-40.243747999999997</v>
      </c>
      <c r="E129" s="73"/>
      <c r="F129" s="73"/>
      <c r="G129" s="73"/>
      <c r="H129" s="72">
        <f>H128</f>
        <v>413226.5</v>
      </c>
      <c r="I129" s="73" t="s">
        <v>202</v>
      </c>
      <c r="J129" s="57">
        <f t="shared" si="43"/>
        <v>0.755</v>
      </c>
      <c r="K129" s="57" t="s">
        <v>290</v>
      </c>
      <c r="L129" s="57">
        <f t="shared" si="44"/>
        <v>0.95100000000000007</v>
      </c>
      <c r="M129" s="74">
        <f t="shared" si="25"/>
        <v>3.4986353465606577E-3</v>
      </c>
      <c r="N129" s="74">
        <f t="shared" si="26"/>
        <v>1.6547599612111218E-3</v>
      </c>
      <c r="O129" s="74">
        <f t="shared" si="27"/>
        <v>2.5057793698339846E-4</v>
      </c>
    </row>
    <row r="130" spans="1:15" ht="15" customHeight="1" x14ac:dyDescent="0.25">
      <c r="A130" s="95"/>
      <c r="B130" s="40" t="s">
        <v>141</v>
      </c>
      <c r="C130" s="71">
        <v>-20.28885</v>
      </c>
      <c r="D130" s="71">
        <v>-40.243397000000002</v>
      </c>
      <c r="E130" s="73"/>
      <c r="F130" s="73"/>
      <c r="G130" s="73"/>
      <c r="H130" s="72">
        <f>H129</f>
        <v>413226.5</v>
      </c>
      <c r="I130" s="73" t="s">
        <v>202</v>
      </c>
      <c r="J130" s="57">
        <f t="shared" si="43"/>
        <v>0.755</v>
      </c>
      <c r="K130" s="57" t="s">
        <v>290</v>
      </c>
      <c r="L130" s="57">
        <f t="shared" si="44"/>
        <v>0.95100000000000007</v>
      </c>
      <c r="M130" s="74">
        <f t="shared" si="25"/>
        <v>3.4986353465606577E-3</v>
      </c>
      <c r="N130" s="74">
        <f t="shared" si="26"/>
        <v>1.6547599612111218E-3</v>
      </c>
      <c r="O130" s="74">
        <f t="shared" si="27"/>
        <v>2.5057793698339846E-4</v>
      </c>
    </row>
    <row r="131" spans="1:15" ht="15" customHeight="1" x14ac:dyDescent="0.25">
      <c r="A131" s="95"/>
      <c r="B131" s="40" t="s">
        <v>142</v>
      </c>
      <c r="C131" s="71">
        <v>-20.289898000000001</v>
      </c>
      <c r="D131" s="71">
        <v>-40.245173999999999</v>
      </c>
      <c r="E131" s="73"/>
      <c r="F131" s="73"/>
      <c r="G131" s="73"/>
      <c r="H131" s="72">
        <f>H130</f>
        <v>413226.5</v>
      </c>
      <c r="I131" s="73" t="s">
        <v>202</v>
      </c>
      <c r="J131" s="57">
        <f t="shared" si="43"/>
        <v>0.755</v>
      </c>
      <c r="K131" s="57" t="s">
        <v>290</v>
      </c>
      <c r="L131" s="57">
        <f t="shared" si="44"/>
        <v>0.95100000000000007</v>
      </c>
      <c r="M131" s="74">
        <f t="shared" si="25"/>
        <v>3.4986353465606577E-3</v>
      </c>
      <c r="N131" s="74">
        <f t="shared" si="26"/>
        <v>1.6547599612111218E-3</v>
      </c>
      <c r="O131" s="74">
        <f t="shared" si="27"/>
        <v>2.5057793698339846E-4</v>
      </c>
    </row>
    <row r="132" spans="1:15" ht="15" customHeight="1" x14ac:dyDescent="0.25">
      <c r="A132" s="95"/>
      <c r="B132" s="40" t="s">
        <v>154</v>
      </c>
      <c r="C132" s="71">
        <v>-20.290136</v>
      </c>
      <c r="D132" s="71">
        <v>-40.244892</v>
      </c>
      <c r="E132" s="73"/>
      <c r="F132" s="73"/>
      <c r="G132" s="73"/>
      <c r="H132" s="72">
        <f>H131</f>
        <v>413226.5</v>
      </c>
      <c r="I132" s="75" t="s">
        <v>292</v>
      </c>
      <c r="J132" s="58">
        <v>0.48</v>
      </c>
      <c r="K132" s="58" t="s">
        <v>293</v>
      </c>
      <c r="L132" s="58">
        <f>1-((1-0.48)*(1-$L$61))</f>
        <v>0.89600000000000002</v>
      </c>
      <c r="M132" s="74">
        <f t="shared" si="25"/>
        <v>7.4256750212716082E-3</v>
      </c>
      <c r="N132" s="74">
        <f t="shared" si="26"/>
        <v>3.5121435911419766E-3</v>
      </c>
      <c r="O132" s="74">
        <f t="shared" si="27"/>
        <v>5.3183888665864231E-4</v>
      </c>
    </row>
    <row r="133" spans="1:15" ht="15" customHeight="1" x14ac:dyDescent="0.25">
      <c r="A133" s="95" t="s">
        <v>184</v>
      </c>
      <c r="B133" s="40" t="s">
        <v>185</v>
      </c>
      <c r="C133" s="71">
        <v>-20.280417</v>
      </c>
      <c r="D133" s="71">
        <v>-40.246288</v>
      </c>
      <c r="E133" s="72">
        <f>'Tubarão - Rota'!L63</f>
        <v>24003210.433000006</v>
      </c>
      <c r="F133" s="73"/>
      <c r="G133" s="73"/>
      <c r="H133" s="72">
        <f>'Tubarão - Rota'!J63</f>
        <v>4590751.0769999996</v>
      </c>
      <c r="I133" s="78"/>
      <c r="J133" s="58"/>
      <c r="K133" s="58" t="s">
        <v>289</v>
      </c>
      <c r="L133" s="58">
        <f>$L$61</f>
        <v>0.8</v>
      </c>
      <c r="M133" s="74">
        <f t="shared" si="25"/>
        <v>1.3770520375227975</v>
      </c>
      <c r="N133" s="74">
        <f t="shared" si="26"/>
        <v>0.65130839612564739</v>
      </c>
      <c r="O133" s="74">
        <f t="shared" si="27"/>
        <v>9.8626699984740898E-2</v>
      </c>
    </row>
    <row r="134" spans="1:15" ht="15" customHeight="1" x14ac:dyDescent="0.25">
      <c r="A134" s="95"/>
      <c r="B134" s="40" t="s">
        <v>186</v>
      </c>
      <c r="C134" s="71">
        <v>-20.283211999999999</v>
      </c>
      <c r="D134" s="71">
        <v>-40.245654999999999</v>
      </c>
      <c r="E134" s="72">
        <f>E133</f>
        <v>24003210.433000006</v>
      </c>
      <c r="F134" s="72"/>
      <c r="G134" s="72"/>
      <c r="H134" s="72">
        <f>H133</f>
        <v>4590751.0769999996</v>
      </c>
      <c r="I134" s="73" t="s">
        <v>202</v>
      </c>
      <c r="J134" s="57">
        <f t="shared" ref="J134:J137" si="45">1-((1-0.51)*(1-0.5))</f>
        <v>0.755</v>
      </c>
      <c r="K134" s="57" t="s">
        <v>290</v>
      </c>
      <c r="L134" s="57">
        <f t="shared" ref="L134:L137" si="46">1-((1-0.51)*(1-0.5)*(1-$L$61))</f>
        <v>0.95100000000000007</v>
      </c>
      <c r="M134" s="74">
        <f t="shared" ref="M134:M173" si="47" xml:space="preserve"> (1/8760) * (( $E134*C$181 + $F134*C$182 + $G134*C$183) * (1-$J134) + $H134*C$184 * (1-$L134))</f>
        <v>0.33737774919308533</v>
      </c>
      <c r="N134" s="74">
        <f t="shared" ref="N134:N173" si="48" xml:space="preserve"> (1/8760) * (( $E134*D$181 + $F134*D$182 + $G134*D$183) * (1-$J134) + $H134*D$184 * (1-$L134))</f>
        <v>0.15957055705078357</v>
      </c>
      <c r="O134" s="74">
        <f t="shared" ref="O134:O173" si="49" xml:space="preserve"> (1/8760) * (( $E134*E$181 + $F134*E$182 + $G134*E$183) * (1-$J134) + $H134*E$184 * (1-$L134))</f>
        <v>2.4163541496261518E-2</v>
      </c>
    </row>
    <row r="135" spans="1:15" ht="15" customHeight="1" x14ac:dyDescent="0.25">
      <c r="A135" s="95"/>
      <c r="B135" s="40" t="s">
        <v>152</v>
      </c>
      <c r="C135" s="71">
        <v>-20.285886999999999</v>
      </c>
      <c r="D135" s="71">
        <v>-40.244557999999998</v>
      </c>
      <c r="E135" s="72">
        <f>E134/2</f>
        <v>12001605.216500003</v>
      </c>
      <c r="F135" s="72"/>
      <c r="G135" s="72"/>
      <c r="H135" s="72">
        <f>H134/2</f>
        <v>2295375.5384999998</v>
      </c>
      <c r="I135" s="73" t="s">
        <v>202</v>
      </c>
      <c r="J135" s="57">
        <f t="shared" si="45"/>
        <v>0.755</v>
      </c>
      <c r="K135" s="57" t="s">
        <v>290</v>
      </c>
      <c r="L135" s="57">
        <f t="shared" si="46"/>
        <v>0.95100000000000007</v>
      </c>
      <c r="M135" s="74">
        <f t="shared" si="47"/>
        <v>0.16868887459654267</v>
      </c>
      <c r="N135" s="74">
        <f t="shared" si="48"/>
        <v>7.9785278525391787E-2</v>
      </c>
      <c r="O135" s="74">
        <f t="shared" si="49"/>
        <v>1.2081770748130759E-2</v>
      </c>
    </row>
    <row r="136" spans="1:15" ht="15" customHeight="1" x14ac:dyDescent="0.25">
      <c r="A136" s="95"/>
      <c r="B136" s="40" t="s">
        <v>136</v>
      </c>
      <c r="C136" s="71">
        <v>-20.285374000000001</v>
      </c>
      <c r="D136" s="71">
        <v>-40.244999999999997</v>
      </c>
      <c r="E136" s="72">
        <f>E135</f>
        <v>12001605.216500003</v>
      </c>
      <c r="F136" s="72"/>
      <c r="G136" s="72"/>
      <c r="H136" s="72">
        <f>H135</f>
        <v>2295375.5384999998</v>
      </c>
      <c r="I136" s="73" t="s">
        <v>202</v>
      </c>
      <c r="J136" s="57">
        <f t="shared" si="45"/>
        <v>0.755</v>
      </c>
      <c r="K136" s="57" t="s">
        <v>290</v>
      </c>
      <c r="L136" s="57">
        <f t="shared" si="46"/>
        <v>0.95100000000000007</v>
      </c>
      <c r="M136" s="74">
        <f t="shared" si="47"/>
        <v>0.16868887459654267</v>
      </c>
      <c r="N136" s="74">
        <f t="shared" si="48"/>
        <v>7.9785278525391787E-2</v>
      </c>
      <c r="O136" s="74">
        <f t="shared" si="49"/>
        <v>1.2081770748130759E-2</v>
      </c>
    </row>
    <row r="137" spans="1:15" ht="15" customHeight="1" x14ac:dyDescent="0.25">
      <c r="A137" s="95"/>
      <c r="B137" s="40" t="s">
        <v>137</v>
      </c>
      <c r="C137" s="71">
        <v>-20.286928</v>
      </c>
      <c r="D137" s="71">
        <v>-40.247687999999997</v>
      </c>
      <c r="E137" s="72">
        <f>E136</f>
        <v>12001605.216500003</v>
      </c>
      <c r="F137" s="72"/>
      <c r="G137" s="72"/>
      <c r="H137" s="72">
        <f>H136</f>
        <v>2295375.5384999998</v>
      </c>
      <c r="I137" s="73" t="s">
        <v>202</v>
      </c>
      <c r="J137" s="57">
        <f t="shared" si="45"/>
        <v>0.755</v>
      </c>
      <c r="K137" s="57" t="s">
        <v>290</v>
      </c>
      <c r="L137" s="57">
        <f t="shared" si="46"/>
        <v>0.95100000000000007</v>
      </c>
      <c r="M137" s="74">
        <f t="shared" si="47"/>
        <v>0.16868887459654267</v>
      </c>
      <c r="N137" s="74">
        <f t="shared" si="48"/>
        <v>7.9785278525391787E-2</v>
      </c>
      <c r="O137" s="74">
        <f t="shared" si="49"/>
        <v>1.2081770748130759E-2</v>
      </c>
    </row>
    <row r="138" spans="1:15" ht="15" customHeight="1" x14ac:dyDescent="0.25">
      <c r="A138" s="95"/>
      <c r="B138" s="40" t="s">
        <v>153</v>
      </c>
      <c r="C138" s="71">
        <v>-20.287773000000001</v>
      </c>
      <c r="D138" s="71">
        <v>-40.246915000000001</v>
      </c>
      <c r="E138" s="72">
        <f>E137</f>
        <v>12001605.216500003</v>
      </c>
      <c r="F138" s="72"/>
      <c r="G138" s="72"/>
      <c r="H138" s="72">
        <f>H137</f>
        <v>2295375.5384999998</v>
      </c>
      <c r="I138" s="75" t="s">
        <v>201</v>
      </c>
      <c r="J138" s="58">
        <v>0.5</v>
      </c>
      <c r="K138" s="58" t="s">
        <v>289</v>
      </c>
      <c r="L138" s="58">
        <f>$L$61</f>
        <v>0.8</v>
      </c>
      <c r="M138" s="74">
        <f t="shared" si="47"/>
        <v>0.38392442248883302</v>
      </c>
      <c r="N138" s="74">
        <f t="shared" si="48"/>
        <v>0.18158587550147506</v>
      </c>
      <c r="O138" s="74">
        <f t="shared" si="49"/>
        <v>2.7497289718794796E-2</v>
      </c>
    </row>
    <row r="139" spans="1:15" ht="15" customHeight="1" x14ac:dyDescent="0.25">
      <c r="A139" s="95"/>
      <c r="B139" s="40" t="s">
        <v>151</v>
      </c>
      <c r="C139" s="71">
        <v>-20.286007000000001</v>
      </c>
      <c r="D139" s="71">
        <v>-40.244484999999997</v>
      </c>
      <c r="E139" s="72">
        <f>E134/2</f>
        <v>12001605.216500003</v>
      </c>
      <c r="F139" s="72"/>
      <c r="G139" s="72"/>
      <c r="H139" s="72">
        <f>H134/2</f>
        <v>2295375.5384999998</v>
      </c>
      <c r="I139" s="73" t="s">
        <v>202</v>
      </c>
      <c r="J139" s="57">
        <f t="shared" ref="J139:J143" si="50">1-((1-0.51)*(1-0.5))</f>
        <v>0.755</v>
      </c>
      <c r="K139" s="57" t="s">
        <v>290</v>
      </c>
      <c r="L139" s="57">
        <f t="shared" ref="L139:L143" si="51">1-((1-0.51)*(1-0.5)*(1-$L$61))</f>
        <v>0.95100000000000007</v>
      </c>
      <c r="M139" s="74">
        <f t="shared" si="47"/>
        <v>0.16868887459654267</v>
      </c>
      <c r="N139" s="74">
        <f t="shared" si="48"/>
        <v>7.9785278525391787E-2</v>
      </c>
      <c r="O139" s="74">
        <f t="shared" si="49"/>
        <v>1.2081770748130759E-2</v>
      </c>
    </row>
    <row r="140" spans="1:15" ht="15" customHeight="1" x14ac:dyDescent="0.25">
      <c r="A140" s="95"/>
      <c r="B140" s="40" t="s">
        <v>139</v>
      </c>
      <c r="C140" s="71">
        <v>-20.287610000000001</v>
      </c>
      <c r="D140" s="71">
        <v>-40.243876999999998</v>
      </c>
      <c r="E140" s="72">
        <f>E139</f>
        <v>12001605.216500003</v>
      </c>
      <c r="F140" s="72"/>
      <c r="G140" s="72"/>
      <c r="H140" s="72">
        <f>H139</f>
        <v>2295375.5384999998</v>
      </c>
      <c r="I140" s="73" t="s">
        <v>202</v>
      </c>
      <c r="J140" s="57">
        <f t="shared" si="50"/>
        <v>0.755</v>
      </c>
      <c r="K140" s="57" t="s">
        <v>290</v>
      </c>
      <c r="L140" s="57">
        <f t="shared" si="51"/>
        <v>0.95100000000000007</v>
      </c>
      <c r="M140" s="74">
        <f t="shared" si="47"/>
        <v>0.16868887459654267</v>
      </c>
      <c r="N140" s="74">
        <f t="shared" si="48"/>
        <v>7.9785278525391787E-2</v>
      </c>
      <c r="O140" s="74">
        <f t="shared" si="49"/>
        <v>1.2081770748130759E-2</v>
      </c>
    </row>
    <row r="141" spans="1:15" ht="15" customHeight="1" x14ac:dyDescent="0.25">
      <c r="A141" s="95"/>
      <c r="B141" s="40" t="s">
        <v>140</v>
      </c>
      <c r="C141" s="71">
        <v>-20.287931</v>
      </c>
      <c r="D141" s="71">
        <v>-40.243747999999997</v>
      </c>
      <c r="E141" s="72">
        <f>E140</f>
        <v>12001605.216500003</v>
      </c>
      <c r="F141" s="72"/>
      <c r="G141" s="72"/>
      <c r="H141" s="72">
        <f>H140</f>
        <v>2295375.5384999998</v>
      </c>
      <c r="I141" s="73" t="s">
        <v>202</v>
      </c>
      <c r="J141" s="57">
        <f t="shared" si="50"/>
        <v>0.755</v>
      </c>
      <c r="K141" s="57" t="s">
        <v>290</v>
      </c>
      <c r="L141" s="57">
        <f t="shared" si="51"/>
        <v>0.95100000000000007</v>
      </c>
      <c r="M141" s="74">
        <f t="shared" si="47"/>
        <v>0.16868887459654267</v>
      </c>
      <c r="N141" s="74">
        <f t="shared" si="48"/>
        <v>7.9785278525391787E-2</v>
      </c>
      <c r="O141" s="74">
        <f t="shared" si="49"/>
        <v>1.2081770748130759E-2</v>
      </c>
    </row>
    <row r="142" spans="1:15" ht="15" customHeight="1" x14ac:dyDescent="0.25">
      <c r="A142" s="95"/>
      <c r="B142" s="40" t="s">
        <v>141</v>
      </c>
      <c r="C142" s="71">
        <v>-20.28885</v>
      </c>
      <c r="D142" s="71">
        <v>-40.243397000000002</v>
      </c>
      <c r="E142" s="72">
        <f>E141</f>
        <v>12001605.216500003</v>
      </c>
      <c r="F142" s="72"/>
      <c r="G142" s="72"/>
      <c r="H142" s="72">
        <f>H141</f>
        <v>2295375.5384999998</v>
      </c>
      <c r="I142" s="73" t="s">
        <v>202</v>
      </c>
      <c r="J142" s="57">
        <f t="shared" si="50"/>
        <v>0.755</v>
      </c>
      <c r="K142" s="57" t="s">
        <v>290</v>
      </c>
      <c r="L142" s="57">
        <f t="shared" si="51"/>
        <v>0.95100000000000007</v>
      </c>
      <c r="M142" s="74">
        <f t="shared" si="47"/>
        <v>0.16868887459654267</v>
      </c>
      <c r="N142" s="74">
        <f t="shared" si="48"/>
        <v>7.9785278525391787E-2</v>
      </c>
      <c r="O142" s="74">
        <f t="shared" si="49"/>
        <v>1.2081770748130759E-2</v>
      </c>
    </row>
    <row r="143" spans="1:15" ht="15" customHeight="1" x14ac:dyDescent="0.25">
      <c r="A143" s="95"/>
      <c r="B143" s="40" t="s">
        <v>142</v>
      </c>
      <c r="C143" s="71">
        <v>-20.289898000000001</v>
      </c>
      <c r="D143" s="71">
        <v>-40.245173999999999</v>
      </c>
      <c r="E143" s="72">
        <f>E142</f>
        <v>12001605.216500003</v>
      </c>
      <c r="F143" s="72"/>
      <c r="G143" s="72"/>
      <c r="H143" s="72">
        <f>H142</f>
        <v>2295375.5384999998</v>
      </c>
      <c r="I143" s="73" t="s">
        <v>202</v>
      </c>
      <c r="J143" s="57">
        <f t="shared" si="50"/>
        <v>0.755</v>
      </c>
      <c r="K143" s="57" t="s">
        <v>290</v>
      </c>
      <c r="L143" s="57">
        <f t="shared" si="51"/>
        <v>0.95100000000000007</v>
      </c>
      <c r="M143" s="74">
        <f t="shared" si="47"/>
        <v>0.16868887459654267</v>
      </c>
      <c r="N143" s="74">
        <f t="shared" si="48"/>
        <v>7.9785278525391787E-2</v>
      </c>
      <c r="O143" s="74">
        <f t="shared" si="49"/>
        <v>1.2081770748130759E-2</v>
      </c>
    </row>
    <row r="144" spans="1:15" ht="15" customHeight="1" x14ac:dyDescent="0.25">
      <c r="A144" s="95"/>
      <c r="B144" s="40" t="s">
        <v>154</v>
      </c>
      <c r="C144" s="71">
        <v>-20.290136</v>
      </c>
      <c r="D144" s="71">
        <v>-40.244892</v>
      </c>
      <c r="E144" s="72">
        <f>E143</f>
        <v>12001605.216500003</v>
      </c>
      <c r="F144" s="72"/>
      <c r="G144" s="72"/>
      <c r="H144" s="72">
        <f>H143</f>
        <v>2295375.5384999998</v>
      </c>
      <c r="I144" s="75" t="s">
        <v>292</v>
      </c>
      <c r="J144" s="58">
        <v>0.48</v>
      </c>
      <c r="K144" s="58" t="s">
        <v>293</v>
      </c>
      <c r="L144" s="58">
        <f>1-((1-0.48)*(1-$L$61))</f>
        <v>0.89600000000000002</v>
      </c>
      <c r="M144" s="74">
        <f t="shared" si="47"/>
        <v>0.35803352975592739</v>
      </c>
      <c r="N144" s="74">
        <f t="shared" si="48"/>
        <v>0.16934018299266834</v>
      </c>
      <c r="O144" s="74">
        <f t="shared" si="49"/>
        <v>2.5642941996032637E-2</v>
      </c>
    </row>
    <row r="145" spans="1:15" ht="15" customHeight="1" x14ac:dyDescent="0.25">
      <c r="A145" s="95" t="s">
        <v>187</v>
      </c>
      <c r="B145" s="40" t="s">
        <v>188</v>
      </c>
      <c r="C145" s="71">
        <v>-20.284103999999999</v>
      </c>
      <c r="D145" s="71">
        <v>-40.240141999999999</v>
      </c>
      <c r="E145" s="72">
        <f>'Tubarão - Rota'!T63</f>
        <v>52494059.505999982</v>
      </c>
      <c r="F145" s="72"/>
      <c r="G145" s="72"/>
      <c r="H145" s="72">
        <f>'Tubarão - Rota'!R63</f>
        <v>11301413.467</v>
      </c>
      <c r="I145" s="78"/>
      <c r="J145" s="58"/>
      <c r="K145" s="58" t="s">
        <v>289</v>
      </c>
      <c r="L145" s="58">
        <f>$L$61</f>
        <v>0.8</v>
      </c>
      <c r="M145" s="74">
        <f t="shared" si="47"/>
        <v>3.0551564442047621</v>
      </c>
      <c r="N145" s="74">
        <f t="shared" si="48"/>
        <v>1.4450064263130629</v>
      </c>
      <c r="O145" s="74">
        <f t="shared" si="49"/>
        <v>0.21881525884169239</v>
      </c>
    </row>
    <row r="146" spans="1:15" ht="15" customHeight="1" x14ac:dyDescent="0.25">
      <c r="A146" s="95"/>
      <c r="B146" s="40" t="s">
        <v>189</v>
      </c>
      <c r="C146" s="71">
        <v>-20.283904</v>
      </c>
      <c r="D146" s="71">
        <v>-40.243555999999998</v>
      </c>
      <c r="E146" s="72">
        <f>E145</f>
        <v>52494059.505999982</v>
      </c>
      <c r="F146" s="72"/>
      <c r="G146" s="72"/>
      <c r="H146" s="72">
        <f>H145</f>
        <v>11301413.467</v>
      </c>
      <c r="I146" s="73" t="s">
        <v>202</v>
      </c>
      <c r="J146" s="57">
        <f t="shared" ref="J146:J150" si="52">1-((1-0.51)*(1-0.5))</f>
        <v>0.755</v>
      </c>
      <c r="K146" s="57" t="s">
        <v>290</v>
      </c>
      <c r="L146" s="57">
        <f t="shared" ref="L146:L150" si="53">1-((1-0.51)*(1-0.5)*(1-$L$61))</f>
        <v>0.95100000000000007</v>
      </c>
      <c r="M146" s="74">
        <f t="shared" si="47"/>
        <v>0.74851332883016652</v>
      </c>
      <c r="N146" s="74">
        <f t="shared" si="48"/>
        <v>0.35402657444670033</v>
      </c>
      <c r="O146" s="74">
        <f t="shared" si="49"/>
        <v>5.3609738416214629E-2</v>
      </c>
    </row>
    <row r="147" spans="1:15" ht="15" customHeight="1" x14ac:dyDescent="0.25">
      <c r="A147" s="95"/>
      <c r="B147" s="40" t="s">
        <v>168</v>
      </c>
      <c r="C147" s="71">
        <v>-20.285450000000001</v>
      </c>
      <c r="D147" s="71">
        <v>-40.243112000000004</v>
      </c>
      <c r="E147" s="72">
        <f>E146</f>
        <v>52494059.505999982</v>
      </c>
      <c r="F147" s="72"/>
      <c r="G147" s="72"/>
      <c r="H147" s="72">
        <f>H146</f>
        <v>11301413.467</v>
      </c>
      <c r="I147" s="73" t="s">
        <v>202</v>
      </c>
      <c r="J147" s="57">
        <f t="shared" si="52"/>
        <v>0.755</v>
      </c>
      <c r="K147" s="57" t="s">
        <v>290</v>
      </c>
      <c r="L147" s="57">
        <f t="shared" si="53"/>
        <v>0.95100000000000007</v>
      </c>
      <c r="M147" s="74">
        <f t="shared" si="47"/>
        <v>0.74851332883016652</v>
      </c>
      <c r="N147" s="74">
        <f t="shared" si="48"/>
        <v>0.35402657444670033</v>
      </c>
      <c r="O147" s="74">
        <f t="shared" si="49"/>
        <v>5.3609738416214629E-2</v>
      </c>
    </row>
    <row r="148" spans="1:15" ht="15" customHeight="1" x14ac:dyDescent="0.25">
      <c r="A148" s="95"/>
      <c r="B148" s="40" t="s">
        <v>135</v>
      </c>
      <c r="C148" s="71">
        <v>-20.285886999999999</v>
      </c>
      <c r="D148" s="71">
        <v>-40.244557999999998</v>
      </c>
      <c r="E148" s="72">
        <f>E147/2</f>
        <v>26247029.752999991</v>
      </c>
      <c r="F148" s="72"/>
      <c r="G148" s="72"/>
      <c r="H148" s="72">
        <f>H147/2</f>
        <v>5650706.7335000001</v>
      </c>
      <c r="I148" s="73" t="s">
        <v>202</v>
      </c>
      <c r="J148" s="57">
        <f t="shared" si="52"/>
        <v>0.755</v>
      </c>
      <c r="K148" s="57" t="s">
        <v>290</v>
      </c>
      <c r="L148" s="57">
        <f t="shared" si="53"/>
        <v>0.95100000000000007</v>
      </c>
      <c r="M148" s="74">
        <f t="shared" si="47"/>
        <v>0.37425666441508326</v>
      </c>
      <c r="N148" s="74">
        <f t="shared" si="48"/>
        <v>0.17701328722335016</v>
      </c>
      <c r="O148" s="74">
        <f t="shared" si="49"/>
        <v>2.6804869208107315E-2</v>
      </c>
    </row>
    <row r="149" spans="1:15" ht="15" customHeight="1" x14ac:dyDescent="0.25">
      <c r="A149" s="95"/>
      <c r="B149" s="40" t="s">
        <v>136</v>
      </c>
      <c r="C149" s="71">
        <v>-20.285374000000001</v>
      </c>
      <c r="D149" s="71">
        <v>-40.244999999999997</v>
      </c>
      <c r="E149" s="72">
        <f>E148</f>
        <v>26247029.752999991</v>
      </c>
      <c r="F149" s="72"/>
      <c r="G149" s="72"/>
      <c r="H149" s="72">
        <f>H148</f>
        <v>5650706.7335000001</v>
      </c>
      <c r="I149" s="73" t="s">
        <v>202</v>
      </c>
      <c r="J149" s="57">
        <f t="shared" si="52"/>
        <v>0.755</v>
      </c>
      <c r="K149" s="57" t="s">
        <v>290</v>
      </c>
      <c r="L149" s="57">
        <f t="shared" si="53"/>
        <v>0.95100000000000007</v>
      </c>
      <c r="M149" s="74">
        <f t="shared" si="47"/>
        <v>0.37425666441508326</v>
      </c>
      <c r="N149" s="74">
        <f t="shared" si="48"/>
        <v>0.17701328722335016</v>
      </c>
      <c r="O149" s="74">
        <f t="shared" si="49"/>
        <v>2.6804869208107315E-2</v>
      </c>
    </row>
    <row r="150" spans="1:15" ht="15" customHeight="1" x14ac:dyDescent="0.25">
      <c r="A150" s="95"/>
      <c r="B150" s="40" t="s">
        <v>137</v>
      </c>
      <c r="C150" s="71">
        <v>-20.286928</v>
      </c>
      <c r="D150" s="71">
        <v>-40.247687999999997</v>
      </c>
      <c r="E150" s="72">
        <f>E149</f>
        <v>26247029.752999991</v>
      </c>
      <c r="F150" s="72"/>
      <c r="G150" s="72"/>
      <c r="H150" s="72">
        <f>H149</f>
        <v>5650706.7335000001</v>
      </c>
      <c r="I150" s="73" t="s">
        <v>202</v>
      </c>
      <c r="J150" s="57">
        <f t="shared" si="52"/>
        <v>0.755</v>
      </c>
      <c r="K150" s="57" t="s">
        <v>290</v>
      </c>
      <c r="L150" s="57">
        <f t="shared" si="53"/>
        <v>0.95100000000000007</v>
      </c>
      <c r="M150" s="74">
        <f t="shared" si="47"/>
        <v>0.37425666441508326</v>
      </c>
      <c r="N150" s="74">
        <f t="shared" si="48"/>
        <v>0.17701328722335016</v>
      </c>
      <c r="O150" s="74">
        <f t="shared" si="49"/>
        <v>2.6804869208107315E-2</v>
      </c>
    </row>
    <row r="151" spans="1:15" ht="15" customHeight="1" x14ac:dyDescent="0.25">
      <c r="A151" s="95"/>
      <c r="B151" s="40" t="s">
        <v>153</v>
      </c>
      <c r="C151" s="71">
        <v>-20.287773000000001</v>
      </c>
      <c r="D151" s="71">
        <v>-40.246915000000001</v>
      </c>
      <c r="E151" s="72">
        <f>E150</f>
        <v>26247029.752999991</v>
      </c>
      <c r="F151" s="72"/>
      <c r="G151" s="72"/>
      <c r="H151" s="72">
        <f>H150</f>
        <v>5650706.7335000001</v>
      </c>
      <c r="I151" s="75" t="s">
        <v>201</v>
      </c>
      <c r="J151" s="58">
        <v>0.5</v>
      </c>
      <c r="K151" s="58" t="s">
        <v>289</v>
      </c>
      <c r="L151" s="58">
        <f>$L$61</f>
        <v>0.8</v>
      </c>
      <c r="M151" s="74">
        <f t="shared" si="47"/>
        <v>0.8614267352007936</v>
      </c>
      <c r="N151" s="74">
        <f t="shared" si="48"/>
        <v>0.40743156394632124</v>
      </c>
      <c r="O151" s="74">
        <f t="shared" si="49"/>
        <v>6.1696779683300076E-2</v>
      </c>
    </row>
    <row r="152" spans="1:15" ht="15" customHeight="1" x14ac:dyDescent="0.25">
      <c r="A152" s="95"/>
      <c r="B152" s="40" t="s">
        <v>138</v>
      </c>
      <c r="C152" s="71">
        <v>-20.286007000000001</v>
      </c>
      <c r="D152" s="71">
        <v>-40.244484999999997</v>
      </c>
      <c r="E152" s="72">
        <f>E147/2</f>
        <v>26247029.752999991</v>
      </c>
      <c r="F152" s="72"/>
      <c r="G152" s="72"/>
      <c r="H152" s="72">
        <f>H147/2</f>
        <v>5650706.7335000001</v>
      </c>
      <c r="I152" s="73" t="s">
        <v>202</v>
      </c>
      <c r="J152" s="57">
        <f t="shared" ref="J152:J156" si="54">1-((1-0.51)*(1-0.5))</f>
        <v>0.755</v>
      </c>
      <c r="K152" s="57" t="s">
        <v>290</v>
      </c>
      <c r="L152" s="57">
        <f t="shared" ref="L152:L156" si="55">1-((1-0.51)*(1-0.5)*(1-$L$61))</f>
        <v>0.95100000000000007</v>
      </c>
      <c r="M152" s="74">
        <f t="shared" si="47"/>
        <v>0.37425666441508326</v>
      </c>
      <c r="N152" s="74">
        <f t="shared" si="48"/>
        <v>0.17701328722335016</v>
      </c>
      <c r="O152" s="74">
        <f t="shared" si="49"/>
        <v>2.6804869208107315E-2</v>
      </c>
    </row>
    <row r="153" spans="1:15" ht="15" customHeight="1" x14ac:dyDescent="0.25">
      <c r="A153" s="95"/>
      <c r="B153" s="40" t="s">
        <v>139</v>
      </c>
      <c r="C153" s="71">
        <v>-20.287610000000001</v>
      </c>
      <c r="D153" s="71">
        <v>-40.243876999999998</v>
      </c>
      <c r="E153" s="72">
        <f>E152</f>
        <v>26247029.752999991</v>
      </c>
      <c r="F153" s="72"/>
      <c r="G153" s="72"/>
      <c r="H153" s="72">
        <f>H152</f>
        <v>5650706.7335000001</v>
      </c>
      <c r="I153" s="73" t="s">
        <v>202</v>
      </c>
      <c r="J153" s="57">
        <f t="shared" si="54"/>
        <v>0.755</v>
      </c>
      <c r="K153" s="57" t="s">
        <v>290</v>
      </c>
      <c r="L153" s="57">
        <f t="shared" si="55"/>
        <v>0.95100000000000007</v>
      </c>
      <c r="M153" s="74">
        <f t="shared" si="47"/>
        <v>0.37425666441508326</v>
      </c>
      <c r="N153" s="74">
        <f t="shared" si="48"/>
        <v>0.17701328722335016</v>
      </c>
      <c r="O153" s="74">
        <f t="shared" si="49"/>
        <v>2.6804869208107315E-2</v>
      </c>
    </row>
    <row r="154" spans="1:15" ht="15" customHeight="1" x14ac:dyDescent="0.25">
      <c r="A154" s="95"/>
      <c r="B154" s="40" t="s">
        <v>140</v>
      </c>
      <c r="C154" s="71">
        <v>-20.287931</v>
      </c>
      <c r="D154" s="71">
        <v>-40.243747999999997</v>
      </c>
      <c r="E154" s="72">
        <f>E153</f>
        <v>26247029.752999991</v>
      </c>
      <c r="F154" s="72"/>
      <c r="G154" s="72"/>
      <c r="H154" s="72">
        <f>H153</f>
        <v>5650706.7335000001</v>
      </c>
      <c r="I154" s="73" t="s">
        <v>202</v>
      </c>
      <c r="J154" s="57">
        <f t="shared" si="54"/>
        <v>0.755</v>
      </c>
      <c r="K154" s="57" t="s">
        <v>290</v>
      </c>
      <c r="L154" s="57">
        <f t="shared" si="55"/>
        <v>0.95100000000000007</v>
      </c>
      <c r="M154" s="74">
        <f t="shared" si="47"/>
        <v>0.37425666441508326</v>
      </c>
      <c r="N154" s="74">
        <f t="shared" si="48"/>
        <v>0.17701328722335016</v>
      </c>
      <c r="O154" s="74">
        <f t="shared" si="49"/>
        <v>2.6804869208107315E-2</v>
      </c>
    </row>
    <row r="155" spans="1:15" ht="15" customHeight="1" x14ac:dyDescent="0.25">
      <c r="A155" s="95"/>
      <c r="B155" s="40" t="s">
        <v>141</v>
      </c>
      <c r="C155" s="71">
        <v>-20.28885</v>
      </c>
      <c r="D155" s="71">
        <v>-40.243397000000002</v>
      </c>
      <c r="E155" s="72">
        <f>E154</f>
        <v>26247029.752999991</v>
      </c>
      <c r="F155" s="72"/>
      <c r="G155" s="72"/>
      <c r="H155" s="72">
        <f>H154</f>
        <v>5650706.7335000001</v>
      </c>
      <c r="I155" s="73" t="s">
        <v>202</v>
      </c>
      <c r="J155" s="57">
        <f t="shared" si="54"/>
        <v>0.755</v>
      </c>
      <c r="K155" s="57" t="s">
        <v>290</v>
      </c>
      <c r="L155" s="57">
        <f t="shared" si="55"/>
        <v>0.95100000000000007</v>
      </c>
      <c r="M155" s="74">
        <f t="shared" si="47"/>
        <v>0.37425666441508326</v>
      </c>
      <c r="N155" s="74">
        <f t="shared" si="48"/>
        <v>0.17701328722335016</v>
      </c>
      <c r="O155" s="74">
        <f t="shared" si="49"/>
        <v>2.6804869208107315E-2</v>
      </c>
    </row>
    <row r="156" spans="1:15" ht="15" customHeight="1" x14ac:dyDescent="0.25">
      <c r="A156" s="95"/>
      <c r="B156" s="40" t="s">
        <v>142</v>
      </c>
      <c r="C156" s="71">
        <v>-20.289898000000001</v>
      </c>
      <c r="D156" s="71">
        <v>-40.245173999999999</v>
      </c>
      <c r="E156" s="72">
        <f>E155</f>
        <v>26247029.752999991</v>
      </c>
      <c r="F156" s="72"/>
      <c r="G156" s="72"/>
      <c r="H156" s="72">
        <f>H155</f>
        <v>5650706.7335000001</v>
      </c>
      <c r="I156" s="73" t="s">
        <v>202</v>
      </c>
      <c r="J156" s="57">
        <f t="shared" si="54"/>
        <v>0.755</v>
      </c>
      <c r="K156" s="57" t="s">
        <v>290</v>
      </c>
      <c r="L156" s="57">
        <f t="shared" si="55"/>
        <v>0.95100000000000007</v>
      </c>
      <c r="M156" s="74">
        <f t="shared" si="47"/>
        <v>0.37425666441508326</v>
      </c>
      <c r="N156" s="74">
        <f t="shared" si="48"/>
        <v>0.17701328722335016</v>
      </c>
      <c r="O156" s="74">
        <f t="shared" si="49"/>
        <v>2.6804869208107315E-2</v>
      </c>
    </row>
    <row r="157" spans="1:15" ht="15" customHeight="1" x14ac:dyDescent="0.25">
      <c r="A157" s="95"/>
      <c r="B157" s="40" t="s">
        <v>154</v>
      </c>
      <c r="C157" s="71">
        <v>-20.290136</v>
      </c>
      <c r="D157" s="71">
        <v>-40.244892</v>
      </c>
      <c r="E157" s="72">
        <f>E156</f>
        <v>26247029.752999991</v>
      </c>
      <c r="F157" s="72"/>
      <c r="G157" s="72"/>
      <c r="H157" s="72">
        <f>H156</f>
        <v>5650706.7335000001</v>
      </c>
      <c r="I157" s="75" t="s">
        <v>292</v>
      </c>
      <c r="J157" s="58">
        <v>0.48</v>
      </c>
      <c r="K157" s="58" t="s">
        <v>293</v>
      </c>
      <c r="L157" s="58">
        <f>1-((1-0.48)*(1-$L$61))</f>
        <v>0.89600000000000002</v>
      </c>
      <c r="M157" s="74">
        <f t="shared" si="47"/>
        <v>0.79434067549323806</v>
      </c>
      <c r="N157" s="74">
        <f t="shared" si="48"/>
        <v>0.37570167084139633</v>
      </c>
      <c r="O157" s="74">
        <f t="shared" si="49"/>
        <v>5.6891967298840024E-2</v>
      </c>
    </row>
    <row r="158" spans="1:15" s="33" customFormat="1" ht="15" customHeight="1" x14ac:dyDescent="0.25">
      <c r="A158" s="95" t="s">
        <v>203</v>
      </c>
      <c r="B158" s="40" t="s">
        <v>210</v>
      </c>
      <c r="C158" s="71">
        <v>-20.295829999999999</v>
      </c>
      <c r="D158" s="71">
        <v>-40.233094000000001</v>
      </c>
      <c r="E158" s="72"/>
      <c r="F158" s="72">
        <f>'TPM - Rota'!T18</f>
        <v>6271882.0089999996</v>
      </c>
      <c r="G158" s="72"/>
      <c r="H158" s="73"/>
      <c r="I158" s="78"/>
      <c r="J158" s="58"/>
      <c r="K158" s="58"/>
      <c r="L158" s="58"/>
      <c r="M158" s="74">
        <f t="shared" si="47"/>
        <v>0.33946168180695185</v>
      </c>
      <c r="N158" s="74">
        <f t="shared" si="48"/>
        <v>0.16055620085463937</v>
      </c>
      <c r="O158" s="74">
        <f t="shared" si="49"/>
        <v>2.4312796129416822E-2</v>
      </c>
    </row>
    <row r="159" spans="1:15" s="33" customFormat="1" ht="15" customHeight="1" x14ac:dyDescent="0.25">
      <c r="A159" s="95"/>
      <c r="B159" s="40" t="s">
        <v>206</v>
      </c>
      <c r="C159" s="71">
        <v>-20.294473</v>
      </c>
      <c r="D159" s="71">
        <v>-40.230756</v>
      </c>
      <c r="E159" s="72"/>
      <c r="F159" s="72">
        <f>F158</f>
        <v>6271882.0089999996</v>
      </c>
      <c r="G159" s="72"/>
      <c r="H159" s="73"/>
      <c r="I159" s="73" t="s">
        <v>202</v>
      </c>
      <c r="J159" s="57">
        <f t="shared" ref="J159:J164" si="56">1-((1-0.51)*(1-0.5))</f>
        <v>0.755</v>
      </c>
      <c r="K159" s="57"/>
      <c r="L159" s="57"/>
      <c r="M159" s="74">
        <f t="shared" si="47"/>
        <v>8.3168112042703204E-2</v>
      </c>
      <c r="N159" s="74">
        <f t="shared" si="48"/>
        <v>3.9336269209386647E-2</v>
      </c>
      <c r="O159" s="74">
        <f t="shared" si="49"/>
        <v>5.9566350517071213E-3</v>
      </c>
    </row>
    <row r="160" spans="1:15" s="33" customFormat="1" ht="15" customHeight="1" x14ac:dyDescent="0.25">
      <c r="A160" s="95"/>
      <c r="B160" s="40" t="s">
        <v>207</v>
      </c>
      <c r="C160" s="71">
        <v>-20.281298</v>
      </c>
      <c r="D160" s="71">
        <v>-40.236215000000001</v>
      </c>
      <c r="E160" s="72"/>
      <c r="F160" s="72">
        <f>F159</f>
        <v>6271882.0089999996</v>
      </c>
      <c r="G160" s="72"/>
      <c r="H160" s="73"/>
      <c r="I160" s="73" t="s">
        <v>202</v>
      </c>
      <c r="J160" s="57">
        <f t="shared" si="56"/>
        <v>0.755</v>
      </c>
      <c r="K160" s="57"/>
      <c r="L160" s="57"/>
      <c r="M160" s="74">
        <f t="shared" si="47"/>
        <v>8.3168112042703204E-2</v>
      </c>
      <c r="N160" s="74">
        <f t="shared" si="48"/>
        <v>3.9336269209386647E-2</v>
      </c>
      <c r="O160" s="74">
        <f t="shared" si="49"/>
        <v>5.9566350517071213E-3</v>
      </c>
    </row>
    <row r="161" spans="1:15" s="33" customFormat="1" ht="15" customHeight="1" x14ac:dyDescent="0.25">
      <c r="A161" s="95"/>
      <c r="B161" s="40" t="s">
        <v>208</v>
      </c>
      <c r="C161" s="71">
        <v>-20.274270999999999</v>
      </c>
      <c r="D161" s="71">
        <v>-40.234580000000001</v>
      </c>
      <c r="E161" s="72"/>
      <c r="F161" s="72">
        <f>F160</f>
        <v>6271882.0089999996</v>
      </c>
      <c r="G161" s="72"/>
      <c r="H161" s="73"/>
      <c r="I161" s="73" t="s">
        <v>202</v>
      </c>
      <c r="J161" s="57">
        <f t="shared" si="56"/>
        <v>0.755</v>
      </c>
      <c r="K161" s="57"/>
      <c r="L161" s="57"/>
      <c r="M161" s="74">
        <f t="shared" si="47"/>
        <v>8.3168112042703204E-2</v>
      </c>
      <c r="N161" s="74">
        <f t="shared" si="48"/>
        <v>3.9336269209386647E-2</v>
      </c>
      <c r="O161" s="74">
        <f t="shared" si="49"/>
        <v>5.9566350517071213E-3</v>
      </c>
    </row>
    <row r="162" spans="1:15" s="33" customFormat="1" ht="15" customHeight="1" x14ac:dyDescent="0.25">
      <c r="A162" s="95"/>
      <c r="B162" s="40" t="s">
        <v>220</v>
      </c>
      <c r="C162" s="71">
        <v>-20.273655000000002</v>
      </c>
      <c r="D162" s="71">
        <v>-40.236173999999998</v>
      </c>
      <c r="E162" s="72"/>
      <c r="F162" s="72">
        <f>F161</f>
        <v>6271882.0089999996</v>
      </c>
      <c r="G162" s="72"/>
      <c r="H162" s="73"/>
      <c r="I162" s="73" t="s">
        <v>202</v>
      </c>
      <c r="J162" s="57">
        <f t="shared" si="56"/>
        <v>0.755</v>
      </c>
      <c r="K162" s="57"/>
      <c r="L162" s="57"/>
      <c r="M162" s="74">
        <f t="shared" si="47"/>
        <v>8.3168112042703204E-2</v>
      </c>
      <c r="N162" s="74">
        <f t="shared" si="48"/>
        <v>3.9336269209386647E-2</v>
      </c>
      <c r="O162" s="74">
        <f t="shared" si="49"/>
        <v>5.9566350517071213E-3</v>
      </c>
    </row>
    <row r="163" spans="1:15" s="33" customFormat="1" ht="15" customHeight="1" x14ac:dyDescent="0.25">
      <c r="A163" s="95"/>
      <c r="B163" s="40" t="s">
        <v>221</v>
      </c>
      <c r="C163" s="71">
        <v>-20.264324999999999</v>
      </c>
      <c r="D163" s="71">
        <v>-40.232475000000001</v>
      </c>
      <c r="E163" s="72"/>
      <c r="F163" s="72">
        <f>F161</f>
        <v>6271882.0089999996</v>
      </c>
      <c r="G163" s="72"/>
      <c r="H163" s="73"/>
      <c r="I163" s="73" t="s">
        <v>202</v>
      </c>
      <c r="J163" s="57">
        <f t="shared" si="56"/>
        <v>0.755</v>
      </c>
      <c r="K163" s="57"/>
      <c r="L163" s="57"/>
      <c r="M163" s="74">
        <f t="shared" si="47"/>
        <v>8.3168112042703204E-2</v>
      </c>
      <c r="N163" s="74">
        <f t="shared" si="48"/>
        <v>3.9336269209386647E-2</v>
      </c>
      <c r="O163" s="74">
        <f t="shared" si="49"/>
        <v>5.9566350517071213E-3</v>
      </c>
    </row>
    <row r="164" spans="1:15" s="33" customFormat="1" ht="15" customHeight="1" x14ac:dyDescent="0.25">
      <c r="A164" s="95"/>
      <c r="B164" s="40" t="s">
        <v>209</v>
      </c>
      <c r="C164" s="71">
        <v>-20.264157000000001</v>
      </c>
      <c r="D164" s="71">
        <v>-40.229554999999998</v>
      </c>
      <c r="E164" s="72"/>
      <c r="F164" s="72">
        <f>F163</f>
        <v>6271882.0089999996</v>
      </c>
      <c r="G164" s="72"/>
      <c r="H164" s="73"/>
      <c r="I164" s="73" t="s">
        <v>202</v>
      </c>
      <c r="J164" s="57">
        <f t="shared" si="56"/>
        <v>0.755</v>
      </c>
      <c r="K164" s="57"/>
      <c r="L164" s="57"/>
      <c r="M164" s="74">
        <f t="shared" si="47"/>
        <v>8.3168112042703204E-2</v>
      </c>
      <c r="N164" s="74">
        <f t="shared" si="48"/>
        <v>3.9336269209386647E-2</v>
      </c>
      <c r="O164" s="74">
        <f t="shared" si="49"/>
        <v>5.9566350517071213E-3</v>
      </c>
    </row>
    <row r="165" spans="1:15" s="33" customFormat="1" ht="15" customHeight="1" x14ac:dyDescent="0.25">
      <c r="A165" s="95" t="s">
        <v>204</v>
      </c>
      <c r="B165" s="40" t="s">
        <v>210</v>
      </c>
      <c r="C165" s="71">
        <v>-20.295829999999999</v>
      </c>
      <c r="D165" s="71">
        <v>-40.233094000000001</v>
      </c>
      <c r="E165" s="72"/>
      <c r="F165" s="72">
        <f>'TPM - Rota'!J18+'TPM - Rota'!K14+'TPM - Rota'!M14</f>
        <v>5978767.8600000003</v>
      </c>
      <c r="G165" s="72"/>
      <c r="H165" s="73"/>
      <c r="I165" s="78"/>
      <c r="J165" s="58"/>
      <c r="K165" s="58"/>
      <c r="L165" s="58"/>
      <c r="M165" s="74">
        <f t="shared" si="47"/>
        <v>0.32359706224966878</v>
      </c>
      <c r="N165" s="74">
        <f t="shared" si="48"/>
        <v>0.15305266457754604</v>
      </c>
      <c r="O165" s="74">
        <f t="shared" si="49"/>
        <v>2.3176546350314117E-2</v>
      </c>
    </row>
    <row r="166" spans="1:15" s="33" customFormat="1" ht="15" customHeight="1" x14ac:dyDescent="0.25">
      <c r="A166" s="95"/>
      <c r="B166" s="40" t="s">
        <v>206</v>
      </c>
      <c r="C166" s="71">
        <v>-20.294473</v>
      </c>
      <c r="D166" s="71">
        <v>-40.230756</v>
      </c>
      <c r="E166" s="72"/>
      <c r="F166" s="72">
        <f>F165</f>
        <v>5978767.8600000003</v>
      </c>
      <c r="G166" s="72"/>
      <c r="H166" s="72"/>
      <c r="I166" s="73" t="s">
        <v>202</v>
      </c>
      <c r="J166" s="57">
        <f t="shared" ref="J166:J168" si="57">1-((1-0.51)*(1-0.5))</f>
        <v>0.755</v>
      </c>
      <c r="K166" s="57"/>
      <c r="L166" s="57"/>
      <c r="M166" s="74">
        <f t="shared" si="47"/>
        <v>7.9281280251168859E-2</v>
      </c>
      <c r="N166" s="74">
        <f t="shared" si="48"/>
        <v>3.7497902821498785E-2</v>
      </c>
      <c r="O166" s="74">
        <f t="shared" si="49"/>
        <v>5.6782538558269582E-3</v>
      </c>
    </row>
    <row r="167" spans="1:15" s="33" customFormat="1" ht="15" customHeight="1" x14ac:dyDescent="0.25">
      <c r="A167" s="95"/>
      <c r="B167" s="40" t="s">
        <v>207</v>
      </c>
      <c r="C167" s="71">
        <v>-20.281298</v>
      </c>
      <c r="D167" s="71">
        <v>-40.236215000000001</v>
      </c>
      <c r="E167" s="72"/>
      <c r="F167" s="72">
        <f>F166</f>
        <v>5978767.8600000003</v>
      </c>
      <c r="G167" s="72"/>
      <c r="H167" s="72"/>
      <c r="I167" s="73" t="s">
        <v>202</v>
      </c>
      <c r="J167" s="57">
        <f t="shared" si="57"/>
        <v>0.755</v>
      </c>
      <c r="K167" s="57"/>
      <c r="L167" s="57"/>
      <c r="M167" s="74">
        <f t="shared" si="47"/>
        <v>7.9281280251168859E-2</v>
      </c>
      <c r="N167" s="74">
        <f t="shared" si="48"/>
        <v>3.7497902821498785E-2</v>
      </c>
      <c r="O167" s="74">
        <f t="shared" si="49"/>
        <v>5.6782538558269582E-3</v>
      </c>
    </row>
    <row r="168" spans="1:15" s="33" customFormat="1" ht="15" customHeight="1" x14ac:dyDescent="0.25">
      <c r="A168" s="95"/>
      <c r="B168" s="40" t="s">
        <v>208</v>
      </c>
      <c r="C168" s="71">
        <v>-20.274270999999999</v>
      </c>
      <c r="D168" s="71">
        <v>-40.234580000000001</v>
      </c>
      <c r="E168" s="72"/>
      <c r="F168" s="72">
        <f>F167</f>
        <v>5978767.8600000003</v>
      </c>
      <c r="G168" s="72"/>
      <c r="H168" s="72"/>
      <c r="I168" s="73" t="s">
        <v>202</v>
      </c>
      <c r="J168" s="57">
        <f t="shared" si="57"/>
        <v>0.755</v>
      </c>
      <c r="K168" s="57"/>
      <c r="L168" s="57"/>
      <c r="M168" s="74">
        <f t="shared" si="47"/>
        <v>7.9281280251168859E-2</v>
      </c>
      <c r="N168" s="74">
        <f t="shared" si="48"/>
        <v>3.7497902821498785E-2</v>
      </c>
      <c r="O168" s="74">
        <f t="shared" si="49"/>
        <v>5.6782538558269582E-3</v>
      </c>
    </row>
    <row r="169" spans="1:15" s="33" customFormat="1" ht="15" customHeight="1" x14ac:dyDescent="0.25">
      <c r="A169" s="95"/>
      <c r="B169" s="40" t="s">
        <v>211</v>
      </c>
      <c r="C169" s="71">
        <v>-20.268749</v>
      </c>
      <c r="D169" s="71">
        <v>-40.234414999999998</v>
      </c>
      <c r="E169" s="72"/>
      <c r="F169" s="72">
        <f>F168</f>
        <v>5978767.8600000003</v>
      </c>
      <c r="G169" s="72"/>
      <c r="H169" s="72"/>
      <c r="I169" s="75" t="s">
        <v>201</v>
      </c>
      <c r="J169" s="58">
        <v>0.5</v>
      </c>
      <c r="K169" s="58"/>
      <c r="L169" s="58"/>
      <c r="M169" s="74">
        <f t="shared" si="47"/>
        <v>0.16179853112483439</v>
      </c>
      <c r="N169" s="74">
        <f t="shared" si="48"/>
        <v>7.6526332288773022E-2</v>
      </c>
      <c r="O169" s="74">
        <f t="shared" si="49"/>
        <v>1.1588273175157059E-2</v>
      </c>
    </row>
    <row r="170" spans="1:15" s="33" customFormat="1" ht="15" customHeight="1" x14ac:dyDescent="0.25">
      <c r="A170" s="95" t="s">
        <v>205</v>
      </c>
      <c r="B170" s="40" t="s">
        <v>212</v>
      </c>
      <c r="C170" s="71">
        <v>-20.268749</v>
      </c>
      <c r="D170" s="71">
        <v>-40.234414999999998</v>
      </c>
      <c r="E170" s="72"/>
      <c r="F170" s="72">
        <f>'TPM - Rota'!J26+'TPM - Rota'!L26+'TPM - Rota'!L30</f>
        <v>5978767.8600000003</v>
      </c>
      <c r="G170" s="72"/>
      <c r="H170" s="72"/>
      <c r="I170" s="73" t="s">
        <v>202</v>
      </c>
      <c r="J170" s="57">
        <f t="shared" ref="J170:J172" si="58">1-((1-0.51)*(1-0.5))</f>
        <v>0.755</v>
      </c>
      <c r="K170" s="57"/>
      <c r="L170" s="57"/>
      <c r="M170" s="74">
        <f t="shared" si="47"/>
        <v>7.9281280251168859E-2</v>
      </c>
      <c r="N170" s="74">
        <f t="shared" si="48"/>
        <v>3.7497902821498785E-2</v>
      </c>
      <c r="O170" s="74">
        <f t="shared" si="49"/>
        <v>5.6782538558269582E-3</v>
      </c>
    </row>
    <row r="171" spans="1:15" s="33" customFormat="1" ht="15" customHeight="1" x14ac:dyDescent="0.25">
      <c r="A171" s="95"/>
      <c r="B171" s="40" t="s">
        <v>213</v>
      </c>
      <c r="C171" s="71">
        <v>-20.273655000000002</v>
      </c>
      <c r="D171" s="71">
        <v>-40.236173999999998</v>
      </c>
      <c r="E171" s="72"/>
      <c r="F171" s="72">
        <f>F170</f>
        <v>5978767.8600000003</v>
      </c>
      <c r="G171" s="72"/>
      <c r="H171" s="72"/>
      <c r="I171" s="73" t="s">
        <v>202</v>
      </c>
      <c r="J171" s="57">
        <f t="shared" si="58"/>
        <v>0.755</v>
      </c>
      <c r="K171" s="57"/>
      <c r="L171" s="57"/>
      <c r="M171" s="74">
        <f t="shared" si="47"/>
        <v>7.9281280251168859E-2</v>
      </c>
      <c r="N171" s="74">
        <f t="shared" si="48"/>
        <v>3.7497902821498785E-2</v>
      </c>
      <c r="O171" s="74">
        <f t="shared" si="49"/>
        <v>5.6782538558269582E-3</v>
      </c>
    </row>
    <row r="172" spans="1:15" s="33" customFormat="1" ht="15" customHeight="1" x14ac:dyDescent="0.25">
      <c r="A172" s="95"/>
      <c r="B172" s="40" t="s">
        <v>214</v>
      </c>
      <c r="C172" s="71">
        <v>-20.273147000000002</v>
      </c>
      <c r="D172" s="71">
        <v>-40.237459000000001</v>
      </c>
      <c r="E172" s="72"/>
      <c r="F172" s="72">
        <f>F171</f>
        <v>5978767.8600000003</v>
      </c>
      <c r="G172" s="72"/>
      <c r="H172" s="72"/>
      <c r="I172" s="73" t="s">
        <v>202</v>
      </c>
      <c r="J172" s="57">
        <f t="shared" si="58"/>
        <v>0.755</v>
      </c>
      <c r="K172" s="57"/>
      <c r="L172" s="57"/>
      <c r="M172" s="74">
        <f t="shared" si="47"/>
        <v>7.9281280251168859E-2</v>
      </c>
      <c r="N172" s="74">
        <f t="shared" si="48"/>
        <v>3.7497902821498785E-2</v>
      </c>
      <c r="O172" s="74">
        <f t="shared" si="49"/>
        <v>5.6782538558269582E-3</v>
      </c>
    </row>
    <row r="173" spans="1:15" s="33" customFormat="1" ht="15" customHeight="1" x14ac:dyDescent="0.25">
      <c r="A173" s="95"/>
      <c r="B173" s="40" t="s">
        <v>215</v>
      </c>
      <c r="C173" s="71">
        <v>-20.271668999999999</v>
      </c>
      <c r="D173" s="71">
        <v>-40.239269999999998</v>
      </c>
      <c r="E173" s="72"/>
      <c r="F173" s="72">
        <f>F172</f>
        <v>5978767.8600000003</v>
      </c>
      <c r="G173" s="72"/>
      <c r="H173" s="72"/>
      <c r="I173" s="78"/>
      <c r="J173" s="58"/>
      <c r="K173" s="58"/>
      <c r="L173" s="58"/>
      <c r="M173" s="74">
        <f t="shared" si="47"/>
        <v>0.32359706224966878</v>
      </c>
      <c r="N173" s="74">
        <f t="shared" si="48"/>
        <v>0.15305266457754604</v>
      </c>
      <c r="O173" s="74">
        <f t="shared" si="49"/>
        <v>2.3176546350314117E-2</v>
      </c>
    </row>
    <row r="174" spans="1:15" s="33" customFormat="1" ht="15" customHeight="1" x14ac:dyDescent="0.25">
      <c r="A174" s="92" t="s">
        <v>301</v>
      </c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4"/>
      <c r="M174" s="49">
        <f>SUM(M3:M173)</f>
        <v>39.670283574516958</v>
      </c>
      <c r="N174" s="49">
        <f>SUM(N3:N173)</f>
        <v>18.762971960920186</v>
      </c>
      <c r="O174" s="49">
        <f t="shared" ref="O174" si="59">SUM(O3:O173)</f>
        <v>2.8412500397964813</v>
      </c>
    </row>
    <row r="175" spans="1:15" s="33" customFormat="1" ht="15" customHeight="1" x14ac:dyDescent="0.25">
      <c r="A175" s="34"/>
      <c r="E175" s="27"/>
      <c r="F175" s="27"/>
      <c r="G175" s="27"/>
      <c r="H175" s="27"/>
      <c r="J175" s="50"/>
      <c r="L175" s="50"/>
      <c r="M175" s="28"/>
      <c r="N175" s="28"/>
      <c r="O175" s="28"/>
    </row>
    <row r="176" spans="1:15" s="33" customFormat="1" ht="15" customHeight="1" x14ac:dyDescent="0.25">
      <c r="A176" s="34"/>
      <c r="E176" s="27"/>
      <c r="F176" s="27"/>
      <c r="G176" s="27"/>
      <c r="H176" s="27"/>
      <c r="J176" s="50"/>
      <c r="L176" s="50"/>
      <c r="M176" s="28"/>
      <c r="N176" s="28"/>
      <c r="O176" s="28"/>
    </row>
    <row r="177" spans="1:15" ht="15" customHeight="1" x14ac:dyDescent="0.25">
      <c r="A177" s="32" t="s">
        <v>200</v>
      </c>
      <c r="B177" s="79">
        <v>4.1938000000000004</v>
      </c>
      <c r="C177" s="36"/>
    </row>
    <row r="179" spans="1:15" ht="15" customHeight="1" x14ac:dyDescent="0.25">
      <c r="A179" s="88" t="s">
        <v>198</v>
      </c>
      <c r="B179" s="88" t="s">
        <v>199</v>
      </c>
      <c r="C179" s="88" t="s">
        <v>235</v>
      </c>
      <c r="D179" s="88"/>
      <c r="E179" s="88"/>
      <c r="I179" s="26"/>
      <c r="J179" s="50"/>
      <c r="K179" s="33"/>
      <c r="L179" s="50"/>
    </row>
    <row r="180" spans="1:15" ht="15" customHeight="1" x14ac:dyDescent="0.25">
      <c r="A180" s="88"/>
      <c r="B180" s="88"/>
      <c r="C180" s="46" t="s">
        <v>191</v>
      </c>
      <c r="D180" s="46" t="s">
        <v>192</v>
      </c>
      <c r="E180" s="47" t="s">
        <v>193</v>
      </c>
      <c r="F180" s="44"/>
      <c r="I180" s="26"/>
      <c r="J180" s="50"/>
      <c r="K180" s="33"/>
      <c r="L180" s="50"/>
    </row>
    <row r="181" spans="1:15" ht="15" customHeight="1" x14ac:dyDescent="0.25">
      <c r="A181" s="41" t="s">
        <v>76</v>
      </c>
      <c r="B181" s="80">
        <v>7.3283333333333323</v>
      </c>
      <c r="C181" s="73">
        <f>0.74*0.0016*(($B$177/2.2)^1.3)/(($B181/2)^1.4)</f>
        <v>4.4465884941444992E-4</v>
      </c>
      <c r="D181" s="73">
        <f>0.35*0.0016*(($B$177/2.2)^1.3)/(($B181/2)^1.4)</f>
        <v>2.1031161796629386E-4</v>
      </c>
      <c r="E181" s="73">
        <f>0.053*0.0016*(($B$177/2.2)^1.3)/(($B181/2)^1.4)</f>
        <v>3.1847187863467358E-5</v>
      </c>
      <c r="I181" s="26"/>
      <c r="J181" s="50"/>
      <c r="K181" s="33"/>
      <c r="L181" s="50"/>
    </row>
    <row r="182" spans="1:15" ht="15" customHeight="1" x14ac:dyDescent="0.25">
      <c r="A182" s="41" t="s">
        <v>50</v>
      </c>
      <c r="B182" s="80">
        <v>7</v>
      </c>
      <c r="C182" s="73">
        <f t="shared" ref="C182:C184" si="60">0.74*0.0016*(($B$177/2.2)^1.3)/(($B182/2)^1.4)</f>
        <v>4.7412950823400902E-4</v>
      </c>
      <c r="D182" s="73">
        <f t="shared" ref="D182:D184" si="61">0.35*0.0016*(($B$177/2.2)^1.3)/(($B182/2)^1.4)</f>
        <v>2.2425044308365291E-4</v>
      </c>
      <c r="E182" s="73">
        <f t="shared" ref="E182:E184" si="62">0.053*0.0016*(($B$177/2.2)^1.3)/(($B182/2)^1.4)</f>
        <v>3.395792423838173E-5</v>
      </c>
      <c r="I182" s="26"/>
      <c r="J182" s="50"/>
      <c r="K182" s="33"/>
      <c r="L182" s="50"/>
    </row>
    <row r="183" spans="1:15" ht="15" customHeight="1" x14ac:dyDescent="0.25">
      <c r="A183" s="41" t="s">
        <v>94</v>
      </c>
      <c r="B183" s="80">
        <v>5</v>
      </c>
      <c r="C183" s="73">
        <f t="shared" si="60"/>
        <v>7.5940986616651965E-4</v>
      </c>
      <c r="D183" s="73">
        <f t="shared" si="61"/>
        <v>3.5918034210578631E-4</v>
      </c>
      <c r="E183" s="73">
        <f t="shared" si="62"/>
        <v>5.4390166090304791E-5</v>
      </c>
      <c r="I183" s="26"/>
      <c r="J183" s="50"/>
      <c r="K183" s="33"/>
      <c r="L183" s="50"/>
    </row>
    <row r="184" spans="1:15" ht="15" customHeight="1" x14ac:dyDescent="0.25">
      <c r="A184" s="41" t="s">
        <v>77</v>
      </c>
      <c r="B184" s="80">
        <v>3.0549999999999997</v>
      </c>
      <c r="C184" s="73">
        <f t="shared" si="60"/>
        <v>1.5136258664422936E-3</v>
      </c>
      <c r="D184" s="73">
        <f t="shared" si="61"/>
        <v>7.1590412602000363E-4</v>
      </c>
      <c r="E184" s="73">
        <f t="shared" si="62"/>
        <v>1.0840833908302913E-4</v>
      </c>
      <c r="I184" s="26"/>
      <c r="J184" s="50"/>
      <c r="K184" s="33"/>
      <c r="L184" s="50"/>
    </row>
    <row r="185" spans="1:15" ht="15" customHeight="1" x14ac:dyDescent="0.25">
      <c r="I185" s="26"/>
      <c r="J185" s="50"/>
      <c r="K185" s="33"/>
      <c r="L185" s="50"/>
    </row>
    <row r="186" spans="1:15" ht="15" customHeight="1" x14ac:dyDescent="0.25">
      <c r="I186" s="26"/>
      <c r="J186" s="50"/>
      <c r="K186" s="33"/>
      <c r="L186" s="50"/>
    </row>
    <row r="187" spans="1:15" ht="15" customHeight="1" x14ac:dyDescent="0.25">
      <c r="I187" s="26"/>
      <c r="J187" s="50"/>
      <c r="K187" s="33"/>
      <c r="L187" s="50"/>
    </row>
    <row r="188" spans="1:15" ht="15" customHeight="1" x14ac:dyDescent="0.25">
      <c r="C188" s="26"/>
      <c r="D188" s="26"/>
      <c r="I188" s="26"/>
      <c r="J188" s="50"/>
      <c r="K188" s="33"/>
      <c r="L188" s="50"/>
    </row>
    <row r="189" spans="1:15" ht="15" customHeight="1" x14ac:dyDescent="0.25">
      <c r="A189" s="85" t="s">
        <v>234</v>
      </c>
      <c r="B189" s="85"/>
      <c r="C189" s="85"/>
      <c r="D189" s="85"/>
      <c r="E189" s="89"/>
      <c r="F189" s="89"/>
      <c r="G189" s="89"/>
      <c r="H189" s="89"/>
      <c r="I189" s="89"/>
      <c r="J189" s="85" t="s">
        <v>222</v>
      </c>
      <c r="K189" s="85"/>
      <c r="L189" s="85"/>
      <c r="M189" s="85"/>
      <c r="N189" s="85"/>
      <c r="O189" s="85"/>
    </row>
    <row r="190" spans="1:15" ht="15" customHeight="1" x14ac:dyDescent="0.25">
      <c r="A190" s="86"/>
      <c r="B190" s="86"/>
      <c r="C190" s="86"/>
      <c r="D190" s="86"/>
      <c r="E190" s="90"/>
      <c r="F190" s="90"/>
      <c r="G190" s="90"/>
      <c r="H190" s="90"/>
      <c r="I190" s="90"/>
      <c r="J190" s="86"/>
      <c r="K190" s="86"/>
      <c r="L190" s="86"/>
      <c r="M190" s="86"/>
      <c r="N190" s="86"/>
      <c r="O190" s="86"/>
    </row>
    <row r="191" spans="1:15" ht="15" customHeight="1" x14ac:dyDescent="0.25">
      <c r="A191" s="86"/>
      <c r="B191" s="86"/>
      <c r="C191" s="86"/>
      <c r="D191" s="86"/>
      <c r="E191" s="90"/>
      <c r="F191" s="90"/>
      <c r="G191" s="90"/>
      <c r="H191" s="90"/>
      <c r="I191" s="90"/>
      <c r="J191" s="86"/>
      <c r="K191" s="86"/>
      <c r="L191" s="86"/>
      <c r="M191" s="86"/>
      <c r="N191" s="86"/>
      <c r="O191" s="86"/>
    </row>
    <row r="192" spans="1:15" ht="15" customHeight="1" x14ac:dyDescent="0.25">
      <c r="A192" s="86"/>
      <c r="B192" s="86"/>
      <c r="C192" s="86"/>
      <c r="D192" s="86"/>
      <c r="E192" s="90"/>
      <c r="F192" s="90"/>
      <c r="G192" s="90"/>
      <c r="H192" s="90"/>
      <c r="I192" s="90"/>
      <c r="J192" s="86"/>
      <c r="K192" s="86"/>
      <c r="L192" s="86"/>
      <c r="M192" s="86"/>
      <c r="N192" s="86"/>
      <c r="O192" s="86"/>
    </row>
    <row r="193" spans="1:15" ht="15" customHeight="1" x14ac:dyDescent="0.25">
      <c r="A193" s="87"/>
      <c r="B193" s="87"/>
      <c r="C193" s="87"/>
      <c r="D193" s="87"/>
      <c r="E193" s="91"/>
      <c r="F193" s="91"/>
      <c r="G193" s="91"/>
      <c r="H193" s="91"/>
      <c r="I193" s="91"/>
      <c r="J193" s="87"/>
      <c r="K193" s="87"/>
      <c r="L193" s="87"/>
      <c r="M193" s="87"/>
      <c r="N193" s="87"/>
      <c r="O193" s="87"/>
    </row>
    <row r="194" spans="1:15" ht="15" customHeight="1" x14ac:dyDescent="0.25">
      <c r="A194" s="55" t="s">
        <v>223</v>
      </c>
      <c r="E194" s="33"/>
      <c r="F194" s="33"/>
      <c r="G194" s="33"/>
      <c r="H194" s="45"/>
      <c r="I194" s="26"/>
      <c r="J194" s="50"/>
      <c r="K194" s="33"/>
      <c r="L194" s="50"/>
    </row>
    <row r="195" spans="1:15" ht="15" customHeight="1" x14ac:dyDescent="0.25">
      <c r="A195" s="44" t="s">
        <v>224</v>
      </c>
      <c r="B195" s="34" t="s">
        <v>225</v>
      </c>
      <c r="E195" s="33"/>
      <c r="F195" s="33"/>
      <c r="G195" s="33"/>
      <c r="H195" s="45"/>
      <c r="I195" s="26"/>
      <c r="J195" s="60"/>
      <c r="K195" s="45"/>
      <c r="L195" s="60"/>
      <c r="M195" s="33"/>
    </row>
    <row r="196" spans="1:15" ht="15" customHeight="1" x14ac:dyDescent="0.25">
      <c r="A196" s="44" t="s">
        <v>226</v>
      </c>
      <c r="B196" s="34" t="s">
        <v>227</v>
      </c>
      <c r="E196" s="33"/>
      <c r="F196" s="33"/>
      <c r="G196" s="33"/>
      <c r="H196" s="45"/>
      <c r="I196" s="26"/>
      <c r="J196" s="60"/>
      <c r="K196" s="45"/>
      <c r="L196" s="60"/>
      <c r="M196" s="33"/>
    </row>
    <row r="197" spans="1:15" ht="15" customHeight="1" x14ac:dyDescent="0.25">
      <c r="A197" s="44" t="s">
        <v>228</v>
      </c>
      <c r="B197" s="34" t="s">
        <v>229</v>
      </c>
      <c r="E197" s="33"/>
      <c r="F197" s="33"/>
      <c r="G197" s="33"/>
      <c r="H197" s="45"/>
      <c r="I197" s="26"/>
      <c r="J197" s="60"/>
      <c r="K197" s="45"/>
      <c r="L197" s="60"/>
      <c r="M197" s="33"/>
    </row>
    <row r="198" spans="1:15" ht="15" customHeight="1" x14ac:dyDescent="0.25">
      <c r="A198" s="44" t="s">
        <v>230</v>
      </c>
      <c r="B198" s="34" t="s">
        <v>231</v>
      </c>
      <c r="E198" s="33"/>
      <c r="F198" s="33"/>
      <c r="G198" s="33"/>
      <c r="H198" s="45"/>
      <c r="I198" s="26"/>
      <c r="J198" s="60"/>
      <c r="K198" s="45"/>
      <c r="L198" s="60"/>
      <c r="M198" s="33"/>
    </row>
    <row r="199" spans="1:15" ht="15" customHeight="1" x14ac:dyDescent="0.25">
      <c r="A199" s="44" t="s">
        <v>232</v>
      </c>
      <c r="B199" s="34" t="s">
        <v>233</v>
      </c>
    </row>
  </sheetData>
  <sheetProtection password="B056" sheet="1" objects="1" scenarios="1"/>
  <mergeCells count="38">
    <mergeCell ref="M1:O1"/>
    <mergeCell ref="A108:A110"/>
    <mergeCell ref="A111:A132"/>
    <mergeCell ref="A62:A66"/>
    <mergeCell ref="A67:A81"/>
    <mergeCell ref="A82:A84"/>
    <mergeCell ref="B1:B2"/>
    <mergeCell ref="A1:A2"/>
    <mergeCell ref="A85:A89"/>
    <mergeCell ref="A90:A105"/>
    <mergeCell ref="A106:A107"/>
    <mergeCell ref="A42:A46"/>
    <mergeCell ref="A47:A60"/>
    <mergeCell ref="K1:L1"/>
    <mergeCell ref="A133:A144"/>
    <mergeCell ref="A145:A157"/>
    <mergeCell ref="A3:A4"/>
    <mergeCell ref="E1:H1"/>
    <mergeCell ref="I1:J1"/>
    <mergeCell ref="C1:C2"/>
    <mergeCell ref="D1:D2"/>
    <mergeCell ref="A34:A41"/>
    <mergeCell ref="A5:A8"/>
    <mergeCell ref="A9:A11"/>
    <mergeCell ref="A12:A14"/>
    <mergeCell ref="A15:A26"/>
    <mergeCell ref="A27:A31"/>
    <mergeCell ref="A32:A33"/>
    <mergeCell ref="J189:O193"/>
    <mergeCell ref="A174:L174"/>
    <mergeCell ref="A158:A164"/>
    <mergeCell ref="A165:A169"/>
    <mergeCell ref="A170:A173"/>
    <mergeCell ref="A189:D193"/>
    <mergeCell ref="A179:A180"/>
    <mergeCell ref="B179:B180"/>
    <mergeCell ref="C179:E179"/>
    <mergeCell ref="E189:I19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79"/>
  <sheetViews>
    <sheetView showGridLines="0" zoomScale="70" zoomScaleNormal="70" workbookViewId="0">
      <selection activeCell="Q28" sqref="Q28"/>
    </sheetView>
  </sheetViews>
  <sheetFormatPr defaultColWidth="9.140625" defaultRowHeight="15" customHeight="1" x14ac:dyDescent="0.25"/>
  <cols>
    <col min="1" max="20" width="9.140625" style="22"/>
    <col min="21" max="21" width="13.7109375" style="22" customWidth="1"/>
    <col min="22" max="22" width="9.140625" style="22"/>
    <col min="23" max="23" width="13.5703125" style="22" customWidth="1"/>
    <col min="24" max="24" width="13.5703125" style="22" bestFit="1" customWidth="1"/>
    <col min="25" max="16384" width="9.140625" style="22"/>
  </cols>
  <sheetData>
    <row r="3" spans="12:21" ht="15" customHeight="1" x14ac:dyDescent="0.25">
      <c r="L3" s="19" t="s">
        <v>83</v>
      </c>
      <c r="N3" s="19" t="s">
        <v>85</v>
      </c>
      <c r="P3" s="19" t="s">
        <v>84</v>
      </c>
    </row>
    <row r="4" spans="12:21" ht="15" customHeight="1" x14ac:dyDescent="0.25">
      <c r="L4" s="20">
        <f>Materiais!F10</f>
        <v>844344.68500000006</v>
      </c>
      <c r="N4" s="20">
        <f>Materiais!F12</f>
        <v>3792231.3699999996</v>
      </c>
      <c r="P4" s="20">
        <f>Materiais!F11</f>
        <v>2263404.1199999996</v>
      </c>
    </row>
    <row r="14" spans="12:21" ht="15" customHeight="1" x14ac:dyDescent="0.25">
      <c r="M14" s="19" t="s">
        <v>83</v>
      </c>
      <c r="O14" s="19" t="s">
        <v>84</v>
      </c>
    </row>
    <row r="15" spans="12:21" ht="15" customHeight="1" x14ac:dyDescent="0.25">
      <c r="M15" s="20">
        <f>L4</f>
        <v>844344.68500000006</v>
      </c>
      <c r="O15" s="20">
        <f>P4</f>
        <v>2263404.1199999996</v>
      </c>
    </row>
    <row r="16" spans="12:21" ht="15" customHeight="1" x14ac:dyDescent="0.25">
      <c r="U16" s="19" t="s">
        <v>86</v>
      </c>
    </row>
    <row r="17" spans="2:40" ht="15" customHeight="1" x14ac:dyDescent="0.25">
      <c r="U17" s="20">
        <f>U32</f>
        <v>1129047.1510000001</v>
      </c>
      <c r="X17" s="19" t="s">
        <v>87</v>
      </c>
    </row>
    <row r="18" spans="2:40" ht="15" customHeight="1" x14ac:dyDescent="0.25">
      <c r="M18" s="19" t="s">
        <v>85</v>
      </c>
      <c r="X18" s="20">
        <f>W32</f>
        <v>85469.799000000014</v>
      </c>
      <c r="AB18" s="23"/>
      <c r="AL18" s="23"/>
      <c r="AN18" s="23"/>
    </row>
    <row r="19" spans="2:40" ht="15" customHeight="1" x14ac:dyDescent="0.25">
      <c r="M19" s="20">
        <f>N4</f>
        <v>3792231.3699999996</v>
      </c>
    </row>
    <row r="21" spans="2:40" ht="15" customHeight="1" x14ac:dyDescent="0.25">
      <c r="I21" s="19" t="s">
        <v>83</v>
      </c>
      <c r="K21" s="19" t="s">
        <v>85</v>
      </c>
    </row>
    <row r="22" spans="2:40" ht="15" customHeight="1" x14ac:dyDescent="0.25">
      <c r="I22" s="20">
        <f>M15</f>
        <v>844344.68500000006</v>
      </c>
      <c r="K22" s="20">
        <f>M19</f>
        <v>3792231.3699999996</v>
      </c>
    </row>
    <row r="25" spans="2:40" ht="15" customHeight="1" x14ac:dyDescent="0.25">
      <c r="K25" s="19" t="s">
        <v>84</v>
      </c>
    </row>
    <row r="26" spans="2:40" ht="15" customHeight="1" x14ac:dyDescent="0.25">
      <c r="B26" s="23"/>
      <c r="K26" s="20">
        <f>O15</f>
        <v>2263404.1199999996</v>
      </c>
      <c r="AB26" s="23"/>
      <c r="AE26" s="23"/>
      <c r="AG26" s="23"/>
      <c r="AL26" s="23"/>
      <c r="AN26" s="23"/>
    </row>
    <row r="27" spans="2:40" ht="15" customHeight="1" x14ac:dyDescent="0.25">
      <c r="K27" s="23"/>
    </row>
    <row r="31" spans="2:40" ht="15" customHeight="1" x14ac:dyDescent="0.25">
      <c r="U31" s="19" t="s">
        <v>86</v>
      </c>
      <c r="V31" s="24"/>
      <c r="W31" s="19" t="s">
        <v>87</v>
      </c>
    </row>
    <row r="32" spans="2:40" ht="15" customHeight="1" x14ac:dyDescent="0.25">
      <c r="U32" s="20">
        <f>Materiais!F13</f>
        <v>1129047.1510000001</v>
      </c>
      <c r="V32" s="24"/>
      <c r="W32" s="20">
        <f>Materiais!F14</f>
        <v>85469.799000000014</v>
      </c>
    </row>
    <row r="34" spans="2:38" ht="15" customHeight="1" x14ac:dyDescent="0.25">
      <c r="AL34" s="23"/>
    </row>
    <row r="37" spans="2:38" ht="15" customHeight="1" x14ac:dyDescent="0.25">
      <c r="B37" s="23"/>
      <c r="AE37" s="23"/>
    </row>
    <row r="46" spans="2:38" ht="15" customHeight="1" x14ac:dyDescent="0.25">
      <c r="B46" s="23"/>
    </row>
    <row r="47" spans="2:38" ht="15" customHeight="1" x14ac:dyDescent="0.25">
      <c r="AF47" s="23"/>
    </row>
    <row r="51" spans="7:34" ht="15" customHeight="1" x14ac:dyDescent="0.25">
      <c r="G51" s="23"/>
      <c r="Y51" s="23"/>
      <c r="AH51" s="23"/>
    </row>
    <row r="52" spans="7:34" ht="15" customHeight="1" x14ac:dyDescent="0.25">
      <c r="AF52" s="23"/>
      <c r="AH52" s="23"/>
    </row>
    <row r="53" spans="7:34" ht="15" customHeight="1" x14ac:dyDescent="0.25">
      <c r="AF53" s="23"/>
      <c r="AH53" s="23"/>
    </row>
    <row r="56" spans="7:34" ht="15" customHeight="1" x14ac:dyDescent="0.25">
      <c r="G56" s="23"/>
    </row>
    <row r="63" spans="7:34" ht="15" customHeight="1" x14ac:dyDescent="0.25">
      <c r="I63" s="23"/>
      <c r="K63" s="23"/>
      <c r="O63" s="23"/>
      <c r="S63" s="23"/>
      <c r="U63" s="23"/>
      <c r="W63" s="23"/>
      <c r="AC63" s="23"/>
    </row>
    <row r="65" spans="1:38" ht="15" customHeight="1" x14ac:dyDescent="0.25">
      <c r="AL65" s="23"/>
    </row>
    <row r="68" spans="1:38" ht="15" customHeight="1" x14ac:dyDescent="0.25">
      <c r="A68" s="23"/>
    </row>
    <row r="79" spans="1:38" ht="15" customHeight="1" x14ac:dyDescent="0.25">
      <c r="A79" s="84"/>
      <c r="B79" s="84"/>
    </row>
  </sheetData>
  <sheetProtection password="B056" sheet="1" objects="1" scenarios="1"/>
  <mergeCells count="1">
    <mergeCell ref="A79:B79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topLeftCell="A4" workbookViewId="0">
      <selection activeCell="B30" sqref="B30"/>
    </sheetView>
  </sheetViews>
  <sheetFormatPr defaultRowHeight="15" customHeight="1" x14ac:dyDescent="0.25"/>
  <cols>
    <col min="1" max="1" width="37.5703125" style="33" customWidth="1"/>
    <col min="2" max="2" width="23.28515625" style="33" customWidth="1"/>
    <col min="3" max="4" width="11.28515625" style="33" customWidth="1"/>
    <col min="5" max="5" width="12" style="33" customWidth="1"/>
    <col min="6" max="7" width="9.5703125" style="33" customWidth="1"/>
    <col min="8" max="8" width="10.7109375" style="33" customWidth="1"/>
    <col min="9" max="9" width="14.28515625" style="33" customWidth="1"/>
    <col min="10" max="10" width="16.5703125" style="33" customWidth="1"/>
    <col min="11" max="14" width="9.42578125" style="33" customWidth="1"/>
    <col min="15" max="17" width="8.5703125" style="33" customWidth="1"/>
    <col min="18" max="16384" width="9.140625" style="33"/>
  </cols>
  <sheetData>
    <row r="1" spans="1:17" ht="15" customHeight="1" x14ac:dyDescent="0.25">
      <c r="A1" s="99" t="s">
        <v>88</v>
      </c>
      <c r="B1" s="99" t="s">
        <v>93</v>
      </c>
      <c r="C1" s="96" t="s">
        <v>299</v>
      </c>
      <c r="D1" s="96" t="s">
        <v>300</v>
      </c>
      <c r="E1" s="105" t="s">
        <v>190</v>
      </c>
      <c r="F1" s="106"/>
      <c r="G1" s="106"/>
      <c r="H1" s="106"/>
      <c r="I1" s="107"/>
      <c r="J1" s="99" t="s">
        <v>195</v>
      </c>
      <c r="K1" s="99"/>
      <c r="L1" s="99" t="s">
        <v>245</v>
      </c>
      <c r="M1" s="99"/>
      <c r="N1" s="99"/>
      <c r="O1" s="99" t="s">
        <v>194</v>
      </c>
      <c r="P1" s="99"/>
      <c r="Q1" s="99"/>
    </row>
    <row r="2" spans="1:17" ht="15" customHeight="1" x14ac:dyDescent="0.25">
      <c r="A2" s="99"/>
      <c r="B2" s="99"/>
      <c r="C2" s="96"/>
      <c r="D2" s="96"/>
      <c r="E2" s="68" t="s">
        <v>237</v>
      </c>
      <c r="F2" s="68" t="s">
        <v>85</v>
      </c>
      <c r="G2" s="68" t="s">
        <v>84</v>
      </c>
      <c r="H2" s="68" t="s">
        <v>86</v>
      </c>
      <c r="I2" s="68" t="s">
        <v>249</v>
      </c>
      <c r="J2" s="69" t="s">
        <v>196</v>
      </c>
      <c r="K2" s="70" t="s">
        <v>197</v>
      </c>
      <c r="L2" s="68" t="s">
        <v>191</v>
      </c>
      <c r="M2" s="68" t="s">
        <v>297</v>
      </c>
      <c r="N2" s="68" t="s">
        <v>298</v>
      </c>
      <c r="O2" s="68" t="s">
        <v>191</v>
      </c>
      <c r="P2" s="68" t="s">
        <v>297</v>
      </c>
      <c r="Q2" s="68" t="s">
        <v>298</v>
      </c>
    </row>
    <row r="3" spans="1:17" ht="15" customHeight="1" x14ac:dyDescent="0.25">
      <c r="A3" s="102" t="s">
        <v>246</v>
      </c>
      <c r="B3" s="100" t="s">
        <v>236</v>
      </c>
      <c r="C3" s="102">
        <v>-20.287562000000001</v>
      </c>
      <c r="D3" s="102">
        <v>-40.239158000000003</v>
      </c>
      <c r="E3" s="81">
        <f>'TPD - Rota'!L4</f>
        <v>844344.68500000006</v>
      </c>
      <c r="F3" s="81">
        <f>'TPD - Rota'!N4</f>
        <v>3792231.3699999996</v>
      </c>
      <c r="G3" s="81">
        <f>'TPD - Rota'!P4</f>
        <v>2263404.1199999996</v>
      </c>
      <c r="H3" s="81"/>
      <c r="I3" s="81"/>
      <c r="J3" s="56" t="s">
        <v>238</v>
      </c>
      <c r="K3" s="53">
        <v>0.95</v>
      </c>
      <c r="L3" s="56">
        <f>0.032/2</f>
        <v>1.6E-2</v>
      </c>
      <c r="M3" s="56">
        <f>0.0078/2</f>
        <v>3.8999999999999998E-3</v>
      </c>
      <c r="N3" s="56">
        <f>0.0013/2</f>
        <v>6.4999999999999997E-4</v>
      </c>
      <c r="O3" s="74">
        <f>(L3*SUM($E3:$G3)/8760)*(1-$K3)</f>
        <v>0.63013517579908729</v>
      </c>
      <c r="P3" s="74">
        <f>(M3*SUM($E3:$G3)/8760)*(1-$K3)</f>
        <v>0.15359544910102749</v>
      </c>
      <c r="Q3" s="74">
        <f>(N3*SUM($E3:$G3)/8760)*(1-$K3)</f>
        <v>2.5599241516837918E-2</v>
      </c>
    </row>
    <row r="4" spans="1:17" ht="15" customHeight="1" x14ac:dyDescent="0.25">
      <c r="A4" s="103"/>
      <c r="B4" s="101"/>
      <c r="C4" s="104"/>
      <c r="D4" s="104"/>
      <c r="E4" s="81">
        <f>E3</f>
        <v>844344.68500000006</v>
      </c>
      <c r="F4" s="81">
        <f>F3</f>
        <v>3792231.3699999996</v>
      </c>
      <c r="G4" s="81">
        <f>G3</f>
        <v>2263404.1199999996</v>
      </c>
      <c r="H4" s="81"/>
      <c r="I4" s="81"/>
      <c r="J4" s="56" t="s">
        <v>238</v>
      </c>
      <c r="K4" s="53">
        <v>0.95</v>
      </c>
      <c r="L4" s="56">
        <f>0.061/2</f>
        <v>3.0499999999999999E-2</v>
      </c>
      <c r="M4" s="56">
        <f>0.034/2</f>
        <v>1.7000000000000001E-2</v>
      </c>
      <c r="N4" s="56">
        <f>0.0058/2</f>
        <v>2.8999999999999998E-3</v>
      </c>
      <c r="O4" s="74">
        <f t="shared" ref="O4:O16" si="0">(L4*SUM($E4:$G4)/8760)*(1-$K4)</f>
        <v>1.2011951788670099</v>
      </c>
      <c r="P4" s="74">
        <f t="shared" ref="P4:P16" si="1">(M4*SUM($E4:$G4)/8760)*(1-$K4)</f>
        <v>0.6695186242865302</v>
      </c>
      <c r="Q4" s="74">
        <f t="shared" ref="Q4:Q16" si="2">(N4*SUM($E4:$G4)/8760)*(1-$K4)</f>
        <v>0.11421200061358455</v>
      </c>
    </row>
    <row r="5" spans="1:17" ht="15" customHeight="1" x14ac:dyDescent="0.25">
      <c r="A5" s="103"/>
      <c r="B5" s="101"/>
      <c r="C5" s="104"/>
      <c r="D5" s="104"/>
      <c r="E5" s="81">
        <f t="shared" ref="E5:E16" si="3">E4</f>
        <v>844344.68500000006</v>
      </c>
      <c r="F5" s="81">
        <f t="shared" ref="F5:F16" si="4">F4</f>
        <v>3792231.3699999996</v>
      </c>
      <c r="G5" s="81">
        <f t="shared" ref="G5:G16" si="5">G4</f>
        <v>2263404.1199999996</v>
      </c>
      <c r="H5" s="81"/>
      <c r="I5" s="81"/>
      <c r="J5" s="56" t="s">
        <v>238</v>
      </c>
      <c r="K5" s="53">
        <v>0.95</v>
      </c>
      <c r="L5" s="56">
        <f t="shared" ref="L5:L15" si="6">0.061/2</f>
        <v>3.0499999999999999E-2</v>
      </c>
      <c r="M5" s="56">
        <f t="shared" ref="M5:M15" si="7">0.034/2</f>
        <v>1.7000000000000001E-2</v>
      </c>
      <c r="N5" s="56">
        <f t="shared" ref="N5:N15" si="8">0.0058/2</f>
        <v>2.8999999999999998E-3</v>
      </c>
      <c r="O5" s="74">
        <f t="shared" si="0"/>
        <v>1.2011951788670099</v>
      </c>
      <c r="P5" s="74">
        <f t="shared" si="1"/>
        <v>0.6695186242865302</v>
      </c>
      <c r="Q5" s="74">
        <f t="shared" si="2"/>
        <v>0.11421200061358455</v>
      </c>
    </row>
    <row r="6" spans="1:17" ht="15" customHeight="1" x14ac:dyDescent="0.25">
      <c r="A6" s="103"/>
      <c r="B6" s="101"/>
      <c r="C6" s="104"/>
      <c r="D6" s="104"/>
      <c r="E6" s="81">
        <f t="shared" si="3"/>
        <v>844344.68500000006</v>
      </c>
      <c r="F6" s="81">
        <f t="shared" si="4"/>
        <v>3792231.3699999996</v>
      </c>
      <c r="G6" s="81">
        <f t="shared" si="5"/>
        <v>2263404.1199999996</v>
      </c>
      <c r="H6" s="81"/>
      <c r="I6" s="81"/>
      <c r="J6" s="56" t="s">
        <v>238</v>
      </c>
      <c r="K6" s="53">
        <v>0.95</v>
      </c>
      <c r="L6" s="56">
        <f t="shared" si="6"/>
        <v>3.0499999999999999E-2</v>
      </c>
      <c r="M6" s="56">
        <f t="shared" si="7"/>
        <v>1.7000000000000001E-2</v>
      </c>
      <c r="N6" s="56">
        <f t="shared" si="8"/>
        <v>2.8999999999999998E-3</v>
      </c>
      <c r="O6" s="74">
        <f t="shared" si="0"/>
        <v>1.2011951788670099</v>
      </c>
      <c r="P6" s="74">
        <f t="shared" si="1"/>
        <v>0.6695186242865302</v>
      </c>
      <c r="Q6" s="74">
        <f t="shared" si="2"/>
        <v>0.11421200061358455</v>
      </c>
    </row>
    <row r="7" spans="1:17" ht="15" customHeight="1" x14ac:dyDescent="0.25">
      <c r="A7" s="103"/>
      <c r="B7" s="101"/>
      <c r="C7" s="104"/>
      <c r="D7" s="104"/>
      <c r="E7" s="81">
        <f t="shared" si="3"/>
        <v>844344.68500000006</v>
      </c>
      <c r="F7" s="81">
        <f t="shared" si="4"/>
        <v>3792231.3699999996</v>
      </c>
      <c r="G7" s="81">
        <f t="shared" si="5"/>
        <v>2263404.1199999996</v>
      </c>
      <c r="H7" s="81"/>
      <c r="I7" s="81"/>
      <c r="J7" s="56" t="s">
        <v>238</v>
      </c>
      <c r="K7" s="53">
        <v>0.95</v>
      </c>
      <c r="L7" s="56">
        <f t="shared" si="6"/>
        <v>3.0499999999999999E-2</v>
      </c>
      <c r="M7" s="56">
        <f t="shared" si="7"/>
        <v>1.7000000000000001E-2</v>
      </c>
      <c r="N7" s="56">
        <f t="shared" si="8"/>
        <v>2.8999999999999998E-3</v>
      </c>
      <c r="O7" s="74">
        <f t="shared" si="0"/>
        <v>1.2011951788670099</v>
      </c>
      <c r="P7" s="74">
        <f t="shared" si="1"/>
        <v>0.6695186242865302</v>
      </c>
      <c r="Q7" s="74">
        <f t="shared" si="2"/>
        <v>0.11421200061358455</v>
      </c>
    </row>
    <row r="8" spans="1:17" ht="15" customHeight="1" x14ac:dyDescent="0.25">
      <c r="A8" s="103"/>
      <c r="B8" s="101"/>
      <c r="C8" s="104"/>
      <c r="D8" s="104"/>
      <c r="E8" s="81">
        <f t="shared" si="3"/>
        <v>844344.68500000006</v>
      </c>
      <c r="F8" s="81">
        <f t="shared" si="4"/>
        <v>3792231.3699999996</v>
      </c>
      <c r="G8" s="81">
        <f t="shared" si="5"/>
        <v>2263404.1199999996</v>
      </c>
      <c r="H8" s="81"/>
      <c r="I8" s="81"/>
      <c r="J8" s="56" t="s">
        <v>238</v>
      </c>
      <c r="K8" s="53">
        <v>0.95</v>
      </c>
      <c r="L8" s="56">
        <f t="shared" si="6"/>
        <v>3.0499999999999999E-2</v>
      </c>
      <c r="M8" s="56">
        <f t="shared" si="7"/>
        <v>1.7000000000000001E-2</v>
      </c>
      <c r="N8" s="56">
        <f t="shared" si="8"/>
        <v>2.8999999999999998E-3</v>
      </c>
      <c r="O8" s="74">
        <f t="shared" si="0"/>
        <v>1.2011951788670099</v>
      </c>
      <c r="P8" s="74">
        <f t="shared" si="1"/>
        <v>0.6695186242865302</v>
      </c>
      <c r="Q8" s="74">
        <f t="shared" si="2"/>
        <v>0.11421200061358455</v>
      </c>
    </row>
    <row r="9" spans="1:17" ht="15" customHeight="1" x14ac:dyDescent="0.25">
      <c r="A9" s="103"/>
      <c r="B9" s="101"/>
      <c r="C9" s="104"/>
      <c r="D9" s="104"/>
      <c r="E9" s="81">
        <f t="shared" si="3"/>
        <v>844344.68500000006</v>
      </c>
      <c r="F9" s="81">
        <f t="shared" si="4"/>
        <v>3792231.3699999996</v>
      </c>
      <c r="G9" s="81">
        <f t="shared" si="5"/>
        <v>2263404.1199999996</v>
      </c>
      <c r="H9" s="81"/>
      <c r="I9" s="81"/>
      <c r="J9" s="56" t="s">
        <v>238</v>
      </c>
      <c r="K9" s="53">
        <v>0.95</v>
      </c>
      <c r="L9" s="56">
        <f t="shared" si="6"/>
        <v>3.0499999999999999E-2</v>
      </c>
      <c r="M9" s="56">
        <f t="shared" si="7"/>
        <v>1.7000000000000001E-2</v>
      </c>
      <c r="N9" s="56">
        <f t="shared" si="8"/>
        <v>2.8999999999999998E-3</v>
      </c>
      <c r="O9" s="74">
        <f t="shared" si="0"/>
        <v>1.2011951788670099</v>
      </c>
      <c r="P9" s="74">
        <f t="shared" si="1"/>
        <v>0.6695186242865302</v>
      </c>
      <c r="Q9" s="74">
        <f t="shared" si="2"/>
        <v>0.11421200061358455</v>
      </c>
    </row>
    <row r="10" spans="1:17" ht="15" customHeight="1" x14ac:dyDescent="0.25">
      <c r="A10" s="103"/>
      <c r="B10" s="101"/>
      <c r="C10" s="104"/>
      <c r="D10" s="104"/>
      <c r="E10" s="81">
        <f t="shared" si="3"/>
        <v>844344.68500000006</v>
      </c>
      <c r="F10" s="81">
        <f t="shared" si="4"/>
        <v>3792231.3699999996</v>
      </c>
      <c r="G10" s="81">
        <f t="shared" si="5"/>
        <v>2263404.1199999996</v>
      </c>
      <c r="H10" s="81"/>
      <c r="I10" s="81"/>
      <c r="J10" s="56" t="s">
        <v>238</v>
      </c>
      <c r="K10" s="53">
        <v>0.95</v>
      </c>
      <c r="L10" s="56">
        <f t="shared" si="6"/>
        <v>3.0499999999999999E-2</v>
      </c>
      <c r="M10" s="56">
        <f t="shared" si="7"/>
        <v>1.7000000000000001E-2</v>
      </c>
      <c r="N10" s="56">
        <f t="shared" si="8"/>
        <v>2.8999999999999998E-3</v>
      </c>
      <c r="O10" s="74">
        <f t="shared" si="0"/>
        <v>1.2011951788670099</v>
      </c>
      <c r="P10" s="74">
        <f t="shared" si="1"/>
        <v>0.6695186242865302</v>
      </c>
      <c r="Q10" s="74">
        <f t="shared" si="2"/>
        <v>0.11421200061358455</v>
      </c>
    </row>
    <row r="11" spans="1:17" ht="15" customHeight="1" x14ac:dyDescent="0.25">
      <c r="A11" s="103"/>
      <c r="B11" s="33" t="s">
        <v>239</v>
      </c>
      <c r="C11" s="56">
        <v>-20.289719999999999</v>
      </c>
      <c r="D11" s="56">
        <v>-40.242359</v>
      </c>
      <c r="E11" s="81">
        <f t="shared" si="3"/>
        <v>844344.68500000006</v>
      </c>
      <c r="F11" s="81">
        <f t="shared" si="4"/>
        <v>3792231.3699999996</v>
      </c>
      <c r="G11" s="81">
        <f t="shared" si="5"/>
        <v>2263404.1199999996</v>
      </c>
      <c r="H11" s="81"/>
      <c r="I11" s="81"/>
      <c r="J11" s="56" t="s">
        <v>238</v>
      </c>
      <c r="K11" s="53">
        <v>0.95</v>
      </c>
      <c r="L11" s="56">
        <f t="shared" si="6"/>
        <v>3.0499999999999999E-2</v>
      </c>
      <c r="M11" s="56">
        <f t="shared" si="7"/>
        <v>1.7000000000000001E-2</v>
      </c>
      <c r="N11" s="56">
        <f t="shared" si="8"/>
        <v>2.8999999999999998E-3</v>
      </c>
      <c r="O11" s="74">
        <f t="shared" si="0"/>
        <v>1.2011951788670099</v>
      </c>
      <c r="P11" s="74">
        <f t="shared" si="1"/>
        <v>0.6695186242865302</v>
      </c>
      <c r="Q11" s="74">
        <f t="shared" si="2"/>
        <v>0.11421200061358455</v>
      </c>
    </row>
    <row r="12" spans="1:17" ht="15" customHeight="1" x14ac:dyDescent="0.25">
      <c r="A12" s="103"/>
      <c r="B12" s="33" t="s">
        <v>240</v>
      </c>
      <c r="C12" s="56">
        <v>-20.289403</v>
      </c>
      <c r="D12" s="56">
        <v>-40.242722000000001</v>
      </c>
      <c r="E12" s="81">
        <f t="shared" si="3"/>
        <v>844344.68500000006</v>
      </c>
      <c r="F12" s="81">
        <f t="shared" si="4"/>
        <v>3792231.3699999996</v>
      </c>
      <c r="G12" s="81">
        <f t="shared" si="5"/>
        <v>2263404.1199999996</v>
      </c>
      <c r="H12" s="81"/>
      <c r="I12" s="81"/>
      <c r="J12" s="56" t="s">
        <v>238</v>
      </c>
      <c r="K12" s="53">
        <v>0.95</v>
      </c>
      <c r="L12" s="56">
        <f t="shared" si="6"/>
        <v>3.0499999999999999E-2</v>
      </c>
      <c r="M12" s="56">
        <f t="shared" si="7"/>
        <v>1.7000000000000001E-2</v>
      </c>
      <c r="N12" s="56">
        <f t="shared" si="8"/>
        <v>2.8999999999999998E-3</v>
      </c>
      <c r="O12" s="74">
        <f t="shared" si="0"/>
        <v>1.2011951788670099</v>
      </c>
      <c r="P12" s="74">
        <f t="shared" si="1"/>
        <v>0.6695186242865302</v>
      </c>
      <c r="Q12" s="74">
        <f t="shared" si="2"/>
        <v>0.11421200061358455</v>
      </c>
    </row>
    <row r="13" spans="1:17" ht="15" customHeight="1" x14ac:dyDescent="0.25">
      <c r="A13" s="103"/>
      <c r="B13" s="33" t="s">
        <v>241</v>
      </c>
      <c r="C13" s="56">
        <v>-20.289712000000002</v>
      </c>
      <c r="D13" s="56">
        <v>-40.242683999999997</v>
      </c>
      <c r="E13" s="81">
        <f t="shared" si="3"/>
        <v>844344.68500000006</v>
      </c>
      <c r="F13" s="81">
        <f t="shared" si="4"/>
        <v>3792231.3699999996</v>
      </c>
      <c r="G13" s="81">
        <f t="shared" si="5"/>
        <v>2263404.1199999996</v>
      </c>
      <c r="H13" s="81"/>
      <c r="I13" s="81"/>
      <c r="J13" s="56" t="s">
        <v>238</v>
      </c>
      <c r="K13" s="53">
        <v>0.95</v>
      </c>
      <c r="L13" s="56">
        <f t="shared" si="6"/>
        <v>3.0499999999999999E-2</v>
      </c>
      <c r="M13" s="56">
        <f t="shared" si="7"/>
        <v>1.7000000000000001E-2</v>
      </c>
      <c r="N13" s="56">
        <f t="shared" si="8"/>
        <v>2.8999999999999998E-3</v>
      </c>
      <c r="O13" s="74">
        <f t="shared" si="0"/>
        <v>1.2011951788670099</v>
      </c>
      <c r="P13" s="74">
        <f t="shared" si="1"/>
        <v>0.6695186242865302</v>
      </c>
      <c r="Q13" s="74">
        <f t="shared" si="2"/>
        <v>0.11421200061358455</v>
      </c>
    </row>
    <row r="14" spans="1:17" ht="15" customHeight="1" x14ac:dyDescent="0.25">
      <c r="A14" s="103"/>
      <c r="B14" s="33" t="s">
        <v>242</v>
      </c>
      <c r="C14" s="56">
        <v>-20.290554</v>
      </c>
      <c r="D14" s="56">
        <v>-40.242697999999997</v>
      </c>
      <c r="E14" s="81">
        <f t="shared" si="3"/>
        <v>844344.68500000006</v>
      </c>
      <c r="F14" s="81">
        <f t="shared" si="4"/>
        <v>3792231.3699999996</v>
      </c>
      <c r="G14" s="81">
        <f t="shared" si="5"/>
        <v>2263404.1199999996</v>
      </c>
      <c r="H14" s="81"/>
      <c r="I14" s="81"/>
      <c r="J14" s="56" t="s">
        <v>238</v>
      </c>
      <c r="K14" s="53">
        <v>0.95</v>
      </c>
      <c r="L14" s="56">
        <f t="shared" si="6"/>
        <v>3.0499999999999999E-2</v>
      </c>
      <c r="M14" s="56">
        <f t="shared" si="7"/>
        <v>1.7000000000000001E-2</v>
      </c>
      <c r="N14" s="56">
        <f t="shared" si="8"/>
        <v>2.8999999999999998E-3</v>
      </c>
      <c r="O14" s="74">
        <f t="shared" si="0"/>
        <v>1.2011951788670099</v>
      </c>
      <c r="P14" s="74">
        <f t="shared" si="1"/>
        <v>0.6695186242865302</v>
      </c>
      <c r="Q14" s="74">
        <f t="shared" si="2"/>
        <v>0.11421200061358455</v>
      </c>
    </row>
    <row r="15" spans="1:17" ht="15" customHeight="1" x14ac:dyDescent="0.25">
      <c r="A15" s="103"/>
      <c r="B15" s="33" t="s">
        <v>243</v>
      </c>
      <c r="C15" s="56">
        <v>-20.292269000000001</v>
      </c>
      <c r="D15" s="56">
        <v>-40.245614000000003</v>
      </c>
      <c r="E15" s="81">
        <f t="shared" si="3"/>
        <v>844344.68500000006</v>
      </c>
      <c r="F15" s="81">
        <f t="shared" si="4"/>
        <v>3792231.3699999996</v>
      </c>
      <c r="G15" s="81">
        <f t="shared" si="5"/>
        <v>2263404.1199999996</v>
      </c>
      <c r="H15" s="81"/>
      <c r="I15" s="81"/>
      <c r="J15" s="56" t="s">
        <v>238</v>
      </c>
      <c r="K15" s="53">
        <v>0.95</v>
      </c>
      <c r="L15" s="56">
        <f t="shared" si="6"/>
        <v>3.0499999999999999E-2</v>
      </c>
      <c r="M15" s="56">
        <f t="shared" si="7"/>
        <v>1.7000000000000001E-2</v>
      </c>
      <c r="N15" s="56">
        <f t="shared" si="8"/>
        <v>2.8999999999999998E-3</v>
      </c>
      <c r="O15" s="74">
        <f t="shared" si="0"/>
        <v>1.2011951788670099</v>
      </c>
      <c r="P15" s="74">
        <f t="shared" si="1"/>
        <v>0.6695186242865302</v>
      </c>
      <c r="Q15" s="74">
        <f t="shared" si="2"/>
        <v>0.11421200061358455</v>
      </c>
    </row>
    <row r="16" spans="1:17" ht="15" customHeight="1" x14ac:dyDescent="0.25">
      <c r="A16" s="103"/>
      <c r="B16" s="33" t="s">
        <v>244</v>
      </c>
      <c r="C16" s="56">
        <v>-20.291913999999998</v>
      </c>
      <c r="D16" s="56">
        <v>-40.245964999999998</v>
      </c>
      <c r="E16" s="81">
        <f t="shared" si="3"/>
        <v>844344.68500000006</v>
      </c>
      <c r="F16" s="81">
        <f t="shared" si="4"/>
        <v>3792231.3699999996</v>
      </c>
      <c r="G16" s="81">
        <f t="shared" si="5"/>
        <v>2263404.1199999996</v>
      </c>
      <c r="H16" s="81"/>
      <c r="I16" s="81"/>
      <c r="J16" s="56" t="s">
        <v>238</v>
      </c>
      <c r="K16" s="53">
        <v>0.95</v>
      </c>
      <c r="L16" s="56">
        <f>0.048/2</f>
        <v>2.4E-2</v>
      </c>
      <c r="M16" s="56">
        <f>0.012/2</f>
        <v>6.0000000000000001E-3</v>
      </c>
      <c r="N16" s="56">
        <f>0.0022/2</f>
        <v>1.1000000000000001E-3</v>
      </c>
      <c r="O16" s="74">
        <f t="shared" si="0"/>
        <v>0.94520276369863099</v>
      </c>
      <c r="P16" s="74">
        <f t="shared" si="1"/>
        <v>0.23630069092465775</v>
      </c>
      <c r="Q16" s="74">
        <f t="shared" si="2"/>
        <v>4.3321793336187249E-2</v>
      </c>
    </row>
    <row r="17" spans="1:17" ht="15" customHeight="1" x14ac:dyDescent="0.25">
      <c r="A17" s="104" t="s">
        <v>247</v>
      </c>
      <c r="B17" s="33" t="s">
        <v>248</v>
      </c>
      <c r="C17" s="56">
        <v>-20.290863000000002</v>
      </c>
      <c r="D17" s="56">
        <v>-40.243958999999997</v>
      </c>
      <c r="E17" s="56"/>
      <c r="F17" s="56"/>
      <c r="G17" s="56"/>
      <c r="H17" s="56"/>
      <c r="I17" s="81">
        <f>'TPD - Rota'!W32</f>
        <v>85469.799000000014</v>
      </c>
      <c r="J17" s="56" t="s">
        <v>286</v>
      </c>
      <c r="K17" s="53">
        <v>0.7</v>
      </c>
      <c r="L17" s="56">
        <f>C34</f>
        <v>4.7412950823400902E-4</v>
      </c>
      <c r="M17" s="56">
        <f t="shared" ref="M17:N17" si="9">D34</f>
        <v>2.2425044308365291E-4</v>
      </c>
      <c r="N17" s="56">
        <f t="shared" si="9"/>
        <v>3.395792423838173E-5</v>
      </c>
      <c r="O17" s="82">
        <f>(L17*$I17/8760)*(1-$K17)</f>
        <v>1.387799786600329E-3</v>
      </c>
      <c r="P17" s="82">
        <f t="shared" ref="P17:Q17" si="10">(M17*$I17/8760)*(1-$K17)</f>
        <v>6.5639179095961506E-4</v>
      </c>
      <c r="Q17" s="82">
        <f t="shared" si="10"/>
        <v>9.9396471202456009E-5</v>
      </c>
    </row>
    <row r="18" spans="1:17" ht="15" customHeight="1" x14ac:dyDescent="0.25">
      <c r="A18" s="104"/>
      <c r="B18" s="33" t="s">
        <v>255</v>
      </c>
      <c r="C18" s="56">
        <v>-20.290804999999999</v>
      </c>
      <c r="D18" s="56">
        <v>-40.243462000000001</v>
      </c>
      <c r="E18" s="56"/>
      <c r="F18" s="56"/>
      <c r="G18" s="56"/>
      <c r="H18" s="56"/>
      <c r="I18" s="81">
        <f>I17</f>
        <v>85469.799000000014</v>
      </c>
      <c r="J18" s="56" t="s">
        <v>286</v>
      </c>
      <c r="K18" s="53">
        <v>0.7</v>
      </c>
      <c r="L18" s="56">
        <f>C34</f>
        <v>4.7412950823400902E-4</v>
      </c>
      <c r="M18" s="56">
        <f t="shared" ref="M18:N18" si="11">D34</f>
        <v>2.2425044308365291E-4</v>
      </c>
      <c r="N18" s="56">
        <f t="shared" si="11"/>
        <v>3.395792423838173E-5</v>
      </c>
      <c r="O18" s="82">
        <f>(L18*$I18/8760)*(1-$K18)</f>
        <v>1.387799786600329E-3</v>
      </c>
      <c r="P18" s="82">
        <f t="shared" ref="P18" si="12">(M18*$I18/8760)*(1-$K18)</f>
        <v>6.5639179095961506E-4</v>
      </c>
      <c r="Q18" s="82">
        <f t="shared" ref="Q18" si="13">(N18*$I18/8760)*(1-$K18)</f>
        <v>9.9396471202456009E-5</v>
      </c>
    </row>
    <row r="19" spans="1:17" ht="15" customHeight="1" x14ac:dyDescent="0.25">
      <c r="A19" s="104"/>
      <c r="B19" s="33" t="s">
        <v>248</v>
      </c>
      <c r="C19" s="56">
        <v>-20.290863000000002</v>
      </c>
      <c r="D19" s="56">
        <v>-40.243958999999997</v>
      </c>
      <c r="E19" s="56"/>
      <c r="F19" s="56"/>
      <c r="G19" s="56"/>
      <c r="H19" s="81">
        <f>'TPD - Rota'!U32</f>
        <v>1129047.1510000001</v>
      </c>
      <c r="I19" s="81"/>
      <c r="J19" s="56" t="s">
        <v>286</v>
      </c>
      <c r="K19" s="53">
        <v>0.7</v>
      </c>
      <c r="L19" s="56">
        <f>C$35</f>
        <v>1.5526175275075425E-3</v>
      </c>
      <c r="M19" s="56">
        <f t="shared" ref="M19:N19" si="14">D$35</f>
        <v>7.3434612787518893E-4</v>
      </c>
      <c r="N19" s="56">
        <f t="shared" si="14"/>
        <v>1.112009850782429E-4</v>
      </c>
      <c r="O19" s="82">
        <f>(L19*$H19/8760)*(1-$K19)</f>
        <v>6.0033506713186829E-2</v>
      </c>
      <c r="P19" s="82">
        <f>(M19*$H19/8760)*(1-$K19)</f>
        <v>2.8394226148128903E-2</v>
      </c>
      <c r="Q19" s="82">
        <f>(N19*$H19/8760)*(1-$K19)</f>
        <v>4.2996971024309482E-3</v>
      </c>
    </row>
    <row r="20" spans="1:17" ht="15" customHeight="1" x14ac:dyDescent="0.25">
      <c r="A20" s="104"/>
      <c r="B20" s="33" t="s">
        <v>250</v>
      </c>
      <c r="C20" s="56">
        <v>-20.291208999999998</v>
      </c>
      <c r="D20" s="56">
        <v>-40.243692000000003</v>
      </c>
      <c r="E20" s="56"/>
      <c r="F20" s="56"/>
      <c r="G20" s="56"/>
      <c r="H20" s="81">
        <f>H19</f>
        <v>1129047.1510000001</v>
      </c>
      <c r="I20" s="56"/>
      <c r="J20" s="56" t="s">
        <v>286</v>
      </c>
      <c r="K20" s="53">
        <v>0.7</v>
      </c>
      <c r="L20" s="56">
        <f t="shared" ref="L20:L24" si="15">C$35</f>
        <v>1.5526175275075425E-3</v>
      </c>
      <c r="M20" s="56">
        <f t="shared" ref="M20:M24" si="16">D$35</f>
        <v>7.3434612787518893E-4</v>
      </c>
      <c r="N20" s="56">
        <f t="shared" ref="N20:N24" si="17">E$35</f>
        <v>1.112009850782429E-4</v>
      </c>
      <c r="O20" s="82">
        <f t="shared" ref="O20:O24" si="18">(L20*$H20/8760)*(1-$K20)</f>
        <v>6.0033506713186829E-2</v>
      </c>
      <c r="P20" s="82">
        <f t="shared" ref="P20:P24" si="19">(M20*$H20/8760)*(1-$K20)</f>
        <v>2.8394226148128903E-2</v>
      </c>
      <c r="Q20" s="82">
        <f t="shared" ref="Q20:Q24" si="20">(N20*$H20/8760)*(1-$K20)</f>
        <v>4.2996971024309482E-3</v>
      </c>
    </row>
    <row r="21" spans="1:17" ht="15" customHeight="1" x14ac:dyDescent="0.25">
      <c r="A21" s="104"/>
      <c r="B21" s="33" t="s">
        <v>251</v>
      </c>
      <c r="C21" s="56">
        <v>-20.289746999999998</v>
      </c>
      <c r="D21" s="56">
        <v>-40.241236000000001</v>
      </c>
      <c r="E21" s="56"/>
      <c r="F21" s="56"/>
      <c r="G21" s="56"/>
      <c r="H21" s="81">
        <f>H20</f>
        <v>1129047.1510000001</v>
      </c>
      <c r="I21" s="56"/>
      <c r="J21" s="56" t="s">
        <v>286</v>
      </c>
      <c r="K21" s="53">
        <v>0.7</v>
      </c>
      <c r="L21" s="56">
        <f t="shared" si="15"/>
        <v>1.5526175275075425E-3</v>
      </c>
      <c r="M21" s="56">
        <f t="shared" si="16"/>
        <v>7.3434612787518893E-4</v>
      </c>
      <c r="N21" s="56">
        <f t="shared" si="17"/>
        <v>1.112009850782429E-4</v>
      </c>
      <c r="O21" s="82">
        <f t="shared" si="18"/>
        <v>6.0033506713186829E-2</v>
      </c>
      <c r="P21" s="82">
        <f t="shared" si="19"/>
        <v>2.8394226148128903E-2</v>
      </c>
      <c r="Q21" s="82">
        <f t="shared" si="20"/>
        <v>4.2996971024309482E-3</v>
      </c>
    </row>
    <row r="22" spans="1:17" ht="15" customHeight="1" x14ac:dyDescent="0.25">
      <c r="A22" s="104"/>
      <c r="B22" s="33" t="s">
        <v>252</v>
      </c>
      <c r="C22" s="56">
        <v>-20.289868999999999</v>
      </c>
      <c r="D22" s="56">
        <v>-40.240195999999997</v>
      </c>
      <c r="E22" s="56"/>
      <c r="F22" s="56"/>
      <c r="G22" s="56"/>
      <c r="H22" s="81">
        <f>H21</f>
        <v>1129047.1510000001</v>
      </c>
      <c r="I22" s="56"/>
      <c r="J22" s="56" t="s">
        <v>286</v>
      </c>
      <c r="K22" s="53">
        <v>0.7</v>
      </c>
      <c r="L22" s="56">
        <f t="shared" si="15"/>
        <v>1.5526175275075425E-3</v>
      </c>
      <c r="M22" s="56">
        <f t="shared" si="16"/>
        <v>7.3434612787518893E-4</v>
      </c>
      <c r="N22" s="56">
        <f t="shared" si="17"/>
        <v>1.112009850782429E-4</v>
      </c>
      <c r="O22" s="82">
        <f t="shared" si="18"/>
        <v>6.0033506713186829E-2</v>
      </c>
      <c r="P22" s="82">
        <f t="shared" si="19"/>
        <v>2.8394226148128903E-2</v>
      </c>
      <c r="Q22" s="82">
        <f t="shared" si="20"/>
        <v>4.2996971024309482E-3</v>
      </c>
    </row>
    <row r="23" spans="1:17" ht="15" customHeight="1" x14ac:dyDescent="0.25">
      <c r="A23" s="104"/>
      <c r="B23" s="33" t="s">
        <v>253</v>
      </c>
      <c r="C23" s="56">
        <v>-20.289206</v>
      </c>
      <c r="D23" s="56">
        <v>-40.238591999999997</v>
      </c>
      <c r="E23" s="56"/>
      <c r="F23" s="56"/>
      <c r="G23" s="56"/>
      <c r="H23" s="81">
        <f>H22</f>
        <v>1129047.1510000001</v>
      </c>
      <c r="I23" s="56"/>
      <c r="J23" s="56" t="s">
        <v>286</v>
      </c>
      <c r="K23" s="53">
        <v>0.7</v>
      </c>
      <c r="L23" s="56">
        <f t="shared" si="15"/>
        <v>1.5526175275075425E-3</v>
      </c>
      <c r="M23" s="56">
        <f t="shared" si="16"/>
        <v>7.3434612787518893E-4</v>
      </c>
      <c r="N23" s="56">
        <f t="shared" si="17"/>
        <v>1.112009850782429E-4</v>
      </c>
      <c r="O23" s="82">
        <f t="shared" si="18"/>
        <v>6.0033506713186829E-2</v>
      </c>
      <c r="P23" s="82">
        <f t="shared" si="19"/>
        <v>2.8394226148128903E-2</v>
      </c>
      <c r="Q23" s="82">
        <f t="shared" si="20"/>
        <v>4.2996971024309482E-3</v>
      </c>
    </row>
    <row r="24" spans="1:17" ht="15" customHeight="1" x14ac:dyDescent="0.25">
      <c r="A24" s="104"/>
      <c r="B24" s="33" t="s">
        <v>254</v>
      </c>
      <c r="C24" s="56">
        <v>-20.288785000000001</v>
      </c>
      <c r="D24" s="56">
        <v>-40.237355999999998</v>
      </c>
      <c r="E24" s="56"/>
      <c r="F24" s="56"/>
      <c r="G24" s="56"/>
      <c r="H24" s="81">
        <f>H23</f>
        <v>1129047.1510000001</v>
      </c>
      <c r="I24" s="56"/>
      <c r="J24" s="56" t="s">
        <v>286</v>
      </c>
      <c r="K24" s="53">
        <v>0.7</v>
      </c>
      <c r="L24" s="56">
        <f t="shared" si="15"/>
        <v>1.5526175275075425E-3</v>
      </c>
      <c r="M24" s="56">
        <f t="shared" si="16"/>
        <v>7.3434612787518893E-4</v>
      </c>
      <c r="N24" s="56">
        <f t="shared" si="17"/>
        <v>1.112009850782429E-4</v>
      </c>
      <c r="O24" s="82">
        <f t="shared" si="18"/>
        <v>6.0033506713186829E-2</v>
      </c>
      <c r="P24" s="82">
        <f t="shared" si="19"/>
        <v>2.8394226148128903E-2</v>
      </c>
      <c r="Q24" s="82">
        <f t="shared" si="20"/>
        <v>4.2996971024309482E-3</v>
      </c>
    </row>
    <row r="25" spans="1:17" ht="15" customHeight="1" x14ac:dyDescent="0.25">
      <c r="A25" s="114" t="s">
        <v>301</v>
      </c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6"/>
      <c r="O25" s="49">
        <f>SUM(O3:O24)</f>
        <v>16.352656725754159</v>
      </c>
      <c r="P25" s="49">
        <f t="shared" ref="P25:Q25" si="21">SUM(P3:P24)</f>
        <v>8.5957977719347358</v>
      </c>
      <c r="Q25" s="49">
        <f t="shared" si="21"/>
        <v>1.46546201777303</v>
      </c>
    </row>
    <row r="30" spans="1:17" ht="15" customHeight="1" x14ac:dyDescent="0.25">
      <c r="A30" s="39" t="s">
        <v>200</v>
      </c>
      <c r="B30" s="79">
        <v>4.1938000000000004</v>
      </c>
      <c r="C30" s="36"/>
    </row>
    <row r="31" spans="1:17" ht="15" customHeight="1" x14ac:dyDescent="0.25">
      <c r="A31" s="39"/>
    </row>
    <row r="32" spans="1:17" ht="15" customHeight="1" x14ac:dyDescent="0.25">
      <c r="A32" s="88" t="s">
        <v>198</v>
      </c>
      <c r="B32" s="88" t="s">
        <v>199</v>
      </c>
      <c r="C32" s="88" t="s">
        <v>235</v>
      </c>
      <c r="D32" s="88"/>
      <c r="E32" s="88"/>
    </row>
    <row r="33" spans="1:11" ht="15" customHeight="1" x14ac:dyDescent="0.25">
      <c r="A33" s="88"/>
      <c r="B33" s="88"/>
      <c r="C33" s="46" t="s">
        <v>191</v>
      </c>
      <c r="D33" s="46" t="s">
        <v>192</v>
      </c>
      <c r="E33" s="47" t="s">
        <v>193</v>
      </c>
    </row>
    <row r="34" spans="1:11" ht="15" customHeight="1" x14ac:dyDescent="0.25">
      <c r="A34" s="41" t="s">
        <v>249</v>
      </c>
      <c r="B34" s="48">
        <v>7</v>
      </c>
      <c r="C34" s="40">
        <f>0.74*0.0016*(($B$30/2.2)^1.3)/(($B34/2)^1.4)</f>
        <v>4.7412950823400902E-4</v>
      </c>
      <c r="D34" s="40">
        <f>0.35*0.0016*(($B$30/2.2)^1.3)/(($B34/2)^1.4)</f>
        <v>2.2425044308365291E-4</v>
      </c>
      <c r="E34" s="40">
        <f>0.053*0.0016*(($B$30/2.2)^1.3)/(($B34/2)^1.4)</f>
        <v>3.395792423838173E-5</v>
      </c>
    </row>
    <row r="35" spans="1:11" ht="15" customHeight="1" x14ac:dyDescent="0.25">
      <c r="A35" s="33" t="s">
        <v>86</v>
      </c>
      <c r="B35" s="33">
        <v>3</v>
      </c>
      <c r="C35" s="40">
        <f>0.74*0.0016*(($B$30/2.2)^1.3)/(($B35/2)^1.4)</f>
        <v>1.5526175275075425E-3</v>
      </c>
      <c r="D35" s="40">
        <f>0.35*0.0016*(($B$30/2.2)^1.3)/(($B35/2)^1.4)</f>
        <v>7.3434612787518893E-4</v>
      </c>
      <c r="E35" s="40">
        <f>0.053*0.0016*(($B$30/2.2)^1.3)/(($B35/2)^1.4)</f>
        <v>1.112009850782429E-4</v>
      </c>
    </row>
    <row r="42" spans="1:11" ht="15" customHeight="1" x14ac:dyDescent="0.25">
      <c r="A42" s="108" t="s">
        <v>256</v>
      </c>
      <c r="B42" s="109"/>
      <c r="C42" s="89"/>
      <c r="D42" s="89"/>
      <c r="E42" s="89"/>
      <c r="F42" s="89"/>
      <c r="G42" s="89"/>
      <c r="H42" s="85" t="s">
        <v>222</v>
      </c>
      <c r="I42" s="85"/>
      <c r="J42" s="85"/>
      <c r="K42" s="85"/>
    </row>
    <row r="43" spans="1:11" ht="15" customHeight="1" x14ac:dyDescent="0.25">
      <c r="A43" s="110"/>
      <c r="B43" s="111"/>
      <c r="C43" s="90"/>
      <c r="D43" s="90"/>
      <c r="E43" s="90"/>
      <c r="F43" s="90"/>
      <c r="G43" s="90"/>
      <c r="H43" s="86"/>
      <c r="I43" s="86"/>
      <c r="J43" s="86"/>
      <c r="K43" s="86"/>
    </row>
    <row r="44" spans="1:11" ht="15" customHeight="1" x14ac:dyDescent="0.25">
      <c r="A44" s="110"/>
      <c r="B44" s="111"/>
      <c r="C44" s="90"/>
      <c r="D44" s="90"/>
      <c r="E44" s="90"/>
      <c r="F44" s="90"/>
      <c r="G44" s="90"/>
      <c r="H44" s="86"/>
      <c r="I44" s="86"/>
      <c r="J44" s="86"/>
      <c r="K44" s="86"/>
    </row>
    <row r="45" spans="1:11" ht="15" customHeight="1" x14ac:dyDescent="0.25">
      <c r="A45" s="110"/>
      <c r="B45" s="111"/>
      <c r="C45" s="90"/>
      <c r="D45" s="90"/>
      <c r="E45" s="90"/>
      <c r="F45" s="90"/>
      <c r="G45" s="90"/>
      <c r="H45" s="86"/>
      <c r="I45" s="86"/>
      <c r="J45" s="86"/>
      <c r="K45" s="86"/>
    </row>
    <row r="46" spans="1:11" ht="15" customHeight="1" x14ac:dyDescent="0.25">
      <c r="A46" s="112"/>
      <c r="B46" s="113"/>
      <c r="C46" s="91"/>
      <c r="D46" s="91"/>
      <c r="E46" s="91"/>
      <c r="F46" s="91"/>
      <c r="G46" s="91"/>
      <c r="H46" s="87"/>
      <c r="I46" s="87"/>
      <c r="J46" s="87"/>
      <c r="K46" s="87"/>
    </row>
    <row r="47" spans="1:11" ht="15" customHeight="1" x14ac:dyDescent="0.25">
      <c r="A47" s="43" t="s">
        <v>223</v>
      </c>
      <c r="B47" s="44" t="s">
        <v>224</v>
      </c>
      <c r="C47" s="39" t="s">
        <v>225</v>
      </c>
      <c r="H47" s="45"/>
    </row>
    <row r="48" spans="1:11" ht="15" customHeight="1" x14ac:dyDescent="0.25">
      <c r="A48" s="45"/>
      <c r="B48" s="44" t="s">
        <v>226</v>
      </c>
      <c r="C48" s="39" t="s">
        <v>227</v>
      </c>
      <c r="H48" s="45"/>
      <c r="J48" s="45"/>
    </row>
    <row r="49" spans="1:11" ht="15" customHeight="1" x14ac:dyDescent="0.25">
      <c r="A49" s="45"/>
      <c r="B49" s="44" t="s">
        <v>228</v>
      </c>
      <c r="C49" s="39" t="s">
        <v>229</v>
      </c>
      <c r="H49" s="45"/>
      <c r="J49" s="45"/>
    </row>
    <row r="50" spans="1:11" ht="15" customHeight="1" x14ac:dyDescent="0.25">
      <c r="A50" s="45"/>
      <c r="B50" s="44" t="s">
        <v>230</v>
      </c>
      <c r="C50" s="39" t="s">
        <v>231</v>
      </c>
      <c r="H50" s="45"/>
      <c r="J50" s="45"/>
    </row>
    <row r="51" spans="1:11" ht="15" customHeight="1" x14ac:dyDescent="0.25">
      <c r="A51" s="45"/>
      <c r="B51" s="44" t="s">
        <v>232</v>
      </c>
      <c r="C51" s="39" t="s">
        <v>233</v>
      </c>
      <c r="H51" s="45"/>
      <c r="J51" s="45"/>
    </row>
    <row r="52" spans="1:11" ht="15" customHeight="1" x14ac:dyDescent="0.25">
      <c r="B52" s="38" t="s">
        <v>261</v>
      </c>
      <c r="C52" s="33" t="s">
        <v>262</v>
      </c>
    </row>
    <row r="56" spans="1:11" ht="15" customHeight="1" x14ac:dyDescent="0.25">
      <c r="A56" s="108" t="s">
        <v>257</v>
      </c>
      <c r="B56" s="109"/>
      <c r="C56" s="89"/>
      <c r="D56" s="89"/>
      <c r="E56" s="89"/>
      <c r="F56" s="89"/>
      <c r="G56" s="89"/>
      <c r="H56" s="85" t="s">
        <v>258</v>
      </c>
      <c r="I56" s="85"/>
      <c r="J56" s="85"/>
      <c r="K56" s="85"/>
    </row>
    <row r="57" spans="1:11" ht="15" customHeight="1" x14ac:dyDescent="0.25">
      <c r="A57" s="110"/>
      <c r="B57" s="111"/>
      <c r="C57" s="90"/>
      <c r="D57" s="90"/>
      <c r="E57" s="90"/>
      <c r="F57" s="90"/>
      <c r="G57" s="90"/>
      <c r="H57" s="86"/>
      <c r="I57" s="86"/>
      <c r="J57" s="86"/>
      <c r="K57" s="86"/>
    </row>
    <row r="58" spans="1:11" ht="15" customHeight="1" x14ac:dyDescent="0.25">
      <c r="A58" s="110"/>
      <c r="B58" s="111"/>
      <c r="C58" s="90"/>
      <c r="D58" s="90"/>
      <c r="E58" s="90"/>
      <c r="F58" s="90"/>
      <c r="G58" s="90"/>
      <c r="H58" s="86"/>
      <c r="I58" s="86"/>
      <c r="J58" s="86"/>
      <c r="K58" s="86"/>
    </row>
    <row r="59" spans="1:11" ht="15" customHeight="1" x14ac:dyDescent="0.25">
      <c r="A59" s="110"/>
      <c r="B59" s="111"/>
      <c r="C59" s="90"/>
      <c r="D59" s="90"/>
      <c r="E59" s="90"/>
      <c r="F59" s="90"/>
      <c r="G59" s="90"/>
      <c r="H59" s="86"/>
      <c r="I59" s="86"/>
      <c r="J59" s="86"/>
      <c r="K59" s="86"/>
    </row>
    <row r="60" spans="1:11" ht="15" customHeight="1" x14ac:dyDescent="0.25">
      <c r="A60" s="112"/>
      <c r="B60" s="113"/>
      <c r="C60" s="91"/>
      <c r="D60" s="91"/>
      <c r="E60" s="91"/>
      <c r="F60" s="91"/>
      <c r="G60" s="91"/>
      <c r="H60" s="87"/>
      <c r="I60" s="87"/>
      <c r="J60" s="87"/>
      <c r="K60" s="87"/>
    </row>
    <row r="61" spans="1:11" ht="15" customHeight="1" x14ac:dyDescent="0.25">
      <c r="A61" s="43" t="s">
        <v>223</v>
      </c>
      <c r="B61" s="44" t="s">
        <v>224</v>
      </c>
      <c r="C61" s="39" t="s">
        <v>225</v>
      </c>
    </row>
    <row r="62" spans="1:11" ht="15" customHeight="1" x14ac:dyDescent="0.25">
      <c r="B62" s="44" t="s">
        <v>259</v>
      </c>
      <c r="C62" s="39" t="s">
        <v>260</v>
      </c>
    </row>
    <row r="63" spans="1:11" ht="15" customHeight="1" x14ac:dyDescent="0.25">
      <c r="B63" s="44" t="s">
        <v>232</v>
      </c>
      <c r="C63" s="39" t="s">
        <v>233</v>
      </c>
    </row>
    <row r="64" spans="1:11" ht="15" customHeight="1" x14ac:dyDescent="0.25">
      <c r="B64" s="38" t="s">
        <v>261</v>
      </c>
      <c r="C64" s="33" t="s">
        <v>262</v>
      </c>
    </row>
  </sheetData>
  <sheetProtection password="B056" sheet="1" objects="1" scenarios="1"/>
  <mergeCells count="23">
    <mergeCell ref="A56:B60"/>
    <mergeCell ref="C56:G60"/>
    <mergeCell ref="H56:K60"/>
    <mergeCell ref="A17:A24"/>
    <mergeCell ref="A32:A33"/>
    <mergeCell ref="B32:B33"/>
    <mergeCell ref="C32:E32"/>
    <mergeCell ref="C42:G46"/>
    <mergeCell ref="A25:N25"/>
    <mergeCell ref="H42:K46"/>
    <mergeCell ref="A42:B46"/>
    <mergeCell ref="O1:Q1"/>
    <mergeCell ref="B3:B10"/>
    <mergeCell ref="A3:A16"/>
    <mergeCell ref="D3:D10"/>
    <mergeCell ref="C3:C10"/>
    <mergeCell ref="L1:N1"/>
    <mergeCell ref="A1:A2"/>
    <mergeCell ref="B1:B2"/>
    <mergeCell ref="C1:C2"/>
    <mergeCell ref="D1:D2"/>
    <mergeCell ref="J1:K1"/>
    <mergeCell ref="E1:I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zoomScaleNormal="100" workbookViewId="0">
      <selection activeCell="E5" sqref="E5"/>
    </sheetView>
  </sheetViews>
  <sheetFormatPr defaultRowHeight="39.950000000000003" customHeight="1" x14ac:dyDescent="0.25"/>
  <cols>
    <col min="1" max="1" width="43.5703125" style="51" bestFit="1" customWidth="1"/>
    <col min="2" max="2" width="59.7109375" style="51" customWidth="1"/>
    <col min="3" max="16384" width="9.140625" style="51"/>
  </cols>
  <sheetData>
    <row r="1" spans="1:2" ht="39.950000000000003" customHeight="1" x14ac:dyDescent="0.25">
      <c r="A1" s="51" t="s">
        <v>264</v>
      </c>
      <c r="B1" s="52" t="s">
        <v>265</v>
      </c>
    </row>
    <row r="2" spans="1:2" ht="39.950000000000003" customHeight="1" x14ac:dyDescent="0.25">
      <c r="A2" s="51" t="s">
        <v>266</v>
      </c>
      <c r="B2" s="52" t="s">
        <v>265</v>
      </c>
    </row>
    <row r="3" spans="1:2" ht="39.950000000000003" customHeight="1" x14ac:dyDescent="0.25">
      <c r="A3" s="51" t="s">
        <v>267</v>
      </c>
      <c r="B3" s="52" t="s">
        <v>265</v>
      </c>
    </row>
    <row r="4" spans="1:2" ht="39.950000000000003" customHeight="1" x14ac:dyDescent="0.25">
      <c r="A4" s="51" t="s">
        <v>268</v>
      </c>
      <c r="B4" s="52" t="s">
        <v>269</v>
      </c>
    </row>
    <row r="5" spans="1:2" ht="39.950000000000003" customHeight="1" x14ac:dyDescent="0.25">
      <c r="A5" s="51" t="s">
        <v>270</v>
      </c>
      <c r="B5" s="52" t="s">
        <v>271</v>
      </c>
    </row>
    <row r="6" spans="1:2" ht="39.950000000000003" customHeight="1" x14ac:dyDescent="0.25">
      <c r="A6" s="51" t="s">
        <v>272</v>
      </c>
      <c r="B6" s="52" t="s">
        <v>273</v>
      </c>
    </row>
    <row r="7" spans="1:2" ht="39.950000000000003" customHeight="1" x14ac:dyDescent="0.25">
      <c r="A7" s="51" t="s">
        <v>274</v>
      </c>
      <c r="B7" s="51" t="s">
        <v>275</v>
      </c>
    </row>
    <row r="8" spans="1:2" ht="39.950000000000003" customHeight="1" x14ac:dyDescent="0.25">
      <c r="A8" s="51" t="s">
        <v>276</v>
      </c>
      <c r="B8" s="52" t="s">
        <v>275</v>
      </c>
    </row>
    <row r="9" spans="1:2" ht="39.950000000000003" customHeight="1" x14ac:dyDescent="0.25">
      <c r="A9" s="51" t="s">
        <v>277</v>
      </c>
      <c r="B9" s="52" t="s">
        <v>265</v>
      </c>
    </row>
    <row r="10" spans="1:2" ht="39.950000000000003" customHeight="1" x14ac:dyDescent="0.25">
      <c r="A10" s="51" t="s">
        <v>278</v>
      </c>
      <c r="B10" s="52" t="s">
        <v>265</v>
      </c>
    </row>
    <row r="11" spans="1:2" ht="39.950000000000003" customHeight="1" x14ac:dyDescent="0.25">
      <c r="A11" s="51" t="s">
        <v>279</v>
      </c>
      <c r="B11" s="51" t="s">
        <v>275</v>
      </c>
    </row>
    <row r="12" spans="1:2" ht="39.950000000000003" customHeight="1" x14ac:dyDescent="0.25">
      <c r="A12" s="51" t="s">
        <v>280</v>
      </c>
      <c r="B12" s="51" t="s">
        <v>275</v>
      </c>
    </row>
    <row r="13" spans="1:2" ht="39.950000000000003" customHeight="1" x14ac:dyDescent="0.25">
      <c r="A13" s="51" t="s">
        <v>281</v>
      </c>
      <c r="B13" s="51" t="s">
        <v>275</v>
      </c>
    </row>
    <row r="14" spans="1:2" ht="39.950000000000003" customHeight="1" x14ac:dyDescent="0.25">
      <c r="A14" s="51" t="s">
        <v>282</v>
      </c>
      <c r="B14" s="51" t="s">
        <v>275</v>
      </c>
    </row>
    <row r="15" spans="1:2" ht="39.950000000000003" customHeight="1" x14ac:dyDescent="0.25">
      <c r="A15" s="51" t="s">
        <v>283</v>
      </c>
      <c r="B15" s="51" t="s">
        <v>275</v>
      </c>
    </row>
    <row r="16" spans="1:2" ht="39.950000000000003" customHeight="1" x14ac:dyDescent="0.25">
      <c r="A16" s="51" t="s">
        <v>284</v>
      </c>
      <c r="B16" s="52" t="s">
        <v>285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Usinas</vt:lpstr>
      <vt:lpstr>Materiais</vt:lpstr>
      <vt:lpstr>Tubarão - Rota</vt:lpstr>
      <vt:lpstr>TPM - Rota</vt:lpstr>
      <vt:lpstr>TR - Geral</vt:lpstr>
      <vt:lpstr>TPD - Rota</vt:lpstr>
      <vt:lpstr>TR-TPD</vt:lpstr>
      <vt:lpstr>Controles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Mergulhão</dc:creator>
  <cp:lastModifiedBy>Vanessa Brusco Filete</cp:lastModifiedBy>
  <dcterms:created xsi:type="dcterms:W3CDTF">2018-11-02T12:22:15Z</dcterms:created>
  <dcterms:modified xsi:type="dcterms:W3CDTF">2019-06-06T19:32:46Z</dcterms:modified>
</cp:coreProperties>
</file>