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FE-Locomotiva" sheetId="3" r:id="rId1"/>
    <sheet name="Emissão Vias" sheetId="2" r:id="rId2"/>
    <sheet name="Emissão Locomotivas" sheetId="1" r:id="rId3"/>
    <sheet name="Emissão Maq e Equip" sheetId="4" r:id="rId4"/>
  </sheets>
  <calcPr calcId="152511"/>
</workbook>
</file>

<file path=xl/calcChain.xml><?xml version="1.0" encoding="utf-8"?>
<calcChain xmlns="http://schemas.openxmlformats.org/spreadsheetml/2006/main">
  <c r="H18" i="1" l="1"/>
  <c r="H19" i="1"/>
  <c r="H17" i="1"/>
  <c r="I17" i="1" l="1"/>
  <c r="J17" i="1" l="1"/>
  <c r="K17" i="1"/>
  <c r="L17" i="1"/>
  <c r="M17" i="1"/>
  <c r="N17" i="1"/>
  <c r="O17" i="1"/>
  <c r="P17" i="1"/>
  <c r="I19" i="1" l="1"/>
  <c r="I18" i="1"/>
  <c r="N18" i="1" l="1"/>
  <c r="P18" i="1"/>
  <c r="J18" i="1"/>
  <c r="K18" i="1"/>
  <c r="O18" i="1"/>
  <c r="L18" i="1"/>
  <c r="M18" i="1"/>
  <c r="L19" i="1"/>
  <c r="P19" i="1"/>
  <c r="K19" i="1"/>
  <c r="M19" i="1"/>
  <c r="N19" i="1"/>
  <c r="O19" i="1"/>
  <c r="J19" i="1"/>
  <c r="P6" i="4"/>
  <c r="G2" i="2" l="1"/>
  <c r="O10" i="4" l="1"/>
  <c r="O18" i="4"/>
  <c r="O26" i="4"/>
  <c r="M4" i="4"/>
  <c r="N4" i="4" s="1"/>
  <c r="P4" i="4"/>
  <c r="R4" i="4"/>
  <c r="Q4" i="4"/>
  <c r="S4" i="4"/>
  <c r="M5" i="4"/>
  <c r="N5" i="4" s="1"/>
  <c r="P5" i="4"/>
  <c r="R5" i="4"/>
  <c r="Q5" i="4"/>
  <c r="S5" i="4"/>
  <c r="M6" i="4"/>
  <c r="N6" i="4" s="1"/>
  <c r="R6" i="4"/>
  <c r="Q6" i="4"/>
  <c r="S6" i="4"/>
  <c r="M7" i="4"/>
  <c r="N7" i="4" s="1"/>
  <c r="P7" i="4"/>
  <c r="R7" i="4"/>
  <c r="Q7" i="4"/>
  <c r="S7" i="4"/>
  <c r="M8" i="4"/>
  <c r="N8" i="4" s="1"/>
  <c r="P8" i="4"/>
  <c r="R8" i="4"/>
  <c r="Q8" i="4"/>
  <c r="S8" i="4"/>
  <c r="M9" i="4"/>
  <c r="N9" i="4" s="1"/>
  <c r="P9" i="4"/>
  <c r="R9" i="4"/>
  <c r="Q9" i="4"/>
  <c r="S9" i="4"/>
  <c r="M10" i="4"/>
  <c r="N10" i="4" s="1"/>
  <c r="P10" i="4"/>
  <c r="R10" i="4"/>
  <c r="Q10" i="4"/>
  <c r="S10" i="4"/>
  <c r="M11" i="4"/>
  <c r="N11" i="4" s="1"/>
  <c r="P11" i="4"/>
  <c r="R11" i="4"/>
  <c r="Q11" i="4"/>
  <c r="S11" i="4"/>
  <c r="M12" i="4"/>
  <c r="N12" i="4" s="1"/>
  <c r="P12" i="4"/>
  <c r="R12" i="4"/>
  <c r="Q12" i="4"/>
  <c r="S12" i="4"/>
  <c r="M13" i="4"/>
  <c r="N13" i="4" s="1"/>
  <c r="P13" i="4"/>
  <c r="R13" i="4"/>
  <c r="Q13" i="4"/>
  <c r="S13" i="4"/>
  <c r="M14" i="4"/>
  <c r="N14" i="4" s="1"/>
  <c r="P14" i="4"/>
  <c r="R14" i="4"/>
  <c r="Q14" i="4"/>
  <c r="S14" i="4"/>
  <c r="M15" i="4"/>
  <c r="N15" i="4" s="1"/>
  <c r="P15" i="4"/>
  <c r="R15" i="4"/>
  <c r="Q15" i="4"/>
  <c r="S15" i="4"/>
  <c r="M16" i="4"/>
  <c r="N16" i="4" s="1"/>
  <c r="P16" i="4"/>
  <c r="R16" i="4"/>
  <c r="Q16" i="4"/>
  <c r="S16" i="4"/>
  <c r="M17" i="4"/>
  <c r="N17" i="4" s="1"/>
  <c r="P17" i="4"/>
  <c r="R17" i="4"/>
  <c r="Q17" i="4"/>
  <c r="S17" i="4"/>
  <c r="M18" i="4"/>
  <c r="N18" i="4" s="1"/>
  <c r="P18" i="4"/>
  <c r="R18" i="4"/>
  <c r="Q18" i="4"/>
  <c r="S18" i="4"/>
  <c r="M19" i="4"/>
  <c r="N19" i="4" s="1"/>
  <c r="P19" i="4"/>
  <c r="R19" i="4"/>
  <c r="Q19" i="4"/>
  <c r="S19" i="4"/>
  <c r="M20" i="4"/>
  <c r="N20" i="4" s="1"/>
  <c r="P20" i="4"/>
  <c r="R20" i="4"/>
  <c r="Q20" i="4"/>
  <c r="S20" i="4"/>
  <c r="M21" i="4"/>
  <c r="N21" i="4" s="1"/>
  <c r="P21" i="4"/>
  <c r="R21" i="4"/>
  <c r="Q21" i="4"/>
  <c r="S21" i="4"/>
  <c r="M22" i="4"/>
  <c r="N22" i="4" s="1"/>
  <c r="P22" i="4"/>
  <c r="R22" i="4"/>
  <c r="Q22" i="4"/>
  <c r="S22" i="4"/>
  <c r="M23" i="4"/>
  <c r="N23" i="4" s="1"/>
  <c r="P23" i="4"/>
  <c r="R23" i="4"/>
  <c r="Q23" i="4"/>
  <c r="S23" i="4"/>
  <c r="M24" i="4"/>
  <c r="N24" i="4" s="1"/>
  <c r="P24" i="4"/>
  <c r="R24" i="4"/>
  <c r="Q24" i="4"/>
  <c r="S24" i="4"/>
  <c r="M25" i="4"/>
  <c r="N25" i="4" s="1"/>
  <c r="P25" i="4"/>
  <c r="R25" i="4"/>
  <c r="Q25" i="4"/>
  <c r="S25" i="4"/>
  <c r="M26" i="4"/>
  <c r="N26" i="4" s="1"/>
  <c r="P26" i="4"/>
  <c r="R26" i="4"/>
  <c r="Q26" i="4"/>
  <c r="S26" i="4"/>
  <c r="R3" i="4"/>
  <c r="Q3" i="4"/>
  <c r="S3" i="4"/>
  <c r="P3" i="4"/>
  <c r="M3" i="4"/>
  <c r="O3" i="4" s="1"/>
  <c r="P27" i="4" l="1"/>
  <c r="O24" i="4"/>
  <c r="O16" i="4"/>
  <c r="O8" i="4"/>
  <c r="R27" i="4"/>
  <c r="O22" i="4"/>
  <c r="O14" i="4"/>
  <c r="O6" i="4"/>
  <c r="S27" i="4"/>
  <c r="O20" i="4"/>
  <c r="O12" i="4"/>
  <c r="O4" i="4"/>
  <c r="Q27" i="4"/>
  <c r="N3" i="4"/>
  <c r="N27" i="4" s="1"/>
  <c r="O25" i="4"/>
  <c r="O23" i="4"/>
  <c r="O21" i="4"/>
  <c r="O19" i="4"/>
  <c r="O17" i="4"/>
  <c r="O15" i="4"/>
  <c r="O13" i="4"/>
  <c r="O11" i="4"/>
  <c r="O9" i="4"/>
  <c r="O7" i="4"/>
  <c r="O5" i="4"/>
  <c r="O27" i="4" s="1"/>
  <c r="M27" i="4"/>
  <c r="B42" i="2"/>
  <c r="F18" i="1" l="1"/>
  <c r="A26" i="1"/>
  <c r="D18" i="1"/>
  <c r="B22" i="3"/>
  <c r="I5" i="3" s="1"/>
  <c r="H5" i="3" l="1"/>
  <c r="N6" i="3"/>
  <c r="F26" i="1" s="1"/>
  <c r="N7" i="3"/>
  <c r="N8" i="3"/>
  <c r="N9" i="3"/>
  <c r="N10" i="3"/>
  <c r="N11" i="3"/>
  <c r="N12" i="3"/>
  <c r="N5" i="3"/>
  <c r="D19" i="1" l="1"/>
  <c r="F19" i="1"/>
  <c r="B19" i="1"/>
  <c r="B18" i="1"/>
  <c r="E17" i="1"/>
  <c r="E18" i="1" s="1"/>
  <c r="E19" i="1" s="1"/>
  <c r="D17" i="1"/>
  <c r="B17" i="1"/>
  <c r="C17" i="1"/>
  <c r="C19" i="1" s="1"/>
  <c r="B5" i="1"/>
  <c r="F17" i="1" s="1"/>
  <c r="G17" i="1" l="1"/>
  <c r="G19" i="1"/>
  <c r="G18" i="1"/>
  <c r="C18" i="1"/>
  <c r="L12" i="3" l="1"/>
  <c r="L11" i="3"/>
  <c r="L10" i="3"/>
  <c r="K10" i="3"/>
  <c r="I9" i="3"/>
  <c r="H9" i="3" s="1"/>
  <c r="L7" i="3"/>
  <c r="L6" i="3"/>
  <c r="E26" i="1" s="1"/>
  <c r="K6" i="3"/>
  <c r="H26" i="1" s="1"/>
  <c r="N20" i="1" l="1"/>
  <c r="M5" i="3"/>
  <c r="I8" i="3"/>
  <c r="H8" i="3" s="1"/>
  <c r="M9" i="3"/>
  <c r="I12" i="3"/>
  <c r="H12" i="3" s="1"/>
  <c r="K7" i="3"/>
  <c r="M8" i="3"/>
  <c r="K11" i="3"/>
  <c r="M12" i="3"/>
  <c r="J5" i="3"/>
  <c r="J9" i="3"/>
  <c r="K5" i="3"/>
  <c r="M6" i="3"/>
  <c r="G26" i="1" s="1"/>
  <c r="I7" i="3"/>
  <c r="M7" i="3"/>
  <c r="K8" i="3"/>
  <c r="K9" i="3"/>
  <c r="M10" i="3"/>
  <c r="I11" i="3"/>
  <c r="M11" i="3"/>
  <c r="K12" i="3"/>
  <c r="L5" i="3"/>
  <c r="I6" i="3"/>
  <c r="L8" i="3"/>
  <c r="L9" i="3"/>
  <c r="I10" i="3"/>
  <c r="J10" i="3" s="1"/>
  <c r="J8" i="3"/>
  <c r="M20" i="1" l="1"/>
  <c r="P20" i="1"/>
  <c r="J6" i="3"/>
  <c r="D26" i="1" s="1"/>
  <c r="C26" i="1"/>
  <c r="J12" i="3"/>
  <c r="H10" i="3"/>
  <c r="J11" i="3"/>
  <c r="H11" i="3"/>
  <c r="J7" i="3"/>
  <c r="H7" i="3"/>
  <c r="H6" i="3"/>
  <c r="B26" i="1" s="1"/>
  <c r="O20" i="1" l="1"/>
  <c r="G3" i="2"/>
  <c r="C13" i="2" s="1"/>
  <c r="G4" i="2"/>
  <c r="G5" i="2"/>
  <c r="G6" i="2"/>
  <c r="B14" i="2" s="1"/>
  <c r="M14" i="2" s="1"/>
  <c r="B13" i="2" l="1"/>
  <c r="M13" i="2" s="1"/>
  <c r="M15" i="2" s="1"/>
  <c r="L20" i="1"/>
  <c r="K20" i="1"/>
  <c r="J20" i="1"/>
  <c r="G13" i="2"/>
  <c r="J13" i="2" s="1"/>
  <c r="H13" i="2"/>
  <c r="K14" i="2" s="1"/>
  <c r="I13" i="2"/>
  <c r="L14" i="2" s="1"/>
  <c r="P14" i="2"/>
  <c r="P13" i="2"/>
  <c r="N14" i="2"/>
  <c r="N13" i="2"/>
  <c r="O14" i="2"/>
  <c r="O13" i="2"/>
  <c r="N15" i="2" l="1"/>
  <c r="O15" i="2"/>
  <c r="P15" i="2"/>
  <c r="L13" i="2"/>
  <c r="L15" i="2" s="1"/>
  <c r="J14" i="2"/>
  <c r="J15" i="2" s="1"/>
  <c r="K13" i="2"/>
  <c r="K15" i="2" s="1"/>
</calcChain>
</file>

<file path=xl/comments1.xml><?xml version="1.0" encoding="utf-8"?>
<comments xmlns="http://schemas.openxmlformats.org/spreadsheetml/2006/main">
  <authors>
    <author>Autor</author>
  </authors>
  <commentList>
    <comment ref="H4" authorId="0" shapeId="0">
      <text>
        <r>
          <rPr>
            <b/>
            <sz val="9"/>
            <color indexed="81"/>
            <rFont val="Segoe UI"/>
            <family val="2"/>
          </rPr>
          <t>Consideração:</t>
        </r>
        <r>
          <rPr>
            <sz val="9"/>
            <color indexed="81"/>
            <rFont val="Segoe UI"/>
            <family val="2"/>
          </rPr>
          <t xml:space="preserve">
PM considerado igual ao PM10</t>
        </r>
      </text>
    </comment>
    <comment ref="J4" authorId="0" shapeId="0">
      <text>
        <r>
          <rPr>
            <b/>
            <sz val="8"/>
            <color indexed="81"/>
            <rFont val="Tahoma"/>
            <family val="2"/>
          </rPr>
          <t>Autor:</t>
        </r>
        <r>
          <rPr>
            <sz val="8"/>
            <color indexed="81"/>
            <rFont val="Tahoma"/>
            <family val="2"/>
          </rPr>
          <t xml:space="preserve">
Emissão de PM2,5 é 0,97 vezes a emissão de PM10
</t>
        </r>
      </text>
    </comment>
    <comment ref="Q5" authorId="0" shapeId="0">
      <text>
        <r>
          <rPr>
            <sz val="9"/>
            <color indexed="81"/>
            <rFont val="Tahoma"/>
            <family val="2"/>
          </rPr>
          <t>ANP:
Óleo diesel S1800 de uso não rodoviário:
- Mineração a céu aberto
- Transporte ferroviário
- Geração de energia elétrica (outorgado pela ANEEL como produtor independente de energia ou serviço público)</t>
        </r>
      </text>
    </comment>
    <comment ref="Q7" authorId="0" shapeId="0">
      <text>
        <r>
          <rPr>
            <sz val="9"/>
            <color indexed="81"/>
            <rFont val="Tahoma"/>
            <family val="2"/>
          </rPr>
          <t>Considerado todo S se transformando em SO2</t>
        </r>
      </text>
    </comment>
    <comment ref="A20" authorId="0" shapeId="0">
      <text>
        <r>
          <rPr>
            <b/>
            <sz val="8"/>
            <color indexed="81"/>
            <rFont val="Tahoma"/>
            <family val="2"/>
          </rPr>
          <t>Autor:</t>
        </r>
        <r>
          <rPr>
            <sz val="8"/>
            <color indexed="81"/>
            <rFont val="Tahoma"/>
            <family val="2"/>
          </rPr>
          <t xml:space="preserve">
1 galão = 3,78541178 L
</t>
        </r>
      </text>
    </comment>
  </commentList>
</comments>
</file>

<file path=xl/comments2.xml><?xml version="1.0" encoding="utf-8"?>
<comments xmlns="http://schemas.openxmlformats.org/spreadsheetml/2006/main">
  <authors>
    <author>Autor</author>
  </authors>
  <commentList>
    <comment ref="C1" authorId="0" shapeId="0">
      <text>
        <r>
          <rPr>
            <b/>
            <sz val="9"/>
            <color indexed="81"/>
            <rFont val="Segoe UI"/>
            <family val="2"/>
          </rPr>
          <t>Referência:</t>
        </r>
        <r>
          <rPr>
            <sz val="9"/>
            <color indexed="81"/>
            <rFont val="Segoe UI"/>
            <family val="2"/>
          </rPr>
          <t xml:space="preserve">
Valor referente ao consumo específico de referência, considerando o ano de 2015</t>
        </r>
      </text>
    </comment>
    <comment ref="F13" authorId="0" shapeId="0">
      <text>
        <r>
          <rPr>
            <sz val="9"/>
            <color indexed="81"/>
            <rFont val="Segoe UI"/>
            <family val="2"/>
          </rPr>
          <t xml:space="preserve">WRAP Fugitive Dust Handbook (2006)
</t>
        </r>
      </text>
    </comment>
  </commentList>
</comments>
</file>

<file path=xl/comments3.xml><?xml version="1.0" encoding="utf-8"?>
<comments xmlns="http://schemas.openxmlformats.org/spreadsheetml/2006/main">
  <authors>
    <author>Autor</author>
  </authors>
  <commentList>
    <comment ref="B4" authorId="0" shapeId="0">
      <text>
        <r>
          <rPr>
            <b/>
            <sz val="9"/>
            <color indexed="81"/>
            <rFont val="Segoe UI"/>
            <family val="2"/>
          </rPr>
          <t>observação:</t>
        </r>
        <r>
          <rPr>
            <sz val="9"/>
            <color indexed="81"/>
            <rFont val="Segoe UI"/>
            <family val="2"/>
          </rPr>
          <t xml:space="preserve">
Quantidade de material transportado [tonelada útil/ano]</t>
        </r>
      </text>
    </comment>
    <comment ref="B15" authorId="0" shapeId="0">
      <text>
        <r>
          <rPr>
            <b/>
            <sz val="9"/>
            <color indexed="81"/>
            <rFont val="Segoe UI"/>
            <family val="2"/>
          </rPr>
          <t>Consideração:</t>
        </r>
        <r>
          <rPr>
            <sz val="9"/>
            <color indexed="81"/>
            <rFont val="Segoe UI"/>
            <family val="2"/>
          </rPr>
          <t xml:space="preserve">
Rota ferroviária que está na zona urbana da RGV</t>
        </r>
      </text>
    </comment>
    <comment ref="F18" authorId="0" shapeId="0">
      <text>
        <r>
          <rPr>
            <b/>
            <sz val="9"/>
            <color indexed="81"/>
            <rFont val="Segoe UI"/>
            <family val="2"/>
          </rPr>
          <t>Consideração:</t>
        </r>
        <r>
          <rPr>
            <sz val="9"/>
            <color indexed="81"/>
            <rFont val="Segoe UI"/>
            <family val="2"/>
          </rPr>
          <t xml:space="preserve">
80% da carga geral vai para tubarão</t>
        </r>
      </text>
    </comment>
    <comment ref="F19" authorId="0" shapeId="0">
      <text>
        <r>
          <rPr>
            <b/>
            <sz val="9"/>
            <color indexed="81"/>
            <rFont val="Segoe UI"/>
            <family val="2"/>
          </rPr>
          <t>Consideração:</t>
        </r>
        <r>
          <rPr>
            <sz val="9"/>
            <color indexed="81"/>
            <rFont val="Segoe UI"/>
            <family val="2"/>
          </rPr>
          <t xml:space="preserve">
20% da carga geral vai para região do porto de capuaba</t>
        </r>
      </text>
    </comment>
  </commentList>
</comments>
</file>

<file path=xl/comments4.xml><?xml version="1.0" encoding="utf-8"?>
<comments xmlns="http://schemas.openxmlformats.org/spreadsheetml/2006/main">
  <authors>
    <author>Autor</author>
  </authors>
  <commentList>
    <comment ref="N2" authorId="0" shapeId="0">
      <text>
        <r>
          <rPr>
            <sz val="9"/>
            <color indexed="81"/>
            <rFont val="Segoe UI"/>
            <family val="2"/>
          </rPr>
          <t>Devido à inexistência de fator para PM10, foi considerado PM10 = PM.</t>
        </r>
      </text>
    </comment>
    <comment ref="O2" authorId="0" shapeId="0">
      <text>
        <r>
          <rPr>
            <sz val="9"/>
            <color indexed="81"/>
            <rFont val="Segoe UI"/>
            <family val="2"/>
          </rPr>
          <t>Devido à inexistência de fator para PM2.5, foi considerado PM2.5 = PM.</t>
        </r>
      </text>
    </comment>
    <comment ref="Q2" authorId="0" shapeId="0">
      <text>
        <r>
          <rPr>
            <sz val="9"/>
            <color indexed="81"/>
            <rFont val="Segoe UI"/>
            <family val="2"/>
          </rPr>
          <t>Devido à inexistência de fator para SO2, foi considerado fator de SOx para SO2.</t>
        </r>
      </text>
    </comment>
    <comment ref="S2"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sharedStrings.xml><?xml version="1.0" encoding="utf-8"?>
<sst xmlns="http://schemas.openxmlformats.org/spreadsheetml/2006/main" count="272" uniqueCount="186">
  <si>
    <t>Fator Ajuste:</t>
  </si>
  <si>
    <t>Dez</t>
  </si>
  <si>
    <t>Nov</t>
  </si>
  <si>
    <t>Out</t>
  </si>
  <si>
    <t>Set</t>
  </si>
  <si>
    <t>Ago</t>
  </si>
  <si>
    <t>Jul</t>
  </si>
  <si>
    <t>Jun</t>
  </si>
  <si>
    <t>Mai</t>
  </si>
  <si>
    <t>Abr</t>
  </si>
  <si>
    <t>Mar</t>
  </si>
  <si>
    <t>Fev</t>
  </si>
  <si>
    <t>Jan</t>
  </si>
  <si>
    <t>Número de Horas com Precipitação &gt; 0,254 mm</t>
  </si>
  <si>
    <t>Precipitação Acumulada (mm)</t>
  </si>
  <si>
    <t xml:space="preserve">Mês </t>
  </si>
  <si>
    <t>Ano 2015</t>
  </si>
  <si>
    <t>Fonte: Estação INMET - ES_A612_Vitoria</t>
  </si>
  <si>
    <t>-</t>
  </si>
  <si>
    <t>Veículos Pesados</t>
  </si>
  <si>
    <t>Veículos Leves</t>
  </si>
  <si>
    <t>PM</t>
  </si>
  <si>
    <t>HCT</t>
  </si>
  <si>
    <t>CO</t>
  </si>
  <si>
    <t>NOX</t>
  </si>
  <si>
    <t>Desgaste da Pista</t>
  </si>
  <si>
    <t>Desgaste Pneus e Freio</t>
  </si>
  <si>
    <t>Evaporativa</t>
  </si>
  <si>
    <t>Escapamento</t>
  </si>
  <si>
    <t>Fator de emissão médio da frota veicular da RGV [g/km]</t>
  </si>
  <si>
    <t>Classe de Veículo</t>
  </si>
  <si>
    <t>Total</t>
  </si>
  <si>
    <t>Vias - Veículos Pesados</t>
  </si>
  <si>
    <t>Umectação</t>
  </si>
  <si>
    <t>Vias - Veículos Leves</t>
  </si>
  <si>
    <t>Eficiência</t>
  </si>
  <si>
    <t>Tipo</t>
  </si>
  <si>
    <t>Taxa de Emissão Total [kg/h]</t>
  </si>
  <si>
    <t>FE de ressuspensão [g/km]</t>
  </si>
  <si>
    <t>Controle Ambiental</t>
  </si>
  <si>
    <t>Teor de silt [g/m²]</t>
  </si>
  <si>
    <t>W [t]</t>
  </si>
  <si>
    <t>DMT [km/h]</t>
  </si>
  <si>
    <t>Fonte</t>
  </si>
  <si>
    <t>Vias pavimentadas</t>
  </si>
  <si>
    <t>diesel</t>
  </si>
  <si>
    <t>Caminhões</t>
  </si>
  <si>
    <t>etanol</t>
  </si>
  <si>
    <t>gasolina</t>
  </si>
  <si>
    <t>Veículos leves</t>
  </si>
  <si>
    <t>Ônibus</t>
  </si>
  <si>
    <t>Nº de Veículos</t>
  </si>
  <si>
    <t>Peso Médio [t]</t>
  </si>
  <si>
    <t>Consumo [L]</t>
  </si>
  <si>
    <t>Consumo Específico [km/L]</t>
  </si>
  <si>
    <t>Veículo</t>
  </si>
  <si>
    <t>EPA (Table 1) - Line-haul Emission Factors (g/bhp-hr)</t>
  </si>
  <si>
    <t>Fatores de Emissão - Line-haul Emission Factors (g/L)</t>
  </si>
  <si>
    <t>HC</t>
  </si>
  <si>
    <t>Uncontrolled</t>
  </si>
  <si>
    <t>Obs.:</t>
  </si>
  <si>
    <r>
      <t>O SO</t>
    </r>
    <r>
      <rPr>
        <vertAlign val="subscript"/>
        <sz val="8"/>
        <color theme="1"/>
        <rFont val="Arial"/>
        <family val="2"/>
      </rPr>
      <t>2</t>
    </r>
    <r>
      <rPr>
        <sz val="8"/>
        <color theme="1"/>
        <rFont val="Arial"/>
        <family val="2"/>
      </rPr>
      <t xml:space="preserve"> foi calculado com base no balanço de massa</t>
    </r>
  </si>
  <si>
    <t>TIER 0</t>
  </si>
  <si>
    <t>TIER 0+</t>
  </si>
  <si>
    <r>
      <t>Fator conversão S - SO</t>
    </r>
    <r>
      <rPr>
        <vertAlign val="subscript"/>
        <sz val="8"/>
        <color theme="1"/>
        <rFont val="Arial"/>
        <family val="2"/>
      </rPr>
      <t>2</t>
    </r>
  </si>
  <si>
    <t>TIER 1</t>
  </si>
  <si>
    <t>TIER 1+</t>
  </si>
  <si>
    <t>TIER 2</t>
  </si>
  <si>
    <t>TIER 2+ &amp; TIER 3</t>
  </si>
  <si>
    <t>TIER 4</t>
  </si>
  <si>
    <t>Fator de Conversão (bhp-hr/gal)</t>
  </si>
  <si>
    <t>Line-haul</t>
  </si>
  <si>
    <t>Fabricação (ano)</t>
  </si>
  <si>
    <t>Locomotive Application</t>
  </si>
  <si>
    <t xml:space="preserve">Fator </t>
  </si>
  <si>
    <t xml:space="preserve">Tier 0 </t>
  </si>
  <si>
    <t>1973-1992</t>
  </si>
  <si>
    <t>Large Line-Haul and Passenger</t>
  </si>
  <si>
    <t>Tier 1</t>
  </si>
  <si>
    <t>1993-2004</t>
  </si>
  <si>
    <t>Tier 2</t>
  </si>
  <si>
    <t>2005-2011</t>
  </si>
  <si>
    <t>Tier 3</t>
  </si>
  <si>
    <t>2012-2014</t>
  </si>
  <si>
    <t>Tier 4</t>
  </si>
  <si>
    <t>A partir de 2015</t>
  </si>
  <si>
    <t>Switch</t>
  </si>
  <si>
    <t>1973-2001</t>
  </si>
  <si>
    <t>2002-2004</t>
  </si>
  <si>
    <t>2005-2010</t>
  </si>
  <si>
    <t>2011-2014</t>
  </si>
  <si>
    <r>
      <t>PM</t>
    </r>
    <r>
      <rPr>
        <b/>
        <vertAlign val="subscript"/>
        <sz val="8"/>
        <color theme="1"/>
        <rFont val="Arial"/>
        <family val="2"/>
      </rPr>
      <t>10</t>
    </r>
  </si>
  <si>
    <r>
      <t>NO</t>
    </r>
    <r>
      <rPr>
        <b/>
        <vertAlign val="subscript"/>
        <sz val="8"/>
        <color theme="1"/>
        <rFont val="Arial"/>
        <family val="2"/>
      </rPr>
      <t>x</t>
    </r>
  </si>
  <si>
    <r>
      <t>PM</t>
    </r>
    <r>
      <rPr>
        <b/>
        <vertAlign val="subscript"/>
        <sz val="8"/>
        <color theme="1"/>
        <rFont val="Arial"/>
        <family val="2"/>
      </rPr>
      <t>2,5</t>
    </r>
    <r>
      <rPr>
        <sz val="11"/>
        <color theme="1"/>
        <rFont val="Calibri"/>
        <family val="2"/>
        <scheme val="minor"/>
      </rPr>
      <t/>
    </r>
  </si>
  <si>
    <r>
      <t>SO</t>
    </r>
    <r>
      <rPr>
        <b/>
        <vertAlign val="subscript"/>
        <sz val="8"/>
        <color theme="1"/>
        <rFont val="Arial"/>
        <family val="2"/>
      </rPr>
      <t>2</t>
    </r>
  </si>
  <si>
    <t>Tipo Locomotiva</t>
  </si>
  <si>
    <t>Comentário</t>
  </si>
  <si>
    <t>Material Trasnportado</t>
  </si>
  <si>
    <t>Minério</t>
  </si>
  <si>
    <t>Carga Geral</t>
  </si>
  <si>
    <t>XXXX</t>
  </si>
  <si>
    <t>DDM-45</t>
  </si>
  <si>
    <t>1976 - 1979</t>
  </si>
  <si>
    <t>DASH 8M</t>
  </si>
  <si>
    <t>DASH 9M</t>
  </si>
  <si>
    <t>DASH 9W</t>
  </si>
  <si>
    <t>Produto</t>
  </si>
  <si>
    <t>Carga geral (Vale)</t>
  </si>
  <si>
    <t>Carga geral (outros)</t>
  </si>
  <si>
    <t>Tipo de locomotiva</t>
  </si>
  <si>
    <t>Ano de Fabricação</t>
  </si>
  <si>
    <t>As principais de viagem são DDM e DASH, as demais trabalham em pátio.</t>
  </si>
  <si>
    <t>G-12
G-16
GT26CU-2
EMD DDM45-MP
BB40-8 (DASH 8M)
BB40-9 (DASH 9M)
BB40-9W (DASH 9W)</t>
  </si>
  <si>
    <t>Consumo Diesel
[L/ano]</t>
  </si>
  <si>
    <t>Capacidade dos vagões
[t/vagão]</t>
  </si>
  <si>
    <t>Tara dos Vagões [t/vagão]</t>
  </si>
  <si>
    <t>Quantidade transportada [TU/ano]</t>
  </si>
  <si>
    <t>Tara dos Vagões
[t/vagão]</t>
  </si>
  <si>
    <t>Capacidade vagões
[t/vagão]</t>
  </si>
  <si>
    <t>Útil
[TU/ano]</t>
  </si>
  <si>
    <t>Bruta
[TB/ano]</t>
  </si>
  <si>
    <t>Bruta por km
[TKB/ano]</t>
  </si>
  <si>
    <t>Consumo
[L/h]</t>
  </si>
  <si>
    <t>Teor de enxofre no diesel</t>
  </si>
  <si>
    <t>kg S/kg diesel</t>
  </si>
  <si>
    <t>Densidade diesel</t>
  </si>
  <si>
    <t>kg/L</t>
  </si>
  <si>
    <t>https://nepis.epa.gov/Exe/ZyPURL.cgi?Dockey=P100500B.TXT</t>
  </si>
  <si>
    <t>Referência:</t>
  </si>
  <si>
    <t>Fator de Conversão (bhp-hr/L)</t>
  </si>
  <si>
    <t>Distância da rota ferroviária [km]</t>
  </si>
  <si>
    <t>Observação:</t>
  </si>
  <si>
    <t>The first set of standards (Tier 0) applies to most locomotives originally manufactured before 2001. The most stringent set of standards (Tier 4) applies to locomotives originally manufactured in 2015 and later.</t>
  </si>
  <si>
    <t>Classe do Fator</t>
  </si>
  <si>
    <t>Fator de emissão [g/L]</t>
  </si>
  <si>
    <t>Taxa de Emissão [kg/h]</t>
  </si>
  <si>
    <t>Quantidade de Material Transportada</t>
  </si>
  <si>
    <t>Equipamento</t>
  </si>
  <si>
    <t>Modelo</t>
  </si>
  <si>
    <t>Quantidade</t>
  </si>
  <si>
    <t>Capacidade [t]</t>
  </si>
  <si>
    <t>Horas Trabalhadas</t>
  </si>
  <si>
    <t>Consumo de Combustível [L/h]</t>
  </si>
  <si>
    <t>PÁ CARREGADEIRA</t>
  </si>
  <si>
    <t>CAT0962 H</t>
  </si>
  <si>
    <t>CAT0962 G</t>
  </si>
  <si>
    <t>CAT0966 H</t>
  </si>
  <si>
    <t>CAT0980 H</t>
  </si>
  <si>
    <t>VOLVOL90 E</t>
  </si>
  <si>
    <t>VOLVOL120 D</t>
  </si>
  <si>
    <t>VOLVOL330 D</t>
  </si>
  <si>
    <t>TRATOR DE ESTEIRA</t>
  </si>
  <si>
    <t>CAT00D8 T</t>
  </si>
  <si>
    <t>CAT00D8 R</t>
  </si>
  <si>
    <t>MINICARREGADEIRA</t>
  </si>
  <si>
    <t>CAT0226 B</t>
  </si>
  <si>
    <t>MOTONIVELADORA</t>
  </si>
  <si>
    <t>CAT0140 M</t>
  </si>
  <si>
    <t>RETRO ESCAVADEIRA</t>
  </si>
  <si>
    <t>CAT0416 E</t>
  </si>
  <si>
    <t>ESCAVADEIRA</t>
  </si>
  <si>
    <t>CAT0320 C</t>
  </si>
  <si>
    <t>CAT323 D</t>
  </si>
  <si>
    <t>CAT0312 D</t>
  </si>
  <si>
    <t>CAT0305 D</t>
  </si>
  <si>
    <t>GUINDASTE</t>
  </si>
  <si>
    <t>GMK5220</t>
  </si>
  <si>
    <t>GMK5130-2</t>
  </si>
  <si>
    <t>LTM1070-4.2</t>
  </si>
  <si>
    <t>MD30</t>
  </si>
  <si>
    <t>MD300</t>
  </si>
  <si>
    <t>GUINDASTE ORMIG - 10127GO</t>
  </si>
  <si>
    <t>10 TM</t>
  </si>
  <si>
    <t>GUINDASTE ORMIG - 10148GO</t>
  </si>
  <si>
    <t>Potência [hp]</t>
  </si>
  <si>
    <t>ROG</t>
  </si>
  <si>
    <t>Fator de Emissão [kg/h]</t>
  </si>
  <si>
    <r>
      <t>PM</t>
    </r>
    <r>
      <rPr>
        <b/>
        <vertAlign val="subscript"/>
        <sz val="8"/>
        <color theme="0"/>
        <rFont val="Arial"/>
        <family val="2"/>
      </rPr>
      <t>10</t>
    </r>
  </si>
  <si>
    <r>
      <t>PM</t>
    </r>
    <r>
      <rPr>
        <b/>
        <vertAlign val="subscript"/>
        <sz val="8"/>
        <color theme="0"/>
        <rFont val="Arial"/>
        <family val="2"/>
      </rPr>
      <t>2.5</t>
    </r>
  </si>
  <si>
    <r>
      <t>NO</t>
    </r>
    <r>
      <rPr>
        <b/>
        <vertAlign val="subscript"/>
        <sz val="8"/>
        <color theme="0"/>
        <rFont val="Arial"/>
        <family val="2"/>
      </rPr>
      <t>X</t>
    </r>
  </si>
  <si>
    <r>
      <t>SO</t>
    </r>
    <r>
      <rPr>
        <b/>
        <vertAlign val="subscript"/>
        <sz val="8"/>
        <color theme="0"/>
        <rFont val="Arial"/>
        <family val="2"/>
      </rPr>
      <t>2</t>
    </r>
  </si>
  <si>
    <t>VOC</t>
  </si>
  <si>
    <t>TOTAL</t>
  </si>
  <si>
    <t>Eficiência Energética 
[L/TKB]</t>
  </si>
  <si>
    <r>
      <t>SO</t>
    </r>
    <r>
      <rPr>
        <b/>
        <vertAlign val="subscript"/>
        <sz val="8"/>
        <color theme="0"/>
        <rFont val="Arial"/>
        <family val="2"/>
      </rPr>
      <t>X</t>
    </r>
  </si>
  <si>
    <t>Eficiência Energética
[L/1000TKB]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</si>
</sst>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0.000"/>
    <numFmt numFmtId="167" formatCode="0.0000"/>
    <numFmt numFmtId="168" formatCode="[&gt;=0.005]\ #,##0.00;[&lt;0.005]&quot;&lt;0,01&quot;"/>
  </numFmts>
  <fonts count="16" x14ac:knownFonts="1">
    <font>
      <sz val="11"/>
      <color theme="1"/>
      <name val="Calibri"/>
      <family val="2"/>
      <scheme val="minor"/>
    </font>
    <font>
      <sz val="8"/>
      <color theme="1"/>
      <name val="Arial"/>
      <family val="2"/>
    </font>
    <font>
      <sz val="8"/>
      <color theme="0"/>
      <name val="Arial"/>
      <family val="2"/>
    </font>
    <font>
      <b/>
      <sz val="8"/>
      <color theme="1"/>
      <name val="Arial"/>
      <family val="2"/>
    </font>
    <font>
      <b/>
      <sz val="9"/>
      <color indexed="81"/>
      <name val="Segoe UI"/>
      <family val="2"/>
    </font>
    <font>
      <sz val="9"/>
      <color indexed="81"/>
      <name val="Segoe UI"/>
      <family val="2"/>
    </font>
    <font>
      <sz val="11"/>
      <color theme="1"/>
      <name val="Calibri"/>
      <family val="2"/>
      <scheme val="minor"/>
    </font>
    <font>
      <vertAlign val="subscript"/>
      <sz val="8"/>
      <color theme="1"/>
      <name val="Arial"/>
      <family val="2"/>
    </font>
    <font>
      <b/>
      <sz val="8"/>
      <color indexed="81"/>
      <name val="Tahoma"/>
      <family val="2"/>
    </font>
    <font>
      <sz val="8"/>
      <color indexed="81"/>
      <name val="Tahoma"/>
      <family val="2"/>
    </font>
    <font>
      <sz val="9"/>
      <color indexed="81"/>
      <name val="Tahoma"/>
      <family val="2"/>
    </font>
    <font>
      <b/>
      <vertAlign val="subscript"/>
      <sz val="8"/>
      <color theme="1"/>
      <name val="Arial"/>
      <family val="2"/>
    </font>
    <font>
      <sz val="8"/>
      <color rgb="FF000000"/>
      <name val="Arial"/>
      <family val="2"/>
    </font>
    <font>
      <b/>
      <sz val="8"/>
      <color theme="0"/>
      <name val="Arial"/>
      <family val="2"/>
    </font>
    <font>
      <b/>
      <vertAlign val="subscript"/>
      <sz val="8"/>
      <color theme="0"/>
      <name val="Arial"/>
      <family val="2"/>
    </font>
    <font>
      <b/>
      <sz val="8"/>
      <color rgb="FFFFFFFF"/>
      <name val="Arial"/>
      <family val="2"/>
    </font>
  </fonts>
  <fills count="6">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8" tint="0.79998168889431442"/>
        <bgColor indexed="64"/>
      </patternFill>
    </fill>
    <fill>
      <patternFill patternType="solid">
        <fgColor theme="9" tint="0.79998168889431442"/>
        <bgColor indexed="64"/>
      </patternFill>
    </fill>
  </fills>
  <borders count="26">
    <border>
      <left/>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D9D9D9"/>
      </left>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n">
        <color rgb="FFD9D9D9"/>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0"/>
      </bottom>
      <diagonal/>
    </border>
    <border>
      <left style="thin">
        <color theme="0"/>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9D9D9"/>
      </left>
      <right style="thin">
        <color rgb="FFD9D9D9"/>
      </right>
      <top/>
      <bottom style="thin">
        <color rgb="FFD9D9D9"/>
      </bottom>
      <diagonal/>
    </border>
    <border>
      <left style="thin">
        <color theme="0"/>
      </left>
      <right/>
      <top style="thin">
        <color theme="0"/>
      </top>
      <bottom style="thin">
        <color theme="1" tint="0.499984740745262"/>
      </bottom>
      <diagonal/>
    </border>
    <border>
      <left/>
      <right/>
      <top style="thin">
        <color theme="0"/>
      </top>
      <bottom style="thin">
        <color theme="1" tint="0.499984740745262"/>
      </bottom>
      <diagonal/>
    </border>
    <border>
      <left/>
      <right style="thin">
        <color theme="0"/>
      </right>
      <top style="thin">
        <color theme="0"/>
      </top>
      <bottom style="thin">
        <color theme="1" tint="0.499984740745262"/>
      </bottom>
      <diagonal/>
    </border>
  </borders>
  <cellStyleXfs count="2">
    <xf numFmtId="0" fontId="0" fillId="0" borderId="0"/>
    <xf numFmtId="9" fontId="6" fillId="0" borderId="0" applyFont="0" applyFill="0" applyBorder="0" applyAlignment="0" applyProtection="0"/>
  </cellStyleXfs>
  <cellXfs count="110">
    <xf numFmtId="0" fontId="0" fillId="0" borderId="0" xfId="0"/>
    <xf numFmtId="0" fontId="1" fillId="0" borderId="0" xfId="0" applyFont="1" applyAlignment="1">
      <alignment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0" fontId="2" fillId="2" borderId="1" xfId="0" applyFont="1" applyFill="1" applyBorder="1" applyAlignment="1">
      <alignment horizontal="center" vertical="center"/>
    </xf>
    <xf numFmtId="2" fontId="3"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0" xfId="0" applyFont="1"/>
    <xf numFmtId="165" fontId="1" fillId="0" borderId="1" xfId="0" applyNumberFormat="1" applyFont="1" applyFill="1" applyBorder="1" applyAlignment="1">
      <alignment horizontal="center" vertical="center"/>
    </xf>
    <xf numFmtId="2" fontId="1" fillId="3" borderId="0" xfId="0" applyNumberFormat="1" applyFont="1" applyFill="1" applyAlignment="1">
      <alignment horizontal="center" vertical="center"/>
    </xf>
    <xf numFmtId="166" fontId="1" fillId="3" borderId="0" xfId="0" applyNumberFormat="1" applyFont="1" applyFill="1" applyAlignment="1">
      <alignment horizontal="center" vertical="center"/>
    </xf>
    <xf numFmtId="3" fontId="1" fillId="0" borderId="0" xfId="0" applyNumberFormat="1" applyFont="1" applyAlignment="1">
      <alignment vertical="center"/>
    </xf>
    <xf numFmtId="0" fontId="1" fillId="0" borderId="0" xfId="0" applyFont="1" applyAlignment="1">
      <alignment horizontal="center" vertical="center"/>
    </xf>
    <xf numFmtId="0" fontId="1" fillId="0" borderId="0" xfId="0" applyFont="1" applyAlignment="1">
      <alignment horizontal="right"/>
    </xf>
    <xf numFmtId="164" fontId="1" fillId="0" borderId="0" xfId="0" applyNumberFormat="1" applyFont="1"/>
    <xf numFmtId="0" fontId="1" fillId="0" borderId="0" xfId="0" applyFont="1" applyAlignment="1">
      <alignment horizontal="left"/>
    </xf>
    <xf numFmtId="167" fontId="1" fillId="0" borderId="0" xfId="1" applyNumberFormat="1" applyFont="1"/>
    <xf numFmtId="0" fontId="3" fillId="4" borderId="12" xfId="0" applyFont="1" applyFill="1" applyBorder="1"/>
    <xf numFmtId="0" fontId="3" fillId="4" borderId="12" xfId="0" applyFont="1" applyFill="1" applyBorder="1" applyAlignment="1">
      <alignment horizontal="center"/>
    </xf>
    <xf numFmtId="0" fontId="3" fillId="5" borderId="12" xfId="0" applyFont="1" applyFill="1" applyBorder="1"/>
    <xf numFmtId="0" fontId="3" fillId="5" borderId="12" xfId="0" applyFont="1" applyFill="1" applyBorder="1" applyAlignment="1">
      <alignment horizontal="center"/>
    </xf>
    <xf numFmtId="0" fontId="1" fillId="0" borderId="12" xfId="0" applyFont="1" applyBorder="1"/>
    <xf numFmtId="0" fontId="1" fillId="0" borderId="12" xfId="0" applyFont="1" applyBorder="1" applyAlignment="1">
      <alignment horizontal="center"/>
    </xf>
    <xf numFmtId="2" fontId="1" fillId="0" borderId="12" xfId="0" applyNumberFormat="1" applyFont="1" applyBorder="1" applyAlignment="1">
      <alignment horizontal="center"/>
    </xf>
    <xf numFmtId="2" fontId="1" fillId="0" borderId="12" xfId="0" applyNumberFormat="1" applyFont="1" applyBorder="1" applyAlignment="1">
      <alignment horizontal="center" vertical="center"/>
    </xf>
    <xf numFmtId="0" fontId="1" fillId="0" borderId="12" xfId="0" applyFont="1" applyFill="1" applyBorder="1" applyAlignment="1">
      <alignment horizontal="center"/>
    </xf>
    <xf numFmtId="0" fontId="1" fillId="0" borderId="0" xfId="0" applyFont="1" applyAlignment="1">
      <alignment horizontal="left" vertical="center"/>
    </xf>
    <xf numFmtId="0" fontId="1" fillId="0" borderId="13" xfId="0" applyFont="1" applyBorder="1" applyAlignment="1">
      <alignment vertical="center" wrapText="1"/>
    </xf>
    <xf numFmtId="0" fontId="1" fillId="0" borderId="13" xfId="0" applyFont="1" applyBorder="1" applyAlignment="1">
      <alignment horizontal="center" vertical="center"/>
    </xf>
    <xf numFmtId="3" fontId="1" fillId="0" borderId="0" xfId="0" applyNumberFormat="1" applyFont="1" applyAlignment="1">
      <alignment horizontal="center" vertical="center"/>
    </xf>
    <xf numFmtId="0" fontId="1" fillId="0" borderId="0" xfId="0" applyFont="1" applyAlignment="1"/>
    <xf numFmtId="0" fontId="1" fillId="0" borderId="1" xfId="0" applyFont="1" applyBorder="1" applyAlignment="1">
      <alignment horizontal="left" vertical="center"/>
    </xf>
    <xf numFmtId="3" fontId="1" fillId="0" borderId="1" xfId="0" applyNumberFormat="1" applyFont="1" applyBorder="1" applyAlignment="1">
      <alignment horizontal="center" vertical="center"/>
    </xf>
    <xf numFmtId="2"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center" vertical="center" wrapText="1"/>
    </xf>
    <xf numFmtId="0" fontId="1" fillId="0" borderId="22" xfId="0" applyFont="1" applyBorder="1" applyAlignment="1">
      <alignment horizontal="left" vertical="center" wrapText="1"/>
    </xf>
    <xf numFmtId="0" fontId="1" fillId="0" borderId="22" xfId="0" applyFont="1" applyBorder="1" applyAlignment="1">
      <alignment horizontal="left" vertical="center"/>
    </xf>
    <xf numFmtId="0" fontId="12"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xf>
    <xf numFmtId="3" fontId="1" fillId="0" borderId="22" xfId="0" applyNumberFormat="1" applyFont="1" applyBorder="1" applyAlignment="1">
      <alignment horizontal="center" vertical="center" wrapText="1"/>
    </xf>
    <xf numFmtId="1" fontId="1" fillId="0" borderId="22" xfId="0" applyNumberFormat="1" applyFont="1" applyBorder="1" applyAlignment="1">
      <alignment horizontal="center" vertical="center" wrapText="1"/>
    </xf>
    <xf numFmtId="2" fontId="1" fillId="0" borderId="0" xfId="0" applyNumberFormat="1" applyFont="1"/>
    <xf numFmtId="0" fontId="1" fillId="0" borderId="0" xfId="0" applyFont="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4" fontId="1" fillId="0" borderId="0" xfId="0" applyNumberFormat="1" applyFont="1" applyAlignment="1">
      <alignment horizontal="center" vertical="center"/>
    </xf>
    <xf numFmtId="166"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1"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6" xfId="0" applyFont="1" applyFill="1" applyBorder="1" applyAlignment="1">
      <alignment horizontal="center" vertical="center" wrapText="1"/>
    </xf>
    <xf numFmtId="2" fontId="1" fillId="0" borderId="1" xfId="0" applyNumberFormat="1" applyFont="1" applyBorder="1" applyAlignment="1">
      <alignment horizontal="center" vertical="center"/>
    </xf>
    <xf numFmtId="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3" fillId="2" borderId="5" xfId="0" applyFont="1" applyFill="1" applyBorder="1" applyAlignment="1">
      <alignment vertical="center"/>
    </xf>
    <xf numFmtId="0" fontId="13" fillId="2" borderId="5" xfId="0" applyFont="1" applyFill="1" applyBorder="1" applyAlignment="1">
      <alignment horizontal="center" vertical="center" wrapText="1"/>
    </xf>
    <xf numFmtId="3" fontId="1" fillId="0" borderId="13" xfId="0" applyNumberFormat="1" applyFont="1" applyBorder="1" applyAlignment="1">
      <alignment horizontal="center" vertical="center"/>
    </xf>
    <xf numFmtId="168" fontId="1" fillId="0" borderId="1" xfId="0" applyNumberFormat="1" applyFont="1" applyBorder="1" applyAlignment="1">
      <alignment horizontal="center" vertical="center"/>
    </xf>
    <xf numFmtId="168" fontId="1" fillId="3" borderId="1" xfId="0" applyNumberFormat="1" applyFont="1" applyFill="1" applyBorder="1" applyAlignment="1">
      <alignment horizontal="center" vertical="center"/>
    </xf>
    <xf numFmtId="0" fontId="3" fillId="4" borderId="12" xfId="0" applyFont="1" applyFill="1" applyBorder="1" applyAlignment="1">
      <alignment horizontal="center"/>
    </xf>
    <xf numFmtId="0" fontId="3" fillId="5" borderId="19"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164" fontId="1" fillId="0" borderId="11" xfId="0" applyNumberFormat="1" applyFont="1" applyBorder="1" applyAlignment="1">
      <alignment horizontal="center" vertical="center"/>
    </xf>
    <xf numFmtId="164" fontId="1" fillId="0" borderId="0" xfId="0" applyNumberFormat="1" applyFont="1" applyAlignment="1">
      <alignment horizontal="center" vertical="center"/>
    </xf>
    <xf numFmtId="2" fontId="1" fillId="3" borderId="0" xfId="0" applyNumberFormat="1" applyFont="1" applyFill="1" applyAlignment="1">
      <alignment horizontal="center" vertical="center"/>
    </xf>
    <xf numFmtId="0" fontId="13" fillId="2" borderId="0"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2" xfId="0" applyFont="1" applyFill="1" applyBorder="1" applyAlignment="1">
      <alignment horizontal="center" vertical="center"/>
    </xf>
    <xf numFmtId="0" fontId="1" fillId="0" borderId="0" xfId="0" applyFont="1" applyAlignment="1">
      <alignment horizontal="left" vertical="center"/>
    </xf>
    <xf numFmtId="0" fontId="13" fillId="2" borderId="5" xfId="0" applyFont="1" applyFill="1" applyBorder="1" applyAlignment="1">
      <alignment horizontal="center" vertical="center"/>
    </xf>
    <xf numFmtId="0" fontId="13" fillId="2" borderId="5" xfId="0" applyFont="1" applyFill="1" applyBorder="1" applyAlignment="1">
      <alignment horizontal="center" vertical="center" wrapText="1"/>
    </xf>
    <xf numFmtId="2" fontId="1" fillId="0" borderId="11" xfId="0" applyNumberFormat="1" applyFont="1" applyBorder="1" applyAlignment="1">
      <alignment horizontal="center" vertical="center"/>
    </xf>
    <xf numFmtId="2" fontId="1" fillId="0" borderId="0" xfId="0" applyNumberFormat="1" applyFont="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9" fontId="1" fillId="0" borderId="11" xfId="0" applyNumberFormat="1" applyFont="1" applyBorder="1" applyAlignment="1">
      <alignment horizontal="center" vertical="center"/>
    </xf>
    <xf numFmtId="9" fontId="1" fillId="0" borderId="0" xfId="0" applyNumberFormat="1" applyFont="1" applyAlignment="1">
      <alignment horizontal="center" vertical="center"/>
    </xf>
    <xf numFmtId="0" fontId="13" fillId="2" borderId="6"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18" xfId="0" applyFont="1" applyFill="1" applyBorder="1" applyAlignment="1">
      <alignment horizontal="center" vertical="center"/>
    </xf>
    <xf numFmtId="0" fontId="13" fillId="2" borderId="17" xfId="0" applyFont="1" applyFill="1" applyBorder="1" applyAlignment="1">
      <alignment horizontal="center" vertical="center"/>
    </xf>
    <xf numFmtId="2" fontId="1" fillId="3" borderId="1" xfId="0" applyNumberFormat="1" applyFont="1" applyFill="1" applyBorder="1" applyAlignment="1">
      <alignment horizontal="center" vertical="center"/>
    </xf>
    <xf numFmtId="0" fontId="13" fillId="2" borderId="6"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24" xfId="0" applyFont="1" applyFill="1" applyBorder="1" applyAlignment="1">
      <alignment horizontal="center" vertical="center"/>
    </xf>
    <xf numFmtId="0" fontId="13" fillId="2" borderId="25" xfId="0" applyFont="1" applyFill="1"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2" fontId="1" fillId="3" borderId="4" xfId="0" applyNumberFormat="1" applyFont="1" applyFill="1" applyBorder="1" applyAlignment="1">
      <alignment horizontal="center" vertical="center"/>
    </xf>
    <xf numFmtId="2" fontId="1" fillId="3" borderId="3" xfId="0" applyNumberFormat="1" applyFont="1" applyFill="1" applyBorder="1" applyAlignment="1">
      <alignment horizontal="center" vertical="center"/>
    </xf>
    <xf numFmtId="2" fontId="1" fillId="3" borderId="2" xfId="0" applyNumberFormat="1" applyFont="1" applyFill="1" applyBorder="1" applyAlignment="1">
      <alignment horizontal="center" vertical="center"/>
    </xf>
    <xf numFmtId="0" fontId="15" fillId="2" borderId="5" xfId="0" applyFont="1" applyFill="1"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Medium9"/>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
  <sheetViews>
    <sheetView workbookViewId="0">
      <selection activeCell="C4" sqref="C4"/>
    </sheetView>
  </sheetViews>
  <sheetFormatPr defaultRowHeight="11.25" x14ac:dyDescent="0.2"/>
  <cols>
    <col min="1" max="1" width="28.28515625" style="8" bestFit="1" customWidth="1"/>
    <col min="2" max="2" width="15.5703125" style="8" bestFit="1" customWidth="1"/>
    <col min="3" max="4" width="10" style="8" customWidth="1"/>
    <col min="5" max="5" width="15.5703125" style="8" bestFit="1" customWidth="1"/>
    <col min="6" max="6" width="9.140625" style="8"/>
    <col min="7" max="7" width="17.42578125" style="8" customWidth="1"/>
    <col min="8" max="8" width="9" style="8" customWidth="1"/>
    <col min="9" max="11" width="9.140625" style="8"/>
    <col min="12" max="12" width="9.140625" style="8" customWidth="1"/>
    <col min="13" max="15" width="9.140625" style="8"/>
    <col min="16" max="16" width="21.140625" style="8" customWidth="1"/>
    <col min="17" max="17" width="9.140625" style="8"/>
    <col min="18" max="18" width="14.140625" style="8" customWidth="1"/>
    <col min="19" max="16384" width="9.140625" style="8"/>
  </cols>
  <sheetData>
    <row r="1" spans="1:18" x14ac:dyDescent="0.2">
      <c r="A1" s="13" t="s">
        <v>128</v>
      </c>
      <c r="B1" s="8" t="s">
        <v>127</v>
      </c>
    </row>
    <row r="3" spans="1:18" x14ac:dyDescent="0.2">
      <c r="A3" s="65" t="s">
        <v>56</v>
      </c>
      <c r="B3" s="65"/>
      <c r="C3" s="65"/>
      <c r="D3" s="65"/>
      <c r="E3" s="65"/>
      <c r="G3" s="66" t="s">
        <v>57</v>
      </c>
      <c r="H3" s="67"/>
      <c r="I3" s="67"/>
      <c r="J3" s="67"/>
      <c r="K3" s="67"/>
      <c r="L3" s="67"/>
      <c r="M3" s="67"/>
      <c r="N3" s="68"/>
      <c r="O3" s="14" t="s">
        <v>60</v>
      </c>
      <c r="P3" s="8" t="s">
        <v>61</v>
      </c>
      <c r="Q3" s="15"/>
    </row>
    <row r="4" spans="1:18" ht="15" x14ac:dyDescent="0.25">
      <c r="A4" s="18"/>
      <c r="B4" s="19" t="s">
        <v>91</v>
      </c>
      <c r="C4" s="19" t="s">
        <v>58</v>
      </c>
      <c r="D4" s="19" t="s">
        <v>92</v>
      </c>
      <c r="E4" s="19" t="s">
        <v>23</v>
      </c>
      <c r="G4" s="20"/>
      <c r="H4" s="21" t="s">
        <v>21</v>
      </c>
      <c r="I4" s="21" t="s">
        <v>91</v>
      </c>
      <c r="J4" s="21" t="s">
        <v>93</v>
      </c>
      <c r="K4" s="21" t="s">
        <v>58</v>
      </c>
      <c r="L4" s="21" t="s">
        <v>92</v>
      </c>
      <c r="M4" s="21" t="s">
        <v>23</v>
      </c>
      <c r="N4" s="21" t="s">
        <v>94</v>
      </c>
    </row>
    <row r="5" spans="1:18" x14ac:dyDescent="0.2">
      <c r="A5" s="22" t="s">
        <v>59</v>
      </c>
      <c r="B5" s="23">
        <v>0.32</v>
      </c>
      <c r="C5" s="23">
        <v>0.48</v>
      </c>
      <c r="D5" s="24">
        <v>13</v>
      </c>
      <c r="E5" s="23">
        <v>1.28</v>
      </c>
      <c r="G5" s="22" t="s">
        <v>59</v>
      </c>
      <c r="H5" s="24">
        <f>I5</f>
        <v>1.7583291823538418</v>
      </c>
      <c r="I5" s="24">
        <f t="shared" ref="I5:I12" si="0">B5*$B$22</f>
        <v>1.7583291823538418</v>
      </c>
      <c r="J5" s="24">
        <f>I5*0.97</f>
        <v>1.7055793068832266</v>
      </c>
      <c r="K5" s="24">
        <f t="shared" ref="K5:M12" si="1">C5*$B$22</f>
        <v>2.6374937735307626</v>
      </c>
      <c r="L5" s="24">
        <f t="shared" si="1"/>
        <v>71.432123033124824</v>
      </c>
      <c r="M5" s="24">
        <f t="shared" si="1"/>
        <v>7.0333167294153673</v>
      </c>
      <c r="N5" s="25">
        <f>($Q$5*$Q$6) * ($Q$7*64/32) * 1000</f>
        <v>3.0959999999999996</v>
      </c>
      <c r="P5" s="16" t="s">
        <v>123</v>
      </c>
      <c r="Q5" s="17">
        <v>1.8E-3</v>
      </c>
      <c r="R5" s="8" t="s">
        <v>124</v>
      </c>
    </row>
    <row r="6" spans="1:18" x14ac:dyDescent="0.2">
      <c r="A6" s="22" t="s">
        <v>62</v>
      </c>
      <c r="B6" s="23">
        <v>0.32</v>
      </c>
      <c r="C6" s="23">
        <v>0.48</v>
      </c>
      <c r="D6" s="24">
        <v>8.6</v>
      </c>
      <c r="E6" s="23">
        <v>1.28</v>
      </c>
      <c r="G6" s="22" t="s">
        <v>62</v>
      </c>
      <c r="H6" s="24">
        <f t="shared" ref="H6:H12" si="2">I6</f>
        <v>1.7583291823538418</v>
      </c>
      <c r="I6" s="24">
        <f t="shared" si="0"/>
        <v>1.7583291823538418</v>
      </c>
      <c r="J6" s="24">
        <f t="shared" ref="J6:J12" si="3">I6*0.97</f>
        <v>1.7055793068832266</v>
      </c>
      <c r="K6" s="24">
        <f t="shared" si="1"/>
        <v>2.6374937735307626</v>
      </c>
      <c r="L6" s="24">
        <f t="shared" si="1"/>
        <v>47.25509677575949</v>
      </c>
      <c r="M6" s="24">
        <f t="shared" si="1"/>
        <v>7.0333167294153673</v>
      </c>
      <c r="N6" s="25">
        <f t="shared" ref="N6:N12" si="4">($Q$5*$Q$6) * ($Q$7*64/32) * 1000</f>
        <v>3.0959999999999996</v>
      </c>
      <c r="P6" s="31" t="s">
        <v>125</v>
      </c>
      <c r="Q6" s="8">
        <v>0.86</v>
      </c>
      <c r="R6" s="8" t="s">
        <v>126</v>
      </c>
    </row>
    <row r="7" spans="1:18" x14ac:dyDescent="0.2">
      <c r="A7" s="22" t="s">
        <v>63</v>
      </c>
      <c r="B7" s="23">
        <v>0.2</v>
      </c>
      <c r="C7" s="23">
        <v>0.3</v>
      </c>
      <c r="D7" s="24">
        <v>7.2</v>
      </c>
      <c r="E7" s="23">
        <v>1.28</v>
      </c>
      <c r="G7" s="22" t="s">
        <v>63</v>
      </c>
      <c r="H7" s="24">
        <f t="shared" si="2"/>
        <v>1.0989557389711511</v>
      </c>
      <c r="I7" s="24">
        <f t="shared" si="0"/>
        <v>1.0989557389711511</v>
      </c>
      <c r="J7" s="24">
        <f t="shared" si="3"/>
        <v>1.0659870668020166</v>
      </c>
      <c r="K7" s="24">
        <f t="shared" si="1"/>
        <v>1.6484336084567266</v>
      </c>
      <c r="L7" s="24">
        <f t="shared" si="1"/>
        <v>39.562406602961438</v>
      </c>
      <c r="M7" s="24">
        <f t="shared" si="1"/>
        <v>7.0333167294153673</v>
      </c>
      <c r="N7" s="25">
        <f t="shared" si="4"/>
        <v>3.0959999999999996</v>
      </c>
      <c r="P7" s="8" t="s">
        <v>64</v>
      </c>
      <c r="Q7" s="8">
        <v>1</v>
      </c>
    </row>
    <row r="8" spans="1:18" x14ac:dyDescent="0.2">
      <c r="A8" s="22" t="s">
        <v>65</v>
      </c>
      <c r="B8" s="23">
        <v>0.32</v>
      </c>
      <c r="C8" s="23">
        <v>0.47</v>
      </c>
      <c r="D8" s="24">
        <v>6.7</v>
      </c>
      <c r="E8" s="23">
        <v>1.28</v>
      </c>
      <c r="G8" s="22" t="s">
        <v>65</v>
      </c>
      <c r="H8" s="24">
        <f t="shared" si="2"/>
        <v>1.7583291823538418</v>
      </c>
      <c r="I8" s="24">
        <f t="shared" si="0"/>
        <v>1.7583291823538418</v>
      </c>
      <c r="J8" s="24">
        <f t="shared" si="3"/>
        <v>1.7055793068832266</v>
      </c>
      <c r="K8" s="24">
        <f t="shared" si="1"/>
        <v>2.5825459865822049</v>
      </c>
      <c r="L8" s="24">
        <f t="shared" si="1"/>
        <v>36.815017255533562</v>
      </c>
      <c r="M8" s="24">
        <f t="shared" si="1"/>
        <v>7.0333167294153673</v>
      </c>
      <c r="N8" s="25">
        <f t="shared" si="4"/>
        <v>3.0959999999999996</v>
      </c>
    </row>
    <row r="9" spans="1:18" x14ac:dyDescent="0.2">
      <c r="A9" s="22" t="s">
        <v>66</v>
      </c>
      <c r="B9" s="24">
        <v>0.2</v>
      </c>
      <c r="C9" s="23">
        <v>0.28999999999999998</v>
      </c>
      <c r="D9" s="24">
        <v>6.7</v>
      </c>
      <c r="E9" s="23">
        <v>1.28</v>
      </c>
      <c r="G9" s="22" t="s">
        <v>66</v>
      </c>
      <c r="H9" s="24">
        <f t="shared" si="2"/>
        <v>1.0989557389711511</v>
      </c>
      <c r="I9" s="24">
        <f t="shared" si="0"/>
        <v>1.0989557389711511</v>
      </c>
      <c r="J9" s="24">
        <f t="shared" si="3"/>
        <v>1.0659870668020166</v>
      </c>
      <c r="K9" s="24">
        <f t="shared" si="1"/>
        <v>1.5934858215081689</v>
      </c>
      <c r="L9" s="24">
        <f t="shared" si="1"/>
        <v>36.815017255533562</v>
      </c>
      <c r="M9" s="24">
        <f t="shared" si="1"/>
        <v>7.0333167294153673</v>
      </c>
      <c r="N9" s="25">
        <f t="shared" si="4"/>
        <v>3.0959999999999996</v>
      </c>
    </row>
    <row r="10" spans="1:18" x14ac:dyDescent="0.2">
      <c r="A10" s="22" t="s">
        <v>67</v>
      </c>
      <c r="B10" s="23">
        <v>0.18</v>
      </c>
      <c r="C10" s="23">
        <v>0.26</v>
      </c>
      <c r="D10" s="24">
        <v>4.95</v>
      </c>
      <c r="E10" s="23">
        <v>1.28</v>
      </c>
      <c r="G10" s="22" t="s">
        <v>67</v>
      </c>
      <c r="H10" s="24">
        <f t="shared" si="2"/>
        <v>0.98906016507403594</v>
      </c>
      <c r="I10" s="24">
        <f t="shared" si="0"/>
        <v>0.98906016507403594</v>
      </c>
      <c r="J10" s="24">
        <f t="shared" si="3"/>
        <v>0.95938836012181483</v>
      </c>
      <c r="K10" s="24">
        <f t="shared" si="1"/>
        <v>1.4286424606624963</v>
      </c>
      <c r="L10" s="24">
        <f t="shared" si="1"/>
        <v>27.199154539535989</v>
      </c>
      <c r="M10" s="24">
        <f t="shared" si="1"/>
        <v>7.0333167294153673</v>
      </c>
      <c r="N10" s="25">
        <f t="shared" si="4"/>
        <v>3.0959999999999996</v>
      </c>
    </row>
    <row r="11" spans="1:18" x14ac:dyDescent="0.2">
      <c r="A11" s="22" t="s">
        <v>68</v>
      </c>
      <c r="B11" s="23">
        <v>0.08</v>
      </c>
      <c r="C11" s="23">
        <v>0.13</v>
      </c>
      <c r="D11" s="24">
        <v>4.95</v>
      </c>
      <c r="E11" s="23">
        <v>1.28</v>
      </c>
      <c r="G11" s="22" t="s">
        <v>68</v>
      </c>
      <c r="H11" s="24">
        <f t="shared" si="2"/>
        <v>0.43958229558846046</v>
      </c>
      <c r="I11" s="24">
        <f t="shared" si="0"/>
        <v>0.43958229558846046</v>
      </c>
      <c r="J11" s="24">
        <f t="shared" si="3"/>
        <v>0.42639482672080664</v>
      </c>
      <c r="K11" s="24">
        <f t="shared" si="1"/>
        <v>0.71432123033124817</v>
      </c>
      <c r="L11" s="24">
        <f t="shared" si="1"/>
        <v>27.199154539535989</v>
      </c>
      <c r="M11" s="24">
        <f t="shared" si="1"/>
        <v>7.0333167294153673</v>
      </c>
      <c r="N11" s="25">
        <f t="shared" si="4"/>
        <v>3.0959999999999996</v>
      </c>
    </row>
    <row r="12" spans="1:18" x14ac:dyDescent="0.2">
      <c r="A12" s="22" t="s">
        <v>69</v>
      </c>
      <c r="B12" s="23">
        <v>1.4999999999999999E-2</v>
      </c>
      <c r="C12" s="23">
        <v>0.04</v>
      </c>
      <c r="D12" s="24">
        <v>1</v>
      </c>
      <c r="E12" s="23">
        <v>1.28</v>
      </c>
      <c r="G12" s="22" t="s">
        <v>69</v>
      </c>
      <c r="H12" s="24">
        <f t="shared" si="2"/>
        <v>8.2421680422836333E-2</v>
      </c>
      <c r="I12" s="24">
        <f t="shared" si="0"/>
        <v>8.2421680422836333E-2</v>
      </c>
      <c r="J12" s="24">
        <f t="shared" si="3"/>
        <v>7.9949030010151245E-2</v>
      </c>
      <c r="K12" s="24">
        <f t="shared" si="1"/>
        <v>0.21979114779423023</v>
      </c>
      <c r="L12" s="24">
        <f t="shared" si="1"/>
        <v>5.4947786948557553</v>
      </c>
      <c r="M12" s="24">
        <f t="shared" si="1"/>
        <v>7.0333167294153673</v>
      </c>
      <c r="N12" s="25">
        <f t="shared" si="4"/>
        <v>3.0959999999999996</v>
      </c>
    </row>
    <row r="15" spans="1:18" x14ac:dyDescent="0.2">
      <c r="A15" s="65" t="s">
        <v>70</v>
      </c>
      <c r="B15" s="65"/>
      <c r="D15" s="19" t="s">
        <v>71</v>
      </c>
      <c r="E15" s="19" t="s">
        <v>72</v>
      </c>
    </row>
    <row r="16" spans="1:18" x14ac:dyDescent="0.2">
      <c r="A16" s="19" t="s">
        <v>73</v>
      </c>
      <c r="B16" s="19" t="s">
        <v>74</v>
      </c>
      <c r="D16" s="22" t="s">
        <v>75</v>
      </c>
      <c r="E16" s="23" t="s">
        <v>76</v>
      </c>
    </row>
    <row r="17" spans="1:5" x14ac:dyDescent="0.2">
      <c r="A17" s="22" t="s">
        <v>77</v>
      </c>
      <c r="B17" s="23">
        <v>20.8</v>
      </c>
      <c r="D17" s="22" t="s">
        <v>78</v>
      </c>
      <c r="E17" s="23" t="s">
        <v>79</v>
      </c>
    </row>
    <row r="18" spans="1:5" x14ac:dyDescent="0.2">
      <c r="D18" s="22" t="s">
        <v>80</v>
      </c>
      <c r="E18" s="23" t="s">
        <v>81</v>
      </c>
    </row>
    <row r="19" spans="1:5" x14ac:dyDescent="0.2">
      <c r="D19" s="22" t="s">
        <v>82</v>
      </c>
      <c r="E19" s="23" t="s">
        <v>83</v>
      </c>
    </row>
    <row r="20" spans="1:5" x14ac:dyDescent="0.2">
      <c r="A20" s="65" t="s">
        <v>129</v>
      </c>
      <c r="B20" s="65"/>
      <c r="D20" s="22" t="s">
        <v>84</v>
      </c>
      <c r="E20" s="26" t="s">
        <v>85</v>
      </c>
    </row>
    <row r="21" spans="1:5" x14ac:dyDescent="0.2">
      <c r="A21" s="19" t="s">
        <v>73</v>
      </c>
      <c r="B21" s="19" t="s">
        <v>74</v>
      </c>
    </row>
    <row r="22" spans="1:5" x14ac:dyDescent="0.2">
      <c r="A22" s="22" t="s">
        <v>77</v>
      </c>
      <c r="B22" s="24">
        <f>B17/3.78541178</f>
        <v>5.4947786948557553</v>
      </c>
      <c r="D22" s="19" t="s">
        <v>86</v>
      </c>
      <c r="E22" s="19" t="s">
        <v>72</v>
      </c>
    </row>
    <row r="23" spans="1:5" x14ac:dyDescent="0.2">
      <c r="D23" s="22" t="s">
        <v>75</v>
      </c>
      <c r="E23" s="23" t="s">
        <v>87</v>
      </c>
    </row>
    <row r="24" spans="1:5" x14ac:dyDescent="0.2">
      <c r="D24" s="22" t="s">
        <v>78</v>
      </c>
      <c r="E24" s="23" t="s">
        <v>88</v>
      </c>
    </row>
    <row r="25" spans="1:5" x14ac:dyDescent="0.2">
      <c r="D25" s="22" t="s">
        <v>80</v>
      </c>
      <c r="E25" s="23" t="s">
        <v>89</v>
      </c>
    </row>
    <row r="26" spans="1:5" x14ac:dyDescent="0.2">
      <c r="D26" s="22" t="s">
        <v>82</v>
      </c>
      <c r="E26" s="23" t="s">
        <v>90</v>
      </c>
    </row>
    <row r="27" spans="1:5" x14ac:dyDescent="0.2">
      <c r="D27" s="22" t="s">
        <v>84</v>
      </c>
      <c r="E27" s="26" t="s">
        <v>85</v>
      </c>
    </row>
    <row r="31" spans="1:5" x14ac:dyDescent="0.2">
      <c r="A31" s="8" t="s">
        <v>131</v>
      </c>
    </row>
    <row r="32" spans="1:5" x14ac:dyDescent="0.2">
      <c r="A32" s="8" t="s">
        <v>132</v>
      </c>
    </row>
  </sheetData>
  <sheetProtection password="B056" sheet="1" objects="1" scenarios="1"/>
  <mergeCells count="4">
    <mergeCell ref="A15:B15"/>
    <mergeCell ref="A20:B20"/>
    <mergeCell ref="A3:E3"/>
    <mergeCell ref="G3:N3"/>
  </mergeCell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
  <sheetViews>
    <sheetView workbookViewId="0">
      <selection activeCell="I27" sqref="I27"/>
    </sheetView>
  </sheetViews>
  <sheetFormatPr defaultRowHeight="15" customHeight="1" x14ac:dyDescent="0.25"/>
  <cols>
    <col min="1" max="1" width="18.28515625" style="1" bestFit="1" customWidth="1"/>
    <col min="2" max="2" width="13" style="1" customWidth="1"/>
    <col min="3" max="3" width="25.42578125" style="1" customWidth="1"/>
    <col min="4" max="4" width="12.7109375" style="1" customWidth="1"/>
    <col min="5" max="5" width="12.42578125" style="1" bestFit="1" customWidth="1"/>
    <col min="6" max="6" width="12.28515625" style="1" bestFit="1" customWidth="1"/>
    <col min="7" max="7" width="10" style="1" bestFit="1" customWidth="1"/>
    <col min="8" max="8" width="7.5703125" style="1" customWidth="1"/>
    <col min="9" max="9" width="9.140625" style="1" bestFit="1" customWidth="1"/>
    <col min="10" max="15" width="7.5703125" style="1" customWidth="1"/>
    <col min="16" max="16384" width="9.140625" style="1"/>
  </cols>
  <sheetData>
    <row r="1" spans="1:16" s="2" customFormat="1" ht="27" customHeight="1" x14ac:dyDescent="0.25">
      <c r="A1" s="77" t="s">
        <v>55</v>
      </c>
      <c r="B1" s="79"/>
      <c r="C1" s="48" t="s">
        <v>54</v>
      </c>
      <c r="D1" s="48" t="s">
        <v>53</v>
      </c>
      <c r="E1" s="48" t="s">
        <v>52</v>
      </c>
      <c r="F1" s="48" t="s">
        <v>51</v>
      </c>
      <c r="G1" s="48" t="s">
        <v>42</v>
      </c>
    </row>
    <row r="2" spans="1:16" ht="15" customHeight="1" x14ac:dyDescent="0.25">
      <c r="A2" s="1" t="s">
        <v>50</v>
      </c>
      <c r="B2" s="47" t="s">
        <v>45</v>
      </c>
      <c r="C2" s="47">
        <v>2.1</v>
      </c>
      <c r="D2" s="30">
        <v>144416.64000000001</v>
      </c>
      <c r="E2" s="47">
        <v>10</v>
      </c>
      <c r="F2" s="47">
        <v>10</v>
      </c>
      <c r="G2" s="50">
        <f>C2*D2/8760</f>
        <v>34.620427397260279</v>
      </c>
    </row>
    <row r="3" spans="1:16" ht="15" customHeight="1" x14ac:dyDescent="0.25">
      <c r="A3" s="83" t="s">
        <v>49</v>
      </c>
      <c r="B3" s="47" t="s">
        <v>45</v>
      </c>
      <c r="C3" s="47">
        <v>10.6</v>
      </c>
      <c r="D3" s="30">
        <v>48833.47</v>
      </c>
      <c r="E3" s="47">
        <v>2</v>
      </c>
      <c r="F3" s="47">
        <v>30</v>
      </c>
      <c r="G3" s="50">
        <f>C3*D3/8760</f>
        <v>59.090728538812783</v>
      </c>
    </row>
    <row r="4" spans="1:16" ht="15" customHeight="1" x14ac:dyDescent="0.25">
      <c r="A4" s="83"/>
      <c r="B4" s="47" t="s">
        <v>48</v>
      </c>
      <c r="C4" s="47">
        <v>13.2</v>
      </c>
      <c r="D4" s="30">
        <v>291966.40999999997</v>
      </c>
      <c r="E4" s="47">
        <v>2</v>
      </c>
      <c r="F4" s="47">
        <v>149</v>
      </c>
      <c r="G4" s="50">
        <f>C4*D4/8760</f>
        <v>439.94938493150676</v>
      </c>
    </row>
    <row r="5" spans="1:16" ht="15" customHeight="1" x14ac:dyDescent="0.25">
      <c r="A5" s="83"/>
      <c r="B5" s="47" t="s">
        <v>47</v>
      </c>
      <c r="C5" s="47">
        <v>9.3000000000000007</v>
      </c>
      <c r="D5" s="30">
        <v>754.15</v>
      </c>
      <c r="E5" s="47">
        <v>2</v>
      </c>
      <c r="F5" s="47">
        <v>3</v>
      </c>
      <c r="G5" s="50">
        <f>C5*D5/8760</f>
        <v>0.80063869863013704</v>
      </c>
    </row>
    <row r="6" spans="1:16" ht="15" customHeight="1" x14ac:dyDescent="0.25">
      <c r="A6" s="1" t="s">
        <v>46</v>
      </c>
      <c r="B6" s="47" t="s">
        <v>45</v>
      </c>
      <c r="C6" s="47">
        <v>3.61</v>
      </c>
      <c r="D6" s="30">
        <v>111516</v>
      </c>
      <c r="E6" s="30">
        <v>20</v>
      </c>
      <c r="F6" s="47">
        <v>37</v>
      </c>
      <c r="G6" s="50">
        <f>C6*D6/8760</f>
        <v>45.955794520547947</v>
      </c>
    </row>
    <row r="10" spans="1:16" ht="15" customHeight="1" x14ac:dyDescent="0.25">
      <c r="A10" s="27" t="s">
        <v>44</v>
      </c>
    </row>
    <row r="11" spans="1:16" ht="15" customHeight="1" x14ac:dyDescent="0.25">
      <c r="A11" s="84" t="s">
        <v>43</v>
      </c>
      <c r="B11" s="84" t="s">
        <v>42</v>
      </c>
      <c r="C11" s="84" t="s">
        <v>41</v>
      </c>
      <c r="D11" s="85" t="s">
        <v>40</v>
      </c>
      <c r="E11" s="77" t="s">
        <v>39</v>
      </c>
      <c r="F11" s="79"/>
      <c r="G11" s="84" t="s">
        <v>38</v>
      </c>
      <c r="H11" s="84"/>
      <c r="I11" s="84"/>
      <c r="J11" s="77" t="s">
        <v>37</v>
      </c>
      <c r="K11" s="78"/>
      <c r="L11" s="78"/>
      <c r="M11" s="78"/>
      <c r="N11" s="78"/>
      <c r="O11" s="78"/>
      <c r="P11" s="79"/>
    </row>
    <row r="12" spans="1:16" ht="15" customHeight="1" x14ac:dyDescent="0.25">
      <c r="A12" s="84"/>
      <c r="B12" s="84"/>
      <c r="C12" s="84"/>
      <c r="D12" s="85"/>
      <c r="E12" s="48" t="s">
        <v>36</v>
      </c>
      <c r="F12" s="48" t="s">
        <v>35</v>
      </c>
      <c r="G12" s="48" t="s">
        <v>21</v>
      </c>
      <c r="H12" s="48" t="s">
        <v>177</v>
      </c>
      <c r="I12" s="48" t="s">
        <v>178</v>
      </c>
      <c r="J12" s="48" t="s">
        <v>21</v>
      </c>
      <c r="K12" s="48" t="s">
        <v>177</v>
      </c>
      <c r="L12" s="48" t="s">
        <v>178</v>
      </c>
      <c r="M12" s="49" t="s">
        <v>179</v>
      </c>
      <c r="N12" s="49" t="s">
        <v>180</v>
      </c>
      <c r="O12" s="49" t="s">
        <v>23</v>
      </c>
      <c r="P12" s="49" t="s">
        <v>181</v>
      </c>
    </row>
    <row r="13" spans="1:16" ht="15" customHeight="1" x14ac:dyDescent="0.25">
      <c r="A13" s="1" t="s">
        <v>34</v>
      </c>
      <c r="B13" s="50">
        <f>SUM(G3:G5)</f>
        <v>499.84075216894962</v>
      </c>
      <c r="C13" s="86">
        <f>(E2*G2+E3*G3+E4*G4+E5*G5+E6*G6)/SUM(G2:G6)</f>
        <v>3.9023697959303649</v>
      </c>
      <c r="D13" s="88">
        <v>9.6999999999999993</v>
      </c>
      <c r="E13" s="88" t="s">
        <v>33</v>
      </c>
      <c r="F13" s="90">
        <v>0.55000000000000004</v>
      </c>
      <c r="G13" s="72">
        <f>3.23*(D13^0.91)*(C13^1.02)*(1-F13)*$B$42</f>
        <v>43.954752537744163</v>
      </c>
      <c r="H13" s="72">
        <f>0.62*(D13^0.91)*(C13^1.02)*(1-F13)*$B$42</f>
        <v>8.4371351620437736</v>
      </c>
      <c r="I13" s="72">
        <f>0.15*(D13^0.91)*(C13^1.02)*(1-F13)*$B$42</f>
        <v>2.0412423779138154</v>
      </c>
      <c r="J13" s="51">
        <f>$B13*(B21+J21+M21+G13)/1000</f>
        <v>21.989135727429485</v>
      </c>
      <c r="K13" s="51">
        <f>$B13*(C21+K21+N21+H13)/1000</f>
        <v>4.2300350240221043</v>
      </c>
      <c r="L13" s="51">
        <f>$B13*(D21+L21+O21+I13)/1000</f>
        <v>1.028208712996699</v>
      </c>
      <c r="M13" s="51">
        <f>$B13*E21/1000</f>
        <v>0.38428450400610276</v>
      </c>
      <c r="N13" s="51">
        <f>$B13*G21/1000</f>
        <v>6.0410384643117725E-3</v>
      </c>
      <c r="O13" s="51">
        <f>$B13*F21/1000</f>
        <v>0.44920687078873611</v>
      </c>
      <c r="P13" s="51">
        <f>$B13*(H21+I21)/1000</f>
        <v>0.41151454949369914</v>
      </c>
    </row>
    <row r="14" spans="1:16" ht="15" customHeight="1" x14ac:dyDescent="0.25">
      <c r="A14" s="1" t="s">
        <v>32</v>
      </c>
      <c r="B14" s="50">
        <f>SUM(G2,G6)</f>
        <v>80.576221917808226</v>
      </c>
      <c r="C14" s="87"/>
      <c r="D14" s="89"/>
      <c r="E14" s="89"/>
      <c r="F14" s="91"/>
      <c r="G14" s="73"/>
      <c r="H14" s="73"/>
      <c r="I14" s="73"/>
      <c r="J14" s="51">
        <f>$B14*(B22+J22+M22+G13)/1000</f>
        <v>3.566366331190765</v>
      </c>
      <c r="K14" s="51">
        <f>$B14*(C22+K22+N22+H13)/1000</f>
        <v>0.700619352799557</v>
      </c>
      <c r="L14" s="51">
        <f>$B14*(D22+L22+O22+I13)/1000</f>
        <v>0.18216661292138248</v>
      </c>
      <c r="M14" s="51">
        <f>$B14*E22/1000</f>
        <v>0.43789261065122365</v>
      </c>
      <c r="N14" s="52">
        <f>$B14*G22/1000</f>
        <v>1.6946899982495614E-2</v>
      </c>
      <c r="O14" s="51">
        <f>$B14*F22/1000</f>
        <v>8.3668173886088895E-2</v>
      </c>
      <c r="P14" s="51">
        <f>$B14*H22/1000</f>
        <v>1.9955781598065773E-2</v>
      </c>
    </row>
    <row r="15" spans="1:16" ht="15" customHeight="1" x14ac:dyDescent="0.25">
      <c r="A15" s="74" t="s">
        <v>31</v>
      </c>
      <c r="B15" s="74"/>
      <c r="C15" s="74"/>
      <c r="D15" s="74"/>
      <c r="E15" s="74"/>
      <c r="F15" s="74"/>
      <c r="G15" s="74"/>
      <c r="H15" s="74"/>
      <c r="I15" s="74"/>
      <c r="J15" s="10">
        <f t="shared" ref="J15:P15" si="0">SUM(J13:J14)</f>
        <v>25.555502058620249</v>
      </c>
      <c r="K15" s="10">
        <f t="shared" si="0"/>
        <v>4.9306543768216615</v>
      </c>
      <c r="L15" s="10">
        <f t="shared" si="0"/>
        <v>1.2103753259180814</v>
      </c>
      <c r="M15" s="10">
        <f t="shared" si="0"/>
        <v>0.82217711465732646</v>
      </c>
      <c r="N15" s="11">
        <f>SUM(N13:N14)</f>
        <v>2.2987938446807386E-2</v>
      </c>
      <c r="O15" s="10">
        <f t="shared" si="0"/>
        <v>0.53287504467482505</v>
      </c>
      <c r="P15" s="10">
        <f t="shared" si="0"/>
        <v>0.43147033109176491</v>
      </c>
    </row>
    <row r="18" spans="1:15" ht="15" customHeight="1" x14ac:dyDescent="0.25">
      <c r="A18" s="75" t="s">
        <v>30</v>
      </c>
      <c r="B18" s="77" t="s">
        <v>29</v>
      </c>
      <c r="C18" s="78"/>
      <c r="D18" s="78"/>
      <c r="E18" s="78"/>
      <c r="F18" s="78"/>
      <c r="G18" s="78"/>
      <c r="H18" s="78"/>
      <c r="I18" s="78"/>
      <c r="J18" s="78"/>
      <c r="K18" s="78"/>
      <c r="L18" s="78"/>
      <c r="M18" s="78"/>
      <c r="N18" s="78"/>
      <c r="O18" s="79"/>
    </row>
    <row r="19" spans="1:15" ht="15" customHeight="1" x14ac:dyDescent="0.25">
      <c r="A19" s="75"/>
      <c r="B19" s="77" t="s">
        <v>28</v>
      </c>
      <c r="C19" s="78"/>
      <c r="D19" s="78"/>
      <c r="E19" s="78"/>
      <c r="F19" s="78"/>
      <c r="G19" s="78"/>
      <c r="H19" s="79"/>
      <c r="I19" s="49" t="s">
        <v>27</v>
      </c>
      <c r="J19" s="77" t="s">
        <v>26</v>
      </c>
      <c r="K19" s="78"/>
      <c r="L19" s="79"/>
      <c r="M19" s="77" t="s">
        <v>25</v>
      </c>
      <c r="N19" s="78"/>
      <c r="O19" s="79"/>
    </row>
    <row r="20" spans="1:15" ht="15" customHeight="1" x14ac:dyDescent="0.25">
      <c r="A20" s="76"/>
      <c r="B20" s="48" t="s">
        <v>21</v>
      </c>
      <c r="C20" s="48" t="s">
        <v>177</v>
      </c>
      <c r="D20" s="48" t="s">
        <v>178</v>
      </c>
      <c r="E20" s="49" t="s">
        <v>24</v>
      </c>
      <c r="F20" s="49" t="s">
        <v>23</v>
      </c>
      <c r="G20" s="49" t="s">
        <v>180</v>
      </c>
      <c r="H20" s="49" t="s">
        <v>22</v>
      </c>
      <c r="I20" s="49" t="s">
        <v>22</v>
      </c>
      <c r="J20" s="48" t="s">
        <v>21</v>
      </c>
      <c r="K20" s="48" t="s">
        <v>177</v>
      </c>
      <c r="L20" s="48" t="s">
        <v>178</v>
      </c>
      <c r="M20" s="48" t="s">
        <v>21</v>
      </c>
      <c r="N20" s="48" t="s">
        <v>177</v>
      </c>
      <c r="O20" s="48" t="s">
        <v>178</v>
      </c>
    </row>
    <row r="21" spans="1:15" ht="15" customHeight="1" x14ac:dyDescent="0.25">
      <c r="A21" s="53" t="s">
        <v>20</v>
      </c>
      <c r="B21" s="9">
        <v>4.3301894442712282E-3</v>
      </c>
      <c r="C21" s="9">
        <v>4.3301894442712282E-3</v>
      </c>
      <c r="D21" s="9">
        <v>4.3301894442712282E-3</v>
      </c>
      <c r="E21" s="9">
        <v>0.76881387189536698</v>
      </c>
      <c r="F21" s="9">
        <v>0.8986999736206005</v>
      </c>
      <c r="G21" s="9">
        <v>1.2085926243704635E-2</v>
      </c>
      <c r="H21" s="9">
        <v>0.74972188096282644</v>
      </c>
      <c r="I21" s="9">
        <v>7.3569432736630344E-2</v>
      </c>
      <c r="J21" s="9">
        <v>1.82000432579928E-2</v>
      </c>
      <c r="K21" s="9">
        <v>1.3800032800016517E-2</v>
      </c>
      <c r="L21" s="9">
        <v>7.4000175884146556E-3</v>
      </c>
      <c r="M21" s="9">
        <v>1.5000035652191863E-2</v>
      </c>
      <c r="N21" s="9">
        <v>7.5000178260959316E-3</v>
      </c>
      <c r="O21" s="9">
        <v>4.1000097449324447E-3</v>
      </c>
    </row>
    <row r="22" spans="1:15" ht="15" customHeight="1" x14ac:dyDescent="0.25">
      <c r="A22" s="53" t="s">
        <v>19</v>
      </c>
      <c r="B22" s="9">
        <v>0.17489827604766656</v>
      </c>
      <c r="C22" s="9">
        <v>0.17489827604766656</v>
      </c>
      <c r="D22" s="9">
        <v>0.17489827604766656</v>
      </c>
      <c r="E22" s="9">
        <v>5.4345140567386743</v>
      </c>
      <c r="F22" s="9">
        <v>1.0383730075038093</v>
      </c>
      <c r="G22" s="9">
        <v>0.21032135261668511</v>
      </c>
      <c r="H22" s="9">
        <v>0.24766340643796464</v>
      </c>
      <c r="I22" s="9" t="s">
        <v>18</v>
      </c>
      <c r="J22" s="9">
        <v>6.7633804693835883E-2</v>
      </c>
      <c r="K22" s="9">
        <v>5.1332470377789451E-2</v>
      </c>
      <c r="L22" s="9">
        <v>2.7520218195668727E-2</v>
      </c>
      <c r="M22" s="9">
        <v>6.3494136177677976E-2</v>
      </c>
      <c r="N22" s="9">
        <v>3.1747068088838988E-2</v>
      </c>
      <c r="O22" s="9">
        <v>1.7137767759244575E-2</v>
      </c>
    </row>
    <row r="26" spans="1:15" ht="15" customHeight="1" x14ac:dyDescent="0.2">
      <c r="A26" s="8" t="s">
        <v>17</v>
      </c>
    </row>
    <row r="27" spans="1:15" ht="18.75" customHeight="1" x14ac:dyDescent="0.25">
      <c r="A27" s="80" t="s">
        <v>16</v>
      </c>
      <c r="B27" s="81"/>
      <c r="C27" s="82"/>
    </row>
    <row r="28" spans="1:15" ht="41.25" customHeight="1" x14ac:dyDescent="0.25">
      <c r="A28" s="54" t="s">
        <v>15</v>
      </c>
      <c r="B28" s="55" t="s">
        <v>14</v>
      </c>
      <c r="C28" s="55" t="s">
        <v>13</v>
      </c>
    </row>
    <row r="29" spans="1:15" ht="15" customHeight="1" x14ac:dyDescent="0.25">
      <c r="A29" s="6" t="s">
        <v>12</v>
      </c>
      <c r="B29" s="6">
        <v>0</v>
      </c>
      <c r="C29" s="6">
        <v>0</v>
      </c>
    </row>
    <row r="30" spans="1:15" ht="15" customHeight="1" x14ac:dyDescent="0.25">
      <c r="A30" s="6" t="s">
        <v>11</v>
      </c>
      <c r="B30" s="6">
        <v>52</v>
      </c>
      <c r="C30" s="6">
        <v>17</v>
      </c>
    </row>
    <row r="31" spans="1:15" ht="15" customHeight="1" x14ac:dyDescent="0.25">
      <c r="A31" s="6" t="s">
        <v>10</v>
      </c>
      <c r="B31" s="6">
        <v>69</v>
      </c>
      <c r="C31" s="6">
        <v>21</v>
      </c>
    </row>
    <row r="32" spans="1:15" ht="15" customHeight="1" x14ac:dyDescent="0.25">
      <c r="A32" s="6" t="s">
        <v>9</v>
      </c>
      <c r="B32" s="6">
        <v>44</v>
      </c>
      <c r="C32" s="6">
        <v>17</v>
      </c>
    </row>
    <row r="33" spans="1:4" ht="15" customHeight="1" x14ac:dyDescent="0.25">
      <c r="A33" s="6" t="s">
        <v>8</v>
      </c>
      <c r="B33" s="6">
        <v>185.8</v>
      </c>
      <c r="C33" s="6">
        <v>87</v>
      </c>
    </row>
    <row r="34" spans="1:4" ht="15" customHeight="1" x14ac:dyDescent="0.25">
      <c r="A34" s="6" t="s">
        <v>7</v>
      </c>
      <c r="B34" s="6">
        <v>119.2</v>
      </c>
      <c r="C34" s="6">
        <v>37</v>
      </c>
    </row>
    <row r="35" spans="1:4" ht="15" customHeight="1" x14ac:dyDescent="0.25">
      <c r="A35" s="6" t="s">
        <v>6</v>
      </c>
      <c r="B35" s="6">
        <v>17.8</v>
      </c>
      <c r="C35" s="6">
        <v>16</v>
      </c>
    </row>
    <row r="36" spans="1:4" ht="11.25" x14ac:dyDescent="0.25">
      <c r="A36" s="6" t="s">
        <v>5</v>
      </c>
      <c r="B36" s="6">
        <v>70.2</v>
      </c>
      <c r="C36" s="6">
        <v>41</v>
      </c>
    </row>
    <row r="37" spans="1:4" ht="15" customHeight="1" x14ac:dyDescent="0.25">
      <c r="A37" s="6" t="s">
        <v>4</v>
      </c>
      <c r="B37" s="6">
        <v>25.2</v>
      </c>
      <c r="C37" s="6">
        <v>20</v>
      </c>
    </row>
    <row r="38" spans="1:4" ht="15" customHeight="1" x14ac:dyDescent="0.25">
      <c r="A38" s="6" t="s">
        <v>3</v>
      </c>
      <c r="B38" s="6">
        <v>54.4</v>
      </c>
      <c r="C38" s="6">
        <v>29</v>
      </c>
    </row>
    <row r="39" spans="1:4" ht="15" customHeight="1" x14ac:dyDescent="0.25">
      <c r="A39" s="6" t="s">
        <v>2</v>
      </c>
      <c r="B39" s="7">
        <v>48.6</v>
      </c>
      <c r="C39" s="6">
        <v>30</v>
      </c>
    </row>
    <row r="40" spans="1:4" ht="15" customHeight="1" x14ac:dyDescent="0.25">
      <c r="A40" s="6" t="s">
        <v>1</v>
      </c>
      <c r="B40" s="6">
        <v>91.4</v>
      </c>
      <c r="C40" s="6">
        <v>22</v>
      </c>
    </row>
    <row r="41" spans="1:4" ht="15" customHeight="1" x14ac:dyDescent="0.2">
      <c r="A41" s="69"/>
      <c r="B41" s="70"/>
      <c r="C41" s="70"/>
      <c r="D41" s="71"/>
    </row>
    <row r="42" spans="1:4" ht="15" customHeight="1" x14ac:dyDescent="0.25">
      <c r="A42" s="4" t="s">
        <v>0</v>
      </c>
      <c r="B42" s="3">
        <f>(1-(1.2*SUM(C29:C40))/8760)</f>
        <v>0.95383561643835613</v>
      </c>
      <c r="D42" s="2"/>
    </row>
    <row r="49" spans="5:5" ht="15" customHeight="1" x14ac:dyDescent="0.25">
      <c r="E49" s="5"/>
    </row>
  </sheetData>
  <sheetProtection password="B056" sheet="1" objects="1" scenarios="1"/>
  <mergeCells count="24">
    <mergeCell ref="J11:P11"/>
    <mergeCell ref="B11:B12"/>
    <mergeCell ref="C13:C14"/>
    <mergeCell ref="D13:D14"/>
    <mergeCell ref="E11:F11"/>
    <mergeCell ref="E13:E14"/>
    <mergeCell ref="F13:F14"/>
    <mergeCell ref="A3:A5"/>
    <mergeCell ref="A1:B1"/>
    <mergeCell ref="C11:C12"/>
    <mergeCell ref="D11:D12"/>
    <mergeCell ref="G11:I11"/>
    <mergeCell ref="A11:A12"/>
    <mergeCell ref="A41:D41"/>
    <mergeCell ref="I13:I14"/>
    <mergeCell ref="H13:H14"/>
    <mergeCell ref="G13:G14"/>
    <mergeCell ref="A15:I15"/>
    <mergeCell ref="A18:A20"/>
    <mergeCell ref="B18:O18"/>
    <mergeCell ref="B19:H19"/>
    <mergeCell ref="J19:L19"/>
    <mergeCell ref="M19:O19"/>
    <mergeCell ref="A27:C27"/>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opLeftCell="A4" workbookViewId="0">
      <selection activeCell="J22" sqref="J22"/>
    </sheetView>
  </sheetViews>
  <sheetFormatPr defaultRowHeight="15" customHeight="1" x14ac:dyDescent="0.25"/>
  <cols>
    <col min="1" max="1" width="18.7109375" style="1" bestFit="1" customWidth="1"/>
    <col min="2" max="2" width="27.85546875" style="1" bestFit="1" customWidth="1"/>
    <col min="3" max="3" width="26.85546875" style="1" bestFit="1" customWidth="1"/>
    <col min="4" max="4" width="21.85546875" style="1" bestFit="1" customWidth="1"/>
    <col min="5" max="5" width="13.140625" style="1" bestFit="1" customWidth="1"/>
    <col min="6" max="8" width="12.28515625" style="1" customWidth="1"/>
    <col min="9" max="16384" width="9.140625" style="1"/>
  </cols>
  <sheetData>
    <row r="1" spans="1:16" ht="30" customHeight="1" x14ac:dyDescent="0.25">
      <c r="A1" s="48" t="s">
        <v>95</v>
      </c>
      <c r="B1" s="48" t="s">
        <v>113</v>
      </c>
      <c r="C1" s="61" t="s">
        <v>183</v>
      </c>
      <c r="D1" s="100" t="s">
        <v>96</v>
      </c>
      <c r="E1" s="101"/>
      <c r="F1" s="102"/>
    </row>
    <row r="2" spans="1:16" ht="78.75" x14ac:dyDescent="0.25">
      <c r="A2" s="28" t="s">
        <v>112</v>
      </c>
      <c r="B2" s="62">
        <v>218013610</v>
      </c>
      <c r="C2" s="29">
        <v>1.8120000000000001</v>
      </c>
      <c r="D2" s="103" t="s">
        <v>111</v>
      </c>
      <c r="E2" s="104"/>
      <c r="F2" s="105"/>
    </row>
    <row r="3" spans="1:16" ht="15" customHeight="1" x14ac:dyDescent="0.25">
      <c r="B3" s="12"/>
    </row>
    <row r="4" spans="1:16" ht="29.25" customHeight="1" x14ac:dyDescent="0.25">
      <c r="A4" s="60" t="s">
        <v>97</v>
      </c>
      <c r="B4" s="60" t="s">
        <v>116</v>
      </c>
      <c r="C4" s="60" t="s">
        <v>114</v>
      </c>
      <c r="D4" s="60" t="s">
        <v>115</v>
      </c>
    </row>
    <row r="5" spans="1:16" ht="15" customHeight="1" x14ac:dyDescent="0.25">
      <c r="A5" s="29" t="s">
        <v>98</v>
      </c>
      <c r="B5" s="62">
        <f>124701*1000</f>
        <v>124701000</v>
      </c>
      <c r="C5" s="29">
        <v>81.349999999999994</v>
      </c>
      <c r="D5" s="29">
        <v>16.100000000000001</v>
      </c>
      <c r="I5"/>
    </row>
    <row r="6" spans="1:16" ht="15" customHeight="1" x14ac:dyDescent="0.25">
      <c r="A6" s="29" t="s">
        <v>99</v>
      </c>
      <c r="B6" s="62">
        <v>24162405</v>
      </c>
      <c r="C6" s="29">
        <v>56.64</v>
      </c>
      <c r="D6" s="29" t="s">
        <v>100</v>
      </c>
      <c r="I6"/>
    </row>
    <row r="8" spans="1:16" ht="15" customHeight="1" x14ac:dyDescent="0.25">
      <c r="A8" s="59" t="s">
        <v>109</v>
      </c>
      <c r="B8" s="59" t="s">
        <v>110</v>
      </c>
    </row>
    <row r="9" spans="1:16" ht="15" customHeight="1" x14ac:dyDescent="0.25">
      <c r="A9" s="47" t="s">
        <v>101</v>
      </c>
      <c r="B9" s="47" t="s">
        <v>102</v>
      </c>
      <c r="C9" s="13"/>
      <c r="D9" s="13"/>
      <c r="E9" s="13"/>
      <c r="F9" s="13"/>
    </row>
    <row r="10" spans="1:16" ht="15" customHeight="1" x14ac:dyDescent="0.25">
      <c r="A10" s="47" t="s">
        <v>103</v>
      </c>
      <c r="B10" s="47">
        <v>1991</v>
      </c>
      <c r="C10" s="13"/>
      <c r="D10" s="13"/>
      <c r="E10" s="13"/>
      <c r="F10" s="13"/>
    </row>
    <row r="11" spans="1:16" ht="15" customHeight="1" x14ac:dyDescent="0.25">
      <c r="A11" s="47" t="s">
        <v>104</v>
      </c>
      <c r="B11" s="47">
        <v>1997</v>
      </c>
      <c r="C11" s="30"/>
      <c r="D11" s="30"/>
      <c r="E11" s="30"/>
    </row>
    <row r="12" spans="1:16" ht="15" customHeight="1" x14ac:dyDescent="0.25">
      <c r="A12" s="47" t="s">
        <v>105</v>
      </c>
      <c r="B12" s="47">
        <v>1997</v>
      </c>
    </row>
    <row r="14" spans="1:16" ht="15" customHeight="1" x14ac:dyDescent="0.25">
      <c r="C14" s="13"/>
      <c r="D14" s="30"/>
    </row>
    <row r="15" spans="1:16" ht="15" customHeight="1" x14ac:dyDescent="0.25">
      <c r="A15" s="84" t="s">
        <v>106</v>
      </c>
      <c r="B15" s="85" t="s">
        <v>130</v>
      </c>
      <c r="C15" s="85" t="s">
        <v>185</v>
      </c>
      <c r="D15" s="85" t="s">
        <v>118</v>
      </c>
      <c r="E15" s="85" t="s">
        <v>117</v>
      </c>
      <c r="F15" s="93" t="s">
        <v>136</v>
      </c>
      <c r="G15" s="94"/>
      <c r="H15" s="95"/>
      <c r="I15" s="85" t="s">
        <v>122</v>
      </c>
      <c r="J15" s="77" t="s">
        <v>135</v>
      </c>
      <c r="K15" s="78"/>
      <c r="L15" s="78"/>
      <c r="M15" s="78"/>
      <c r="N15" s="78"/>
      <c r="O15" s="78"/>
      <c r="P15" s="79"/>
    </row>
    <row r="16" spans="1:16" ht="25.5" customHeight="1" x14ac:dyDescent="0.25">
      <c r="A16" s="99"/>
      <c r="B16" s="92"/>
      <c r="C16" s="92"/>
      <c r="D16" s="92"/>
      <c r="E16" s="92"/>
      <c r="F16" s="56" t="s">
        <v>119</v>
      </c>
      <c r="G16" s="56" t="s">
        <v>120</v>
      </c>
      <c r="H16" s="56" t="s">
        <v>121</v>
      </c>
      <c r="I16" s="92"/>
      <c r="J16" s="49" t="s">
        <v>21</v>
      </c>
      <c r="K16" s="49" t="s">
        <v>177</v>
      </c>
      <c r="L16" s="49" t="s">
        <v>178</v>
      </c>
      <c r="M16" s="48" t="s">
        <v>179</v>
      </c>
      <c r="N16" s="49" t="s">
        <v>180</v>
      </c>
      <c r="O16" s="49" t="s">
        <v>23</v>
      </c>
      <c r="P16" s="49" t="s">
        <v>181</v>
      </c>
    </row>
    <row r="17" spans="1:16" ht="15" customHeight="1" x14ac:dyDescent="0.25">
      <c r="A17" s="32" t="s">
        <v>98</v>
      </c>
      <c r="B17" s="33">
        <f>(12134+11900)/1000</f>
        <v>24.033999999999999</v>
      </c>
      <c r="C17" s="6">
        <f>C2</f>
        <v>1.8120000000000001</v>
      </c>
      <c r="D17" s="6">
        <f>C5</f>
        <v>81.349999999999994</v>
      </c>
      <c r="E17" s="6">
        <f>D5</f>
        <v>16.100000000000001</v>
      </c>
      <c r="F17" s="33">
        <f>B5</f>
        <v>124701000</v>
      </c>
      <c r="G17" s="33">
        <f>(F17+E17*(F17/D17))</f>
        <v>149380607.86724031</v>
      </c>
      <c r="H17" s="33">
        <f>G17*B17</f>
        <v>3590213529.4812536</v>
      </c>
      <c r="I17" s="58">
        <f>((C17/1000)*H17)/8760</f>
        <v>742.6332095228347</v>
      </c>
      <c r="J17" s="63">
        <f t="shared" ref="J17:M19" si="0">( B$26 * $I17 ) / 1000</f>
        <v>1.3057936440890954</v>
      </c>
      <c r="K17" s="63">
        <f t="shared" si="0"/>
        <v>1.3057936440890954</v>
      </c>
      <c r="L17" s="63">
        <f t="shared" si="0"/>
        <v>1.2666198347664224</v>
      </c>
      <c r="M17" s="63">
        <f t="shared" si="0"/>
        <v>35.093204184894425</v>
      </c>
      <c r="N17" s="63">
        <f t="shared" ref="N17:P19" si="1">( F$26 * $I17 ) / 1000</f>
        <v>2.299192416682696</v>
      </c>
      <c r="O17" s="63">
        <f t="shared" si="1"/>
        <v>5.2231745763563815</v>
      </c>
      <c r="P17" s="63">
        <f t="shared" si="1"/>
        <v>1.9586904661336428</v>
      </c>
    </row>
    <row r="18" spans="1:16" ht="15" customHeight="1" x14ac:dyDescent="0.25">
      <c r="A18" s="32" t="s">
        <v>107</v>
      </c>
      <c r="B18" s="33">
        <f>(12134+7697)/1000</f>
        <v>19.831</v>
      </c>
      <c r="C18" s="6">
        <f>C17</f>
        <v>1.8120000000000001</v>
      </c>
      <c r="D18" s="6">
        <f>C6</f>
        <v>56.64</v>
      </c>
      <c r="E18" s="6">
        <f>E17</f>
        <v>16.100000000000001</v>
      </c>
      <c r="F18" s="33">
        <f>0.8*B6</f>
        <v>19329924</v>
      </c>
      <c r="G18" s="33">
        <f>(F18+E18*(F18/D18))</f>
        <v>24824482.199152544</v>
      </c>
      <c r="H18" s="33">
        <f t="shared" ref="H18:H19" si="2">G18*B18</f>
        <v>492294306.4913941</v>
      </c>
      <c r="I18" s="58">
        <f t="shared" ref="I18:I19" si="3">((C18/1000)*H18)/8760</f>
        <v>101.83074010986371</v>
      </c>
      <c r="J18" s="63">
        <f t="shared" si="0"/>
        <v>0.17905196199586323</v>
      </c>
      <c r="K18" s="63">
        <f t="shared" si="0"/>
        <v>0.17905196199586323</v>
      </c>
      <c r="L18" s="63">
        <f t="shared" si="0"/>
        <v>0.17368040313598732</v>
      </c>
      <c r="M18" s="63">
        <f t="shared" si="0"/>
        <v>4.8120214786388233</v>
      </c>
      <c r="N18" s="63">
        <f t="shared" si="1"/>
        <v>0.31526797138013801</v>
      </c>
      <c r="O18" s="63">
        <f t="shared" si="1"/>
        <v>0.71620784798345294</v>
      </c>
      <c r="P18" s="63">
        <f t="shared" si="1"/>
        <v>0.26857794299379478</v>
      </c>
    </row>
    <row r="19" spans="1:16" ht="15" customHeight="1" x14ac:dyDescent="0.25">
      <c r="A19" s="32" t="s">
        <v>108</v>
      </c>
      <c r="B19" s="33">
        <f>16967/1000</f>
        <v>16.966999999999999</v>
      </c>
      <c r="C19" s="6">
        <f>C17</f>
        <v>1.8120000000000001</v>
      </c>
      <c r="D19" s="6">
        <f>C6</f>
        <v>56.64</v>
      </c>
      <c r="E19" s="6">
        <f>E18</f>
        <v>16.100000000000001</v>
      </c>
      <c r="F19" s="33">
        <f>0.2*B6</f>
        <v>4832481</v>
      </c>
      <c r="G19" s="33">
        <f>(F19+E19*(F19/D19))</f>
        <v>6206120.549788136</v>
      </c>
      <c r="H19" s="33">
        <f t="shared" si="2"/>
        <v>105299247.3682553</v>
      </c>
      <c r="I19" s="58">
        <f t="shared" si="3"/>
        <v>21.78107719535144</v>
      </c>
      <c r="J19" s="63">
        <f t="shared" si="0"/>
        <v>3.8298303655688211E-2</v>
      </c>
      <c r="K19" s="63">
        <f t="shared" si="0"/>
        <v>3.8298303655688211E-2</v>
      </c>
      <c r="L19" s="63">
        <f t="shared" si="0"/>
        <v>3.714935454601756E-2</v>
      </c>
      <c r="M19" s="63">
        <f t="shared" si="0"/>
        <v>1.0292669107466204</v>
      </c>
      <c r="N19" s="63">
        <f t="shared" si="1"/>
        <v>6.7434214996808045E-2</v>
      </c>
      <c r="O19" s="63">
        <f t="shared" si="1"/>
        <v>0.15319321462275284</v>
      </c>
      <c r="P19" s="63">
        <f t="shared" si="1"/>
        <v>5.7447455483532306E-2</v>
      </c>
    </row>
    <row r="20" spans="1:16" ht="15" customHeight="1" x14ac:dyDescent="0.25">
      <c r="A20" s="98" t="s">
        <v>182</v>
      </c>
      <c r="B20" s="98"/>
      <c r="C20" s="98"/>
      <c r="D20" s="98"/>
      <c r="E20" s="98"/>
      <c r="F20" s="98"/>
      <c r="G20" s="98"/>
      <c r="H20" s="98"/>
      <c r="I20" s="98"/>
      <c r="J20" s="64">
        <f>SUM(J17:J19)</f>
        <v>1.523143909740647</v>
      </c>
      <c r="K20" s="64">
        <f t="shared" ref="K20:P20" si="4">SUM(K17:K19)</f>
        <v>1.523143909740647</v>
      </c>
      <c r="L20" s="64">
        <f t="shared" si="4"/>
        <v>1.4774495924484272</v>
      </c>
      <c r="M20" s="64">
        <f t="shared" si="4"/>
        <v>40.934492574279872</v>
      </c>
      <c r="N20" s="64">
        <f>SUM(N17:N19)</f>
        <v>2.681894603059642</v>
      </c>
      <c r="O20" s="64">
        <f t="shared" si="4"/>
        <v>6.0925756389625878</v>
      </c>
      <c r="P20" s="64">
        <f t="shared" si="4"/>
        <v>2.2847158646109702</v>
      </c>
    </row>
    <row r="24" spans="1:16" ht="15" customHeight="1" x14ac:dyDescent="0.25">
      <c r="A24" s="75" t="s">
        <v>133</v>
      </c>
      <c r="B24" s="96" t="s">
        <v>134</v>
      </c>
      <c r="C24" s="97"/>
      <c r="D24" s="97"/>
      <c r="E24" s="97"/>
      <c r="F24" s="97"/>
      <c r="G24" s="97"/>
      <c r="H24" s="97"/>
    </row>
    <row r="25" spans="1:16" ht="15" customHeight="1" x14ac:dyDescent="0.25">
      <c r="A25" s="75"/>
      <c r="B25" s="49" t="s">
        <v>21</v>
      </c>
      <c r="C25" s="49" t="s">
        <v>177</v>
      </c>
      <c r="D25" s="49" t="s">
        <v>178</v>
      </c>
      <c r="E25" s="49" t="s">
        <v>24</v>
      </c>
      <c r="F25" s="49" t="s">
        <v>180</v>
      </c>
      <c r="G25" s="49" t="s">
        <v>23</v>
      </c>
      <c r="H25" s="49" t="s">
        <v>22</v>
      </c>
    </row>
    <row r="26" spans="1:16" ht="15" customHeight="1" x14ac:dyDescent="0.25">
      <c r="A26" s="6" t="str">
        <f>'FE-Locomotiva'!G6</f>
        <v>TIER 0</v>
      </c>
      <c r="B26" s="57">
        <f>'FE-Locomotiva'!H6</f>
        <v>1.7583291823538418</v>
      </c>
      <c r="C26" s="57">
        <f>'FE-Locomotiva'!I6</f>
        <v>1.7583291823538418</v>
      </c>
      <c r="D26" s="57">
        <f>'FE-Locomotiva'!J6</f>
        <v>1.7055793068832266</v>
      </c>
      <c r="E26" s="57">
        <f>'FE-Locomotiva'!L6</f>
        <v>47.25509677575949</v>
      </c>
      <c r="F26" s="57">
        <f>'FE-Locomotiva'!N6</f>
        <v>3.0959999999999996</v>
      </c>
      <c r="G26" s="57">
        <f>'FE-Locomotiva'!M6</f>
        <v>7.0333167294153673</v>
      </c>
      <c r="H26" s="57">
        <f>'FE-Locomotiva'!K6</f>
        <v>2.6374937735307626</v>
      </c>
    </row>
  </sheetData>
  <sheetProtection password="B056" sheet="1" objects="1" scenarios="1"/>
  <mergeCells count="13">
    <mergeCell ref="J15:P15"/>
    <mergeCell ref="D1:F1"/>
    <mergeCell ref="D2:F2"/>
    <mergeCell ref="E15:E16"/>
    <mergeCell ref="D15:D16"/>
    <mergeCell ref="C15:C16"/>
    <mergeCell ref="F15:H15"/>
    <mergeCell ref="I15:I16"/>
    <mergeCell ref="A24:A25"/>
    <mergeCell ref="B24:H24"/>
    <mergeCell ref="A20:I20"/>
    <mergeCell ref="B15:B16"/>
    <mergeCell ref="A15:A16"/>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
  <sheetViews>
    <sheetView tabSelected="1" workbookViewId="0">
      <selection activeCell="F29" sqref="F29:F30"/>
    </sheetView>
  </sheetViews>
  <sheetFormatPr defaultRowHeight="15" customHeight="1" x14ac:dyDescent="0.25"/>
  <cols>
    <col min="1" max="1" width="24.42578125" style="8" customWidth="1"/>
    <col min="2" max="2" width="12.7109375" style="8" customWidth="1"/>
    <col min="3" max="3" width="11.140625" style="8" customWidth="1"/>
    <col min="4" max="4" width="9.140625" style="8" customWidth="1"/>
    <col min="5" max="5" width="9.7109375" style="8" customWidth="1"/>
    <col min="6" max="7" width="14.5703125" style="8" customWidth="1"/>
    <col min="8" max="12" width="7.140625" style="8" customWidth="1"/>
    <col min="13" max="19" width="7.28515625" style="8" customWidth="1"/>
    <col min="25" max="16384" width="9.140625" style="8"/>
  </cols>
  <sheetData>
    <row r="1" spans="1:19" ht="15" customHeight="1" x14ac:dyDescent="0.25">
      <c r="A1" s="109" t="s">
        <v>137</v>
      </c>
      <c r="B1" s="109" t="s">
        <v>138</v>
      </c>
      <c r="C1" s="109" t="s">
        <v>139</v>
      </c>
      <c r="D1" s="109" t="s">
        <v>174</v>
      </c>
      <c r="E1" s="109" t="s">
        <v>140</v>
      </c>
      <c r="F1" s="109" t="s">
        <v>142</v>
      </c>
      <c r="G1" s="109" t="s">
        <v>141</v>
      </c>
      <c r="H1" s="84" t="s">
        <v>176</v>
      </c>
      <c r="I1" s="84"/>
      <c r="J1" s="84"/>
      <c r="K1" s="84"/>
      <c r="L1" s="84"/>
      <c r="M1" s="77" t="s">
        <v>135</v>
      </c>
      <c r="N1" s="78"/>
      <c r="O1" s="78"/>
      <c r="P1" s="78"/>
      <c r="Q1" s="78"/>
      <c r="R1" s="78"/>
      <c r="S1" s="79"/>
    </row>
    <row r="2" spans="1:19" ht="21.75" customHeight="1" x14ac:dyDescent="0.25">
      <c r="A2" s="109"/>
      <c r="B2" s="109"/>
      <c r="C2" s="109"/>
      <c r="D2" s="109"/>
      <c r="E2" s="109"/>
      <c r="F2" s="109"/>
      <c r="G2" s="109"/>
      <c r="H2" s="48" t="s">
        <v>21</v>
      </c>
      <c r="I2" s="48" t="s">
        <v>179</v>
      </c>
      <c r="J2" s="48" t="s">
        <v>23</v>
      </c>
      <c r="K2" s="48" t="s">
        <v>184</v>
      </c>
      <c r="L2" s="48" t="s">
        <v>175</v>
      </c>
      <c r="M2" s="48" t="s">
        <v>21</v>
      </c>
      <c r="N2" s="48" t="s">
        <v>177</v>
      </c>
      <c r="O2" s="48" t="s">
        <v>178</v>
      </c>
      <c r="P2" s="48" t="s">
        <v>179</v>
      </c>
      <c r="Q2" s="48" t="s">
        <v>180</v>
      </c>
      <c r="R2" s="48" t="s">
        <v>23</v>
      </c>
      <c r="S2" s="48" t="s">
        <v>181</v>
      </c>
    </row>
    <row r="3" spans="1:19" ht="15" customHeight="1" x14ac:dyDescent="0.25">
      <c r="A3" s="39" t="s">
        <v>143</v>
      </c>
      <c r="B3" s="40" t="s">
        <v>144</v>
      </c>
      <c r="C3" s="41">
        <v>25</v>
      </c>
      <c r="D3" s="45">
        <v>209.19912000000002</v>
      </c>
      <c r="E3" s="43">
        <v>8</v>
      </c>
      <c r="F3" s="42">
        <v>13.63</v>
      </c>
      <c r="G3" s="44">
        <v>40864</v>
      </c>
      <c r="H3" s="46">
        <v>3.101083119228833E-2</v>
      </c>
      <c r="I3" s="46">
        <v>0.83698143551687265</v>
      </c>
      <c r="J3" s="46">
        <v>0.22495851814724077</v>
      </c>
      <c r="K3" s="46">
        <v>7.6033040375300068E-4</v>
      </c>
      <c r="L3" s="46">
        <v>8.0781384871570633E-2</v>
      </c>
      <c r="M3" s="46">
        <f>$G3*H3/8760</f>
        <v>0.14466057144311306</v>
      </c>
      <c r="N3" s="46">
        <f>M3</f>
        <v>0.14466057144311306</v>
      </c>
      <c r="O3" s="46">
        <f>M3</f>
        <v>0.14466057144311306</v>
      </c>
      <c r="P3" s="46">
        <f>$G3*I3/8760</f>
        <v>3.9043846325298501</v>
      </c>
      <c r="Q3" s="46">
        <f t="shared" ref="Q3:Q26" si="0">$G3*K3/8760</f>
        <v>3.5468198195162809E-3</v>
      </c>
      <c r="R3" s="46">
        <f>$G3*J3/8760</f>
        <v>1.0493955348822883</v>
      </c>
      <c r="S3" s="46">
        <f t="shared" ref="S3:S26" si="1">$G3*L3/8760</f>
        <v>0.37683225015888844</v>
      </c>
    </row>
    <row r="4" spans="1:19" ht="15" customHeight="1" x14ac:dyDescent="0.25">
      <c r="A4" s="37" t="s">
        <v>143</v>
      </c>
      <c r="B4" s="32" t="s">
        <v>145</v>
      </c>
      <c r="C4" s="36">
        <v>2</v>
      </c>
      <c r="D4" s="45">
        <v>209.19912000000002</v>
      </c>
      <c r="E4" s="6">
        <v>8</v>
      </c>
      <c r="F4" s="35">
        <v>13.63</v>
      </c>
      <c r="G4" s="38">
        <v>2000</v>
      </c>
      <c r="H4" s="46">
        <v>3.101083119228833E-2</v>
      </c>
      <c r="I4" s="46">
        <v>0.83698143551687265</v>
      </c>
      <c r="J4" s="46">
        <v>0.22495851814724077</v>
      </c>
      <c r="K4" s="46">
        <v>7.6033040375300068E-4</v>
      </c>
      <c r="L4" s="46">
        <v>8.0781384871570633E-2</v>
      </c>
      <c r="M4" s="46">
        <f t="shared" ref="M4:M26" si="2">$G4*H4/8760</f>
        <v>7.0800984457279293E-3</v>
      </c>
      <c r="N4" s="46">
        <f t="shared" ref="N4:N26" si="3">M4</f>
        <v>7.0800984457279293E-3</v>
      </c>
      <c r="O4" s="46">
        <f t="shared" ref="O4:O26" si="4">M4</f>
        <v>7.0800984457279293E-3</v>
      </c>
      <c r="P4" s="46">
        <f t="shared" ref="P4:P26" si="5">$G4*I4/8760</f>
        <v>0.19109165194449149</v>
      </c>
      <c r="Q4" s="46">
        <f t="shared" si="0"/>
        <v>1.7359141638196362E-4</v>
      </c>
      <c r="R4" s="46">
        <f t="shared" ref="R4:R26" si="6">$G4*J4/8760</f>
        <v>5.1360392271059534E-2</v>
      </c>
      <c r="S4" s="46">
        <f t="shared" si="1"/>
        <v>1.8443238555153115E-2</v>
      </c>
    </row>
    <row r="5" spans="1:19" ht="15" customHeight="1" x14ac:dyDescent="0.25">
      <c r="A5" s="37" t="s">
        <v>143</v>
      </c>
      <c r="B5" s="32" t="s">
        <v>146</v>
      </c>
      <c r="C5" s="36">
        <v>1</v>
      </c>
      <c r="D5" s="45">
        <v>284.29624000000001</v>
      </c>
      <c r="E5" s="6">
        <v>8</v>
      </c>
      <c r="F5" s="35">
        <v>14</v>
      </c>
      <c r="G5" s="38">
        <v>2496</v>
      </c>
      <c r="H5" s="46">
        <v>4.4312637095619792E-2</v>
      </c>
      <c r="I5" s="46">
        <v>1.1811178567160983</v>
      </c>
      <c r="J5" s="46">
        <v>0.44023160723795168</v>
      </c>
      <c r="K5" s="46">
        <v>1.0551972934755545E-3</v>
      </c>
      <c r="L5" s="46">
        <v>0.11468313954524458</v>
      </c>
      <c r="M5" s="46">
        <f t="shared" si="2"/>
        <v>1.2626066460121804E-2</v>
      </c>
      <c r="N5" s="46">
        <f t="shared" si="3"/>
        <v>1.2626066460121804E-2</v>
      </c>
      <c r="O5" s="46">
        <f t="shared" si="4"/>
        <v>1.2626066460121804E-2</v>
      </c>
      <c r="P5" s="46">
        <f t="shared" si="5"/>
        <v>0.33653769068075129</v>
      </c>
      <c r="Q5" s="46">
        <f t="shared" si="0"/>
        <v>3.0065895485330865E-4</v>
      </c>
      <c r="R5" s="46">
        <f t="shared" si="6"/>
        <v>0.1254358552130054</v>
      </c>
      <c r="S5" s="46">
        <f t="shared" si="1"/>
        <v>3.2676839760836809E-2</v>
      </c>
    </row>
    <row r="6" spans="1:19" ht="15" customHeight="1" x14ac:dyDescent="0.25">
      <c r="A6" s="37" t="s">
        <v>143</v>
      </c>
      <c r="B6" s="32" t="s">
        <v>147</v>
      </c>
      <c r="C6" s="36">
        <v>2</v>
      </c>
      <c r="D6" s="45">
        <v>317.82174000000003</v>
      </c>
      <c r="E6" s="6">
        <v>10</v>
      </c>
      <c r="F6" s="35">
        <v>16.5</v>
      </c>
      <c r="G6" s="38">
        <v>4294</v>
      </c>
      <c r="H6" s="46">
        <v>4.4312637095619792E-2</v>
      </c>
      <c r="I6" s="46">
        <v>1.1811178567160983</v>
      </c>
      <c r="J6" s="46">
        <v>0.44023160723795168</v>
      </c>
      <c r="K6" s="46">
        <v>1.0551972934755545E-3</v>
      </c>
      <c r="L6" s="46">
        <v>0.11468313954524458</v>
      </c>
      <c r="M6" s="46">
        <f t="shared" si="2"/>
        <v>2.1721285809199929E-2</v>
      </c>
      <c r="N6" s="46">
        <f t="shared" si="3"/>
        <v>2.1721285809199929E-2</v>
      </c>
      <c r="O6" s="46">
        <f t="shared" si="4"/>
        <v>2.1721285809199929E-2</v>
      </c>
      <c r="P6" s="46">
        <f>$G6*I6/8760</f>
        <v>0.57896347907978607</v>
      </c>
      <c r="Q6" s="46">
        <f t="shared" si="0"/>
        <v>5.1723940390228668E-4</v>
      </c>
      <c r="R6" s="46">
        <f t="shared" si="6"/>
        <v>0.21579389514609185</v>
      </c>
      <c r="S6" s="46">
        <f t="shared" si="1"/>
        <v>5.6215685069324228E-2</v>
      </c>
    </row>
    <row r="7" spans="1:19" ht="15" customHeight="1" x14ac:dyDescent="0.25">
      <c r="A7" s="37" t="s">
        <v>143</v>
      </c>
      <c r="B7" s="32" t="s">
        <v>148</v>
      </c>
      <c r="C7" s="36">
        <v>1</v>
      </c>
      <c r="D7" s="45">
        <v>201.15300000000002</v>
      </c>
      <c r="E7" s="6">
        <v>4.5</v>
      </c>
      <c r="F7" s="35">
        <v>14</v>
      </c>
      <c r="G7" s="38">
        <v>715</v>
      </c>
      <c r="H7" s="46">
        <v>3.101083119228833E-2</v>
      </c>
      <c r="I7" s="46">
        <v>0.83698143551687265</v>
      </c>
      <c r="J7" s="46">
        <v>0.22495851814724077</v>
      </c>
      <c r="K7" s="46">
        <v>7.6033040375300068E-4</v>
      </c>
      <c r="L7" s="46">
        <v>8.0781384871570633E-2</v>
      </c>
      <c r="M7" s="46">
        <f t="shared" si="2"/>
        <v>2.5311351943477344E-3</v>
      </c>
      <c r="N7" s="46">
        <f t="shared" si="3"/>
        <v>2.5311351943477344E-3</v>
      </c>
      <c r="O7" s="46">
        <f t="shared" si="4"/>
        <v>2.5311351943477344E-3</v>
      </c>
      <c r="P7" s="46">
        <f t="shared" si="5"/>
        <v>6.83152655701557E-2</v>
      </c>
      <c r="Q7" s="46">
        <f t="shared" si="0"/>
        <v>6.2058931356552002E-5</v>
      </c>
      <c r="R7" s="46">
        <f t="shared" si="6"/>
        <v>1.8361340236903782E-2</v>
      </c>
      <c r="S7" s="46">
        <f t="shared" si="1"/>
        <v>6.5934577834672378E-3</v>
      </c>
    </row>
    <row r="8" spans="1:19" ht="15" customHeight="1" x14ac:dyDescent="0.25">
      <c r="A8" s="37" t="s">
        <v>143</v>
      </c>
      <c r="B8" s="32" t="s">
        <v>149</v>
      </c>
      <c r="C8" s="36">
        <v>1</v>
      </c>
      <c r="D8" s="45">
        <v>207.85810000000001</v>
      </c>
      <c r="E8" s="6">
        <v>6</v>
      </c>
      <c r="F8" s="35">
        <v>16.5</v>
      </c>
      <c r="G8" s="38">
        <v>1710</v>
      </c>
      <c r="H8" s="46">
        <v>3.101083119228833E-2</v>
      </c>
      <c r="I8" s="46">
        <v>0.83698143551687265</v>
      </c>
      <c r="J8" s="46">
        <v>0.22495851814724077</v>
      </c>
      <c r="K8" s="46">
        <v>7.6033040375300068E-4</v>
      </c>
      <c r="L8" s="46">
        <v>8.0781384871570633E-2</v>
      </c>
      <c r="M8" s="46">
        <f t="shared" si="2"/>
        <v>6.0534841710973789E-3</v>
      </c>
      <c r="N8" s="46">
        <f t="shared" si="3"/>
        <v>6.0534841710973789E-3</v>
      </c>
      <c r="O8" s="46">
        <f t="shared" si="4"/>
        <v>6.0534841710973789E-3</v>
      </c>
      <c r="P8" s="46">
        <f t="shared" si="5"/>
        <v>0.1633833624125402</v>
      </c>
      <c r="Q8" s="46">
        <f t="shared" si="0"/>
        <v>1.4842066100657889E-4</v>
      </c>
      <c r="R8" s="46">
        <f t="shared" si="6"/>
        <v>4.3913135391755904E-2</v>
      </c>
      <c r="S8" s="46">
        <f t="shared" si="1"/>
        <v>1.5768968964655912E-2</v>
      </c>
    </row>
    <row r="9" spans="1:19" ht="15" customHeight="1" x14ac:dyDescent="0.25">
      <c r="A9" s="37" t="s">
        <v>143</v>
      </c>
      <c r="B9" s="32" t="s">
        <v>150</v>
      </c>
      <c r="C9" s="36">
        <v>1</v>
      </c>
      <c r="D9" s="45">
        <v>490.81332000000003</v>
      </c>
      <c r="E9" s="6">
        <v>16</v>
      </c>
      <c r="F9" s="35">
        <v>37</v>
      </c>
      <c r="G9" s="38">
        <v>500</v>
      </c>
      <c r="H9" s="46">
        <v>4.4312637095619792E-2</v>
      </c>
      <c r="I9" s="46">
        <v>1.1811178567160983</v>
      </c>
      <c r="J9" s="46">
        <v>0.44023160723795168</v>
      </c>
      <c r="K9" s="46">
        <v>1.0551972934755545E-3</v>
      </c>
      <c r="L9" s="46">
        <v>0.11468313954524458</v>
      </c>
      <c r="M9" s="46">
        <f t="shared" si="2"/>
        <v>2.5292601081974768E-3</v>
      </c>
      <c r="N9" s="46">
        <f t="shared" si="3"/>
        <v>2.5292601081974768E-3</v>
      </c>
      <c r="O9" s="46">
        <f t="shared" si="4"/>
        <v>2.5292601081974768E-3</v>
      </c>
      <c r="P9" s="46">
        <f t="shared" si="5"/>
        <v>6.741540278059921E-2</v>
      </c>
      <c r="Q9" s="46">
        <f t="shared" si="0"/>
        <v>6.0228156020294205E-5</v>
      </c>
      <c r="R9" s="46">
        <f t="shared" si="6"/>
        <v>2.5127374842348841E-2</v>
      </c>
      <c r="S9" s="46">
        <f t="shared" si="1"/>
        <v>6.5458412982445533E-3</v>
      </c>
    </row>
    <row r="10" spans="1:19" ht="15" customHeight="1" x14ac:dyDescent="0.25">
      <c r="A10" s="37" t="s">
        <v>151</v>
      </c>
      <c r="B10" s="32" t="s">
        <v>152</v>
      </c>
      <c r="C10" s="36">
        <v>3</v>
      </c>
      <c r="D10" s="45">
        <v>309.77562</v>
      </c>
      <c r="E10" s="6">
        <v>15</v>
      </c>
      <c r="F10" s="35">
        <v>58</v>
      </c>
      <c r="G10" s="38">
        <v>2000</v>
      </c>
      <c r="H10" s="46">
        <v>5.8471393844333593E-2</v>
      </c>
      <c r="I10" s="46">
        <v>1.4504044752796337</v>
      </c>
      <c r="J10" s="46">
        <v>0.69236889624711362</v>
      </c>
      <c r="K10" s="46">
        <v>1.1541289752949587E-3</v>
      </c>
      <c r="L10" s="46">
        <v>0.15079545254235013</v>
      </c>
      <c r="M10" s="46">
        <f t="shared" si="2"/>
        <v>1.3349633297793057E-2</v>
      </c>
      <c r="N10" s="46">
        <f t="shared" si="3"/>
        <v>1.3349633297793057E-2</v>
      </c>
      <c r="O10" s="46">
        <f t="shared" si="4"/>
        <v>1.3349633297793057E-2</v>
      </c>
      <c r="P10" s="46">
        <f t="shared" si="5"/>
        <v>0.33114257426475657</v>
      </c>
      <c r="Q10" s="46">
        <f t="shared" si="0"/>
        <v>2.634997660490773E-4</v>
      </c>
      <c r="R10" s="46">
        <f t="shared" si="6"/>
        <v>0.15807509046737755</v>
      </c>
      <c r="S10" s="46">
        <f t="shared" si="1"/>
        <v>3.4428185511952085E-2</v>
      </c>
    </row>
    <row r="11" spans="1:19" ht="15" customHeight="1" x14ac:dyDescent="0.25">
      <c r="A11" s="37" t="s">
        <v>151</v>
      </c>
      <c r="B11" s="32" t="s">
        <v>153</v>
      </c>
      <c r="C11" s="36">
        <v>2</v>
      </c>
      <c r="D11" s="45">
        <v>309.77562</v>
      </c>
      <c r="E11" s="6">
        <v>15</v>
      </c>
      <c r="F11" s="35">
        <v>42</v>
      </c>
      <c r="G11" s="38">
        <v>1240</v>
      </c>
      <c r="H11" s="46">
        <v>5.8471393844333593E-2</v>
      </c>
      <c r="I11" s="46">
        <v>1.4504044752796337</v>
      </c>
      <c r="J11" s="46">
        <v>0.69236889624711362</v>
      </c>
      <c r="K11" s="46">
        <v>1.1541289752949587E-3</v>
      </c>
      <c r="L11" s="46">
        <v>0.15079545254235013</v>
      </c>
      <c r="M11" s="46">
        <f t="shared" si="2"/>
        <v>8.2767726446316969E-3</v>
      </c>
      <c r="N11" s="46">
        <f t="shared" si="3"/>
        <v>8.2767726446316969E-3</v>
      </c>
      <c r="O11" s="46">
        <f t="shared" si="4"/>
        <v>8.2767726446316969E-3</v>
      </c>
      <c r="P11" s="46">
        <f t="shared" si="5"/>
        <v>0.20530839604414908</v>
      </c>
      <c r="Q11" s="46">
        <f t="shared" si="0"/>
        <v>1.6336985495042796E-4</v>
      </c>
      <c r="R11" s="46">
        <f t="shared" si="6"/>
        <v>9.8006556089774086E-2</v>
      </c>
      <c r="S11" s="46">
        <f t="shared" si="1"/>
        <v>2.1345475017410295E-2</v>
      </c>
    </row>
    <row r="12" spans="1:19" ht="15" customHeight="1" x14ac:dyDescent="0.25">
      <c r="A12" s="37" t="s">
        <v>154</v>
      </c>
      <c r="B12" s="32" t="s">
        <v>155</v>
      </c>
      <c r="C12" s="36">
        <v>15</v>
      </c>
      <c r="D12" s="45">
        <v>60.345900000000007</v>
      </c>
      <c r="E12" s="6">
        <v>0.5</v>
      </c>
      <c r="F12" s="35">
        <v>13.7</v>
      </c>
      <c r="G12" s="38">
        <v>11296</v>
      </c>
      <c r="H12" s="46">
        <v>3.5159649405128737E-2</v>
      </c>
      <c r="I12" s="46">
        <v>0.39013010201093185</v>
      </c>
      <c r="J12" s="46">
        <v>0.2004419223709539</v>
      </c>
      <c r="K12" s="46">
        <v>3.1347091665644508E-4</v>
      </c>
      <c r="L12" s="46">
        <v>6.7138814469940591E-2</v>
      </c>
      <c r="M12" s="46">
        <f t="shared" si="2"/>
        <v>4.5338287634741355E-2</v>
      </c>
      <c r="N12" s="46">
        <f t="shared" si="3"/>
        <v>4.5338287634741355E-2</v>
      </c>
      <c r="O12" s="46">
        <f t="shared" si="4"/>
        <v>4.5338287634741355E-2</v>
      </c>
      <c r="P12" s="46">
        <f t="shared" si="5"/>
        <v>0.50307187583510116</v>
      </c>
      <c r="Q12" s="46">
        <f t="shared" si="0"/>
        <v>4.042200313414616E-4</v>
      </c>
      <c r="R12" s="46">
        <f t="shared" si="6"/>
        <v>0.25846940126738532</v>
      </c>
      <c r="S12" s="46">
        <f t="shared" si="1"/>
        <v>8.6575347974023845E-2</v>
      </c>
    </row>
    <row r="13" spans="1:19" ht="15" customHeight="1" x14ac:dyDescent="0.25">
      <c r="A13" s="37" t="s">
        <v>156</v>
      </c>
      <c r="B13" s="32" t="s">
        <v>157</v>
      </c>
      <c r="C13" s="36">
        <v>1</v>
      </c>
      <c r="D13" s="45">
        <v>296.36542000000003</v>
      </c>
      <c r="E13" s="6">
        <v>0.5</v>
      </c>
      <c r="F13" s="35">
        <v>13.7</v>
      </c>
      <c r="G13" s="38">
        <v>394</v>
      </c>
      <c r="H13" s="46">
        <v>4.3563042920389761E-2</v>
      </c>
      <c r="I13" s="46">
        <v>1.1527690945813167</v>
      </c>
      <c r="J13" s="46">
        <v>0.43873428460684394</v>
      </c>
      <c r="K13" s="46">
        <v>1.0216994191013589E-3</v>
      </c>
      <c r="L13" s="46">
        <v>0.11281438267627451</v>
      </c>
      <c r="M13" s="46">
        <f t="shared" si="2"/>
        <v>1.9593423413965258E-3</v>
      </c>
      <c r="N13" s="46">
        <f t="shared" si="3"/>
        <v>1.9593423413965258E-3</v>
      </c>
      <c r="O13" s="46">
        <f t="shared" si="4"/>
        <v>1.9593423413965258E-3</v>
      </c>
      <c r="P13" s="46">
        <f t="shared" si="5"/>
        <v>5.1848290327059218E-2</v>
      </c>
      <c r="Q13" s="46">
        <f t="shared" si="0"/>
        <v>4.5953147388805417E-5</v>
      </c>
      <c r="R13" s="46">
        <f t="shared" si="6"/>
        <v>1.9733026042819238E-2</v>
      </c>
      <c r="S13" s="46">
        <f t="shared" si="1"/>
        <v>5.0740715495949948E-3</v>
      </c>
    </row>
    <row r="14" spans="1:19" ht="15" customHeight="1" x14ac:dyDescent="0.25">
      <c r="A14" s="37" t="s">
        <v>158</v>
      </c>
      <c r="B14" s="32" t="s">
        <v>159</v>
      </c>
      <c r="C14" s="36">
        <v>6</v>
      </c>
      <c r="D14" s="45">
        <v>88.507320000000007</v>
      </c>
      <c r="E14" s="6">
        <v>1.1499999999999999</v>
      </c>
      <c r="F14" s="35">
        <v>5.03</v>
      </c>
      <c r="G14" s="38">
        <v>3825</v>
      </c>
      <c r="H14" s="46">
        <v>2.8793655488323529E-2</v>
      </c>
      <c r="I14" s="46">
        <v>0.31658028839538099</v>
      </c>
      <c r="J14" s="46">
        <v>0.1700059255667182</v>
      </c>
      <c r="K14" s="46">
        <v>2.7523798360286437E-4</v>
      </c>
      <c r="L14" s="46">
        <v>5.3477532985904644E-2</v>
      </c>
      <c r="M14" s="46">
        <f t="shared" si="2"/>
        <v>1.2572572173839896E-2</v>
      </c>
      <c r="N14" s="46">
        <f t="shared" si="3"/>
        <v>1.2572572173839896E-2</v>
      </c>
      <c r="O14" s="46">
        <f t="shared" si="4"/>
        <v>1.2572572173839896E-2</v>
      </c>
      <c r="P14" s="46">
        <f t="shared" si="5"/>
        <v>0.13823283140551737</v>
      </c>
      <c r="Q14" s="46">
        <f t="shared" si="0"/>
        <v>1.2018096886768907E-4</v>
      </c>
      <c r="R14" s="46">
        <f t="shared" si="6"/>
        <v>7.4232039416974552E-2</v>
      </c>
      <c r="S14" s="46">
        <f t="shared" si="1"/>
        <v>2.3350635122270008E-2</v>
      </c>
    </row>
    <row r="15" spans="1:19" ht="15" customHeight="1" x14ac:dyDescent="0.25">
      <c r="A15" s="37" t="s">
        <v>160</v>
      </c>
      <c r="B15" s="32" t="s">
        <v>161</v>
      </c>
      <c r="C15" s="36">
        <v>1</v>
      </c>
      <c r="D15" s="45">
        <v>138.12506000000002</v>
      </c>
      <c r="E15" s="6">
        <v>0.8</v>
      </c>
      <c r="F15" s="35">
        <v>6.16</v>
      </c>
      <c r="G15" s="38">
        <v>3240</v>
      </c>
      <c r="H15" s="46">
        <v>3.6023154684608628E-2</v>
      </c>
      <c r="I15" s="46">
        <v>0.63034815463312366</v>
      </c>
      <c r="J15" s="46">
        <v>0.30652652990664653</v>
      </c>
      <c r="K15" s="46">
        <v>5.7274397999067218E-4</v>
      </c>
      <c r="L15" s="46">
        <v>8.1297557226803041E-2</v>
      </c>
      <c r="M15" s="46">
        <f t="shared" si="2"/>
        <v>1.3323632554581273E-2</v>
      </c>
      <c r="N15" s="46">
        <f t="shared" si="3"/>
        <v>1.3323632554581273E-2</v>
      </c>
      <c r="O15" s="46">
        <f t="shared" si="4"/>
        <v>1.3323632554581273E-2</v>
      </c>
      <c r="P15" s="46">
        <f t="shared" si="5"/>
        <v>0.23314246815197726</v>
      </c>
      <c r="Q15" s="46">
        <f t="shared" si="0"/>
        <v>2.1183681451709794E-4</v>
      </c>
      <c r="R15" s="46">
        <f t="shared" si="6"/>
        <v>0.11337282612985557</v>
      </c>
      <c r="S15" s="46">
        <f t="shared" si="1"/>
        <v>3.0068959522242221E-2</v>
      </c>
    </row>
    <row r="16" spans="1:19" ht="15" customHeight="1" x14ac:dyDescent="0.25">
      <c r="A16" s="37" t="s">
        <v>160</v>
      </c>
      <c r="B16" s="32" t="s">
        <v>162</v>
      </c>
      <c r="C16" s="36">
        <v>1</v>
      </c>
      <c r="D16" s="45">
        <v>146.17118000000002</v>
      </c>
      <c r="E16" s="6">
        <v>23</v>
      </c>
      <c r="F16" s="35">
        <v>6.16</v>
      </c>
      <c r="G16" s="38">
        <v>3304</v>
      </c>
      <c r="H16" s="46">
        <v>3.6023154684608628E-2</v>
      </c>
      <c r="I16" s="46">
        <v>0.63034815463312366</v>
      </c>
      <c r="J16" s="46">
        <v>0.30652652990664653</v>
      </c>
      <c r="K16" s="46">
        <v>5.7274397999067218E-4</v>
      </c>
      <c r="L16" s="46">
        <v>8.1297557226803041E-2</v>
      </c>
      <c r="M16" s="46">
        <f t="shared" si="2"/>
        <v>1.3586815419856953E-2</v>
      </c>
      <c r="N16" s="46">
        <f t="shared" si="3"/>
        <v>1.3586815419856953E-2</v>
      </c>
      <c r="O16" s="46">
        <f t="shared" si="4"/>
        <v>1.3586815419856953E-2</v>
      </c>
      <c r="P16" s="46">
        <f t="shared" si="5"/>
        <v>0.2377477514734978</v>
      </c>
      <c r="Q16" s="46">
        <f t="shared" si="0"/>
        <v>2.1602124542113938E-4</v>
      </c>
      <c r="R16" s="46">
        <f t="shared" si="6"/>
        <v>0.11561228936205024</v>
      </c>
      <c r="S16" s="46">
        <f t="shared" si="1"/>
        <v>3.0662914278237127E-2</v>
      </c>
    </row>
    <row r="17" spans="1:19" ht="15" customHeight="1" x14ac:dyDescent="0.25">
      <c r="A17" s="37" t="s">
        <v>160</v>
      </c>
      <c r="B17" s="32" t="s">
        <v>163</v>
      </c>
      <c r="C17" s="36">
        <v>5</v>
      </c>
      <c r="D17" s="45">
        <v>89.848340000000007</v>
      </c>
      <c r="E17" s="6">
        <v>0.6</v>
      </c>
      <c r="F17" s="35">
        <v>5.3</v>
      </c>
      <c r="G17" s="38">
        <v>2652</v>
      </c>
      <c r="H17" s="46">
        <v>4.3689955953397884E-2</v>
      </c>
      <c r="I17" s="46">
        <v>0.46744735992116221</v>
      </c>
      <c r="J17" s="46">
        <v>0.24966648844319658</v>
      </c>
      <c r="K17" s="46">
        <v>3.9173850602458582E-4</v>
      </c>
      <c r="L17" s="46">
        <v>8.1017998911048009E-2</v>
      </c>
      <c r="M17" s="46">
        <f t="shared" si="2"/>
        <v>1.322668529548073E-2</v>
      </c>
      <c r="N17" s="46">
        <f t="shared" si="3"/>
        <v>1.322668529548073E-2</v>
      </c>
      <c r="O17" s="46">
        <f t="shared" si="4"/>
        <v>1.322668529548073E-2</v>
      </c>
      <c r="P17" s="46">
        <f t="shared" si="5"/>
        <v>0.14151488567476281</v>
      </c>
      <c r="Q17" s="46">
        <f t="shared" si="0"/>
        <v>1.1859480798826504E-4</v>
      </c>
      <c r="R17" s="46">
        <f t="shared" si="6"/>
        <v>7.5583964309515667E-2</v>
      </c>
      <c r="S17" s="46">
        <f t="shared" si="1"/>
        <v>2.4527366793618645E-2</v>
      </c>
    </row>
    <row r="18" spans="1:19" ht="15" customHeight="1" x14ac:dyDescent="0.25">
      <c r="A18" s="37" t="s">
        <v>160</v>
      </c>
      <c r="B18" s="32" t="s">
        <v>164</v>
      </c>
      <c r="C18" s="36">
        <v>1</v>
      </c>
      <c r="D18" s="45">
        <v>40.230600000000003</v>
      </c>
      <c r="E18" s="6">
        <v>5</v>
      </c>
      <c r="F18" s="35">
        <v>5.3</v>
      </c>
      <c r="G18" s="38">
        <v>662</v>
      </c>
      <c r="H18" s="46">
        <v>1.5482138027073926E-2</v>
      </c>
      <c r="I18" s="46">
        <v>0.12602279653815557</v>
      </c>
      <c r="J18" s="46">
        <v>0.15992567973540345</v>
      </c>
      <c r="K18" s="46">
        <v>1.4669823419588148E-4</v>
      </c>
      <c r="L18" s="46">
        <v>6.8514240153494874E-2</v>
      </c>
      <c r="M18" s="46">
        <f t="shared" si="2"/>
        <v>1.1699971888039884E-3</v>
      </c>
      <c r="N18" s="46">
        <f t="shared" si="3"/>
        <v>1.1699971888039884E-3</v>
      </c>
      <c r="O18" s="46">
        <f t="shared" si="4"/>
        <v>1.1699971888039884E-3</v>
      </c>
      <c r="P18" s="46">
        <f t="shared" si="5"/>
        <v>9.5236405603035361E-3</v>
      </c>
      <c r="Q18" s="46">
        <f t="shared" si="0"/>
        <v>1.1086099433524377E-5</v>
      </c>
      <c r="R18" s="46">
        <f t="shared" si="6"/>
        <v>1.208570776082615E-2</v>
      </c>
      <c r="S18" s="46">
        <f t="shared" si="1"/>
        <v>5.1776743129695896E-3</v>
      </c>
    </row>
    <row r="19" spans="1:19" ht="15" customHeight="1" x14ac:dyDescent="0.25">
      <c r="A19" s="37" t="s">
        <v>165</v>
      </c>
      <c r="B19" s="32" t="s">
        <v>166</v>
      </c>
      <c r="C19" s="35">
        <v>1</v>
      </c>
      <c r="D19" s="45">
        <v>522.99779999999998</v>
      </c>
      <c r="E19" s="6">
        <v>220</v>
      </c>
      <c r="F19" s="35">
        <v>6.6</v>
      </c>
      <c r="G19" s="38">
        <v>919.4</v>
      </c>
      <c r="H19" s="46">
        <v>6.3011704998255175E-2</v>
      </c>
      <c r="I19" s="46">
        <v>1.6418624857671682</v>
      </c>
      <c r="J19" s="46">
        <v>0.64469912411930808</v>
      </c>
      <c r="K19" s="46">
        <v>1.3821084740379291E-3</v>
      </c>
      <c r="L19" s="46">
        <v>0.16327907040414899</v>
      </c>
      <c r="M19" s="46">
        <f t="shared" si="2"/>
        <v>6.6133517780132198E-3</v>
      </c>
      <c r="N19" s="46">
        <f t="shared" si="3"/>
        <v>6.6133517780132198E-3</v>
      </c>
      <c r="O19" s="46">
        <f t="shared" si="4"/>
        <v>6.6133517780132198E-3</v>
      </c>
      <c r="P19" s="46">
        <f t="shared" si="5"/>
        <v>0.17232059011579159</v>
      </c>
      <c r="Q19" s="46">
        <f t="shared" si="0"/>
        <v>1.4505827979799908E-4</v>
      </c>
      <c r="R19" s="46">
        <f t="shared" si="6"/>
        <v>6.7663969716357519E-2</v>
      </c>
      <c r="S19" s="46">
        <f t="shared" si="1"/>
        <v>1.7136846727120385E-2</v>
      </c>
    </row>
    <row r="20" spans="1:19" ht="15" customHeight="1" x14ac:dyDescent="0.25">
      <c r="A20" s="37" t="s">
        <v>165</v>
      </c>
      <c r="B20" s="32" t="s">
        <v>167</v>
      </c>
      <c r="C20" s="35">
        <v>1</v>
      </c>
      <c r="D20" s="45">
        <v>493.49536000000006</v>
      </c>
      <c r="E20" s="6">
        <v>130</v>
      </c>
      <c r="F20" s="35">
        <v>4.5</v>
      </c>
      <c r="G20" s="38">
        <v>401</v>
      </c>
      <c r="H20" s="46">
        <v>3.7138792516272966E-2</v>
      </c>
      <c r="I20" s="46">
        <v>0.95478182086470209</v>
      </c>
      <c r="J20" s="46">
        <v>0.38480383406526514</v>
      </c>
      <c r="K20" s="46">
        <v>8.0183868816433382E-4</v>
      </c>
      <c r="L20" s="46">
        <v>9.6227929791575698E-2</v>
      </c>
      <c r="M20" s="46">
        <f t="shared" si="2"/>
        <v>1.7000748629024496E-3</v>
      </c>
      <c r="N20" s="46">
        <f t="shared" si="3"/>
        <v>1.7000748629024496E-3</v>
      </c>
      <c r="O20" s="46">
        <f t="shared" si="4"/>
        <v>1.7000748629024496E-3</v>
      </c>
      <c r="P20" s="46">
        <f t="shared" si="5"/>
        <v>4.3706336777025748E-2</v>
      </c>
      <c r="Q20" s="46">
        <f t="shared" si="0"/>
        <v>3.6705172825787422E-5</v>
      </c>
      <c r="R20" s="46">
        <f t="shared" si="6"/>
        <v>1.7614878705499007E-2</v>
      </c>
      <c r="S20" s="46">
        <f t="shared" si="1"/>
        <v>4.4049543203677913E-3</v>
      </c>
    </row>
    <row r="21" spans="1:19" ht="15" customHeight="1" x14ac:dyDescent="0.25">
      <c r="A21" s="37" t="s">
        <v>165</v>
      </c>
      <c r="B21" s="32" t="s">
        <v>168</v>
      </c>
      <c r="C21" s="35">
        <v>1</v>
      </c>
      <c r="D21" s="45">
        <v>362.0754</v>
      </c>
      <c r="E21" s="6">
        <v>70</v>
      </c>
      <c r="F21" s="35">
        <v>9.15</v>
      </c>
      <c r="G21" s="38">
        <v>2391</v>
      </c>
      <c r="H21" s="46">
        <v>3.7138792516272966E-2</v>
      </c>
      <c r="I21" s="46">
        <v>0.95478182086470209</v>
      </c>
      <c r="J21" s="46">
        <v>0.38480383406526514</v>
      </c>
      <c r="K21" s="46">
        <v>8.0183868816433382E-4</v>
      </c>
      <c r="L21" s="46">
        <v>9.6227929791575698E-2</v>
      </c>
      <c r="M21" s="46">
        <f t="shared" si="2"/>
        <v>1.013685535461286E-2</v>
      </c>
      <c r="N21" s="46">
        <f t="shared" si="3"/>
        <v>1.013685535461286E-2</v>
      </c>
      <c r="O21" s="46">
        <f t="shared" si="4"/>
        <v>1.013685535461286E-2</v>
      </c>
      <c r="P21" s="46">
        <f t="shared" si="5"/>
        <v>0.26060312028396149</v>
      </c>
      <c r="Q21" s="46">
        <f t="shared" si="0"/>
        <v>2.1885802550238837E-4</v>
      </c>
      <c r="R21" s="46">
        <f t="shared" si="6"/>
        <v>0.10503036155822477</v>
      </c>
      <c r="S21" s="46">
        <f t="shared" si="1"/>
        <v>2.6264952069823915E-2</v>
      </c>
    </row>
    <row r="22" spans="1:19" ht="15" customHeight="1" x14ac:dyDescent="0.25">
      <c r="A22" s="37" t="s">
        <v>165</v>
      </c>
      <c r="B22" s="32" t="s">
        <v>169</v>
      </c>
      <c r="C22" s="35">
        <v>1</v>
      </c>
      <c r="D22" s="45">
        <v>500</v>
      </c>
      <c r="E22" s="6">
        <v>30</v>
      </c>
      <c r="F22" s="35">
        <v>4</v>
      </c>
      <c r="G22" s="38">
        <v>846.7</v>
      </c>
      <c r="H22" s="46">
        <v>3.7138792516272966E-2</v>
      </c>
      <c r="I22" s="46">
        <v>0.95478182086470209</v>
      </c>
      <c r="J22" s="46">
        <v>0.38480383406526514</v>
      </c>
      <c r="K22" s="46">
        <v>8.0183868816433382E-4</v>
      </c>
      <c r="L22" s="46">
        <v>9.6227929791575698E-2</v>
      </c>
      <c r="M22" s="46">
        <f t="shared" si="2"/>
        <v>3.5896593177543747E-3</v>
      </c>
      <c r="N22" s="46">
        <f t="shared" si="3"/>
        <v>3.5896593177543747E-3</v>
      </c>
      <c r="O22" s="46">
        <f t="shared" si="4"/>
        <v>3.5896593177543747E-3</v>
      </c>
      <c r="P22" s="46">
        <f t="shared" si="5"/>
        <v>9.2284676681066588E-2</v>
      </c>
      <c r="Q22" s="46">
        <f t="shared" si="0"/>
        <v>7.7501919779536689E-5</v>
      </c>
      <c r="R22" s="46">
        <f t="shared" si="6"/>
        <v>3.71933112218105E-2</v>
      </c>
      <c r="S22" s="46">
        <f t="shared" si="1"/>
        <v>9.3009347208364325E-3</v>
      </c>
    </row>
    <row r="23" spans="1:19" ht="15" customHeight="1" x14ac:dyDescent="0.25">
      <c r="A23" s="37" t="s">
        <v>165</v>
      </c>
      <c r="B23" s="32" t="s">
        <v>168</v>
      </c>
      <c r="C23" s="35">
        <v>1</v>
      </c>
      <c r="D23" s="45">
        <v>500</v>
      </c>
      <c r="E23" s="6">
        <v>70</v>
      </c>
      <c r="F23" s="35">
        <v>9.15</v>
      </c>
      <c r="G23" s="38">
        <v>3122.08</v>
      </c>
      <c r="H23" s="46">
        <v>3.7138792516272966E-2</v>
      </c>
      <c r="I23" s="46">
        <v>0.95478182086470209</v>
      </c>
      <c r="J23" s="46">
        <v>0.38480383406526514</v>
      </c>
      <c r="K23" s="46">
        <v>8.0183868816433382E-4</v>
      </c>
      <c r="L23" s="46">
        <v>9.6227929791575698E-2</v>
      </c>
      <c r="M23" s="46">
        <f t="shared" si="2"/>
        <v>1.3236333486210674E-2</v>
      </c>
      <c r="N23" s="46">
        <f t="shared" si="3"/>
        <v>1.3236333486210674E-2</v>
      </c>
      <c r="O23" s="46">
        <f t="shared" si="4"/>
        <v>1.3236333486210674E-2</v>
      </c>
      <c r="P23" s="46">
        <f t="shared" si="5"/>
        <v>0.34028598484991657</v>
      </c>
      <c r="Q23" s="46">
        <f t="shared" si="0"/>
        <v>2.8577677300731772E-4</v>
      </c>
      <c r="R23" s="46">
        <f t="shared" si="6"/>
        <v>0.13714478929891358</v>
      </c>
      <c r="S23" s="46">
        <f t="shared" si="1"/>
        <v>3.4295809936493456E-2</v>
      </c>
    </row>
    <row r="24" spans="1:19" ht="15" customHeight="1" x14ac:dyDescent="0.25">
      <c r="A24" s="37" t="s">
        <v>165</v>
      </c>
      <c r="B24" s="32" t="s">
        <v>170</v>
      </c>
      <c r="C24" s="35">
        <v>1</v>
      </c>
      <c r="D24" s="45">
        <v>500</v>
      </c>
      <c r="E24" s="6">
        <v>30</v>
      </c>
      <c r="F24" s="35">
        <v>4.5</v>
      </c>
      <c r="G24" s="38">
        <v>1697.06</v>
      </c>
      <c r="H24" s="46">
        <v>3.7138792516272966E-2</v>
      </c>
      <c r="I24" s="46">
        <v>0.95478182086470209</v>
      </c>
      <c r="J24" s="46">
        <v>0.38480383406526514</v>
      </c>
      <c r="K24" s="46">
        <v>8.0183868816433382E-4</v>
      </c>
      <c r="L24" s="46">
        <v>9.6227929791575698E-2</v>
      </c>
      <c r="M24" s="46">
        <f t="shared" si="2"/>
        <v>7.1948355282723973E-3</v>
      </c>
      <c r="N24" s="46">
        <f t="shared" si="3"/>
        <v>7.1948355282723973E-3</v>
      </c>
      <c r="O24" s="46">
        <f t="shared" si="4"/>
        <v>7.1948355282723973E-3</v>
      </c>
      <c r="P24" s="46">
        <f t="shared" si="5"/>
        <v>0.18496826905441224</v>
      </c>
      <c r="Q24" s="46">
        <f t="shared" si="0"/>
        <v>1.5533885435344342E-4</v>
      </c>
      <c r="R24" s="46">
        <f t="shared" si="6"/>
        <v>7.4547396648264708E-2</v>
      </c>
      <c r="S24" s="46">
        <f t="shared" si="1"/>
        <v>1.8642074261654276E-2</v>
      </c>
    </row>
    <row r="25" spans="1:19" ht="15" customHeight="1" x14ac:dyDescent="0.25">
      <c r="A25" s="37" t="s">
        <v>171</v>
      </c>
      <c r="B25" s="32" t="s">
        <v>172</v>
      </c>
      <c r="C25" s="35">
        <v>1</v>
      </c>
      <c r="D25" s="45">
        <v>500</v>
      </c>
      <c r="E25" s="6">
        <v>10</v>
      </c>
      <c r="F25" s="35">
        <v>3</v>
      </c>
      <c r="G25" s="38">
        <v>1082.7</v>
      </c>
      <c r="H25" s="46">
        <v>3.7138792516272966E-2</v>
      </c>
      <c r="I25" s="46">
        <v>0.95478182086470209</v>
      </c>
      <c r="J25" s="46">
        <v>0.38480383406526514</v>
      </c>
      <c r="K25" s="46">
        <v>8.0183868816433382E-4</v>
      </c>
      <c r="L25" s="46">
        <v>9.6227929791575698E-2</v>
      </c>
      <c r="M25" s="46">
        <f t="shared" si="2"/>
        <v>4.5902021298366144E-3</v>
      </c>
      <c r="N25" s="46">
        <f t="shared" si="3"/>
        <v>4.5902021298366144E-3</v>
      </c>
      <c r="O25" s="46">
        <f t="shared" si="4"/>
        <v>4.5902021298366144E-3</v>
      </c>
      <c r="P25" s="46">
        <f t="shared" si="5"/>
        <v>0.11800710929796951</v>
      </c>
      <c r="Q25" s="46">
        <f t="shared" si="0"/>
        <v>9.910396662962605E-5</v>
      </c>
      <c r="R25" s="46">
        <f t="shared" si="6"/>
        <v>4.7560172504847328E-2</v>
      </c>
      <c r="S25" s="46">
        <f t="shared" si="1"/>
        <v>1.1893376664993039E-2</v>
      </c>
    </row>
    <row r="26" spans="1:19" ht="15" customHeight="1" x14ac:dyDescent="0.25">
      <c r="A26" s="37" t="s">
        <v>173</v>
      </c>
      <c r="B26" s="32" t="s">
        <v>172</v>
      </c>
      <c r="C26" s="35">
        <v>1</v>
      </c>
      <c r="D26" s="45">
        <v>500</v>
      </c>
      <c r="E26" s="6">
        <v>10</v>
      </c>
      <c r="F26" s="35">
        <v>3</v>
      </c>
      <c r="G26" s="38">
        <v>1334.9</v>
      </c>
      <c r="H26" s="46">
        <v>3.7138792516272966E-2</v>
      </c>
      <c r="I26" s="46">
        <v>0.95478182086470209</v>
      </c>
      <c r="J26" s="46">
        <v>0.38480383406526514</v>
      </c>
      <c r="K26" s="46">
        <v>8.0183868816433382E-4</v>
      </c>
      <c r="L26" s="46">
        <v>9.6227929791575698E-2</v>
      </c>
      <c r="M26" s="46">
        <f t="shared" si="2"/>
        <v>5.6594262705448387E-3</v>
      </c>
      <c r="N26" s="46">
        <f t="shared" si="3"/>
        <v>5.6594262705448387E-3</v>
      </c>
      <c r="O26" s="46">
        <f t="shared" si="4"/>
        <v>5.6594262705448387E-3</v>
      </c>
      <c r="P26" s="46">
        <f t="shared" si="5"/>
        <v>0.14549523432332087</v>
      </c>
      <c r="Q26" s="46">
        <f t="shared" si="0"/>
        <v>1.221888658482385E-4</v>
      </c>
      <c r="R26" s="46">
        <f t="shared" si="6"/>
        <v>5.8638657316634986E-2</v>
      </c>
      <c r="S26" s="46">
        <f t="shared" si="1"/>
        <v>1.4663774369723107E-2</v>
      </c>
    </row>
    <row r="27" spans="1:19" ht="15" customHeight="1" x14ac:dyDescent="0.25">
      <c r="A27" s="106" t="s">
        <v>182</v>
      </c>
      <c r="B27" s="107"/>
      <c r="C27" s="107"/>
      <c r="D27" s="107"/>
      <c r="E27" s="107"/>
      <c r="F27" s="107"/>
      <c r="G27" s="107"/>
      <c r="H27" s="107"/>
      <c r="I27" s="107"/>
      <c r="J27" s="107"/>
      <c r="K27" s="107"/>
      <c r="L27" s="108"/>
      <c r="M27" s="34">
        <f>SUM(M3:M26)</f>
        <v>0.37272637891107829</v>
      </c>
      <c r="N27" s="34">
        <f t="shared" ref="N27:S27" si="7">SUM(N3:N26)</f>
        <v>0.37272637891107829</v>
      </c>
      <c r="O27" s="34">
        <f t="shared" si="7"/>
        <v>0.37272637891107829</v>
      </c>
      <c r="P27" s="34">
        <f t="shared" si="7"/>
        <v>8.5192955201187637</v>
      </c>
      <c r="Q27" s="34">
        <f>SUM(Q3:Q26)</f>
        <v>7.5043119367390913E-3</v>
      </c>
      <c r="R27" s="34">
        <f t="shared" si="7"/>
        <v>2.9999519658005847</v>
      </c>
      <c r="S27" s="34">
        <f t="shared" si="7"/>
        <v>0.9108896347439015</v>
      </c>
    </row>
  </sheetData>
  <sheetProtection password="B056" sheet="1" objects="1" scenarios="1"/>
  <mergeCells count="10">
    <mergeCell ref="M1:S1"/>
    <mergeCell ref="H1:L1"/>
    <mergeCell ref="A27:L27"/>
    <mergeCell ref="B1:B2"/>
    <mergeCell ref="A1:A2"/>
    <mergeCell ref="G1:G2"/>
    <mergeCell ref="F1:F2"/>
    <mergeCell ref="E1:E2"/>
    <mergeCell ref="D1:D2"/>
    <mergeCell ref="C1:C2"/>
  </mergeCells>
  <pageMargins left="0.511811024" right="0.511811024" top="0.78740157499999996" bottom="0.78740157499999996" header="0.31496062000000002" footer="0.31496062000000002"/>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FE-Locomotiva</vt:lpstr>
      <vt:lpstr>Emissão Vias</vt:lpstr>
      <vt:lpstr>Emissão Locomotivas</vt:lpstr>
      <vt:lpstr>Emissão Maq e 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2019-06-06T19:33:12Z</dcterms:modified>
</cp:coreProperties>
</file>