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llourec Tubos do Brasil\"/>
    </mc:Choice>
  </mc:AlternateContent>
  <bookViews>
    <workbookView xWindow="0" yWindow="0" windowWidth="24000" windowHeight="9135" tabRatio="866" firstSheet="2" activeTab="10"/>
  </bookViews>
  <sheets>
    <sheet name="Dados" sheetId="16" r:id="rId1"/>
    <sheet name="FE-Combustão" sheetId="2" r:id="rId2"/>
    <sheet name="FE-Maq e Equip" sheetId="6" r:id="rId3"/>
    <sheet name="FE-Transferências" sheetId="10" r:id="rId4"/>
    <sheet name="FE-Vias" sheetId="13" r:id="rId5"/>
    <sheet name="Emissão Chaminé_Forno" sheetId="1" r:id="rId6"/>
    <sheet name="Emissão Transferências" sheetId="8" r:id="rId7"/>
    <sheet name="Emissão Jateamento" sheetId="12" r:id="rId8"/>
    <sheet name="Emissão Maq e Equip" sheetId="5" r:id="rId9"/>
    <sheet name="Emissão Vias " sheetId="9" r:id="rId10"/>
    <sheet name="Resumo" sheetId="17" r:id="rId11"/>
  </sheets>
  <externalReferences>
    <externalReference r:id="rId12"/>
    <externalReference r:id="rId13"/>
  </externalReferences>
  <definedNames>
    <definedName name="FE_Equip">'FE-Maq e Equip'!$B$3:$I$39</definedName>
    <definedName name="Pot_Equip">'FE-Maq e Equip'!$B$3:$B$39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9" l="1"/>
  <c r="T5" i="9" l="1"/>
  <c r="T4" i="9"/>
  <c r="S5" i="9"/>
  <c r="S4" i="9"/>
  <c r="R4" i="9" l="1"/>
  <c r="C3" i="17" l="1"/>
  <c r="D3" i="17"/>
  <c r="E3" i="17"/>
  <c r="F3" i="17"/>
  <c r="G3" i="17"/>
  <c r="H3" i="17"/>
  <c r="B3" i="17"/>
  <c r="C4" i="12" l="1"/>
  <c r="N4" i="9" l="1"/>
  <c r="M4" i="9"/>
  <c r="L4" i="9"/>
  <c r="G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N5" i="9"/>
  <c r="M5" i="9"/>
  <c r="L5" i="9"/>
  <c r="G15" i="13"/>
  <c r="J14" i="13"/>
  <c r="J13" i="13"/>
  <c r="J12" i="13"/>
  <c r="J11" i="13"/>
  <c r="J10" i="13"/>
  <c r="J9" i="13"/>
  <c r="J8" i="13"/>
  <c r="J7" i="13"/>
  <c r="J6" i="13"/>
  <c r="J5" i="13"/>
  <c r="J4" i="13"/>
  <c r="J3" i="13"/>
  <c r="V4" i="9"/>
  <c r="W4" i="9"/>
  <c r="X4" i="9"/>
  <c r="Y4" i="9"/>
  <c r="Z4" i="9"/>
  <c r="AA4" i="9"/>
  <c r="H7" i="5" l="1"/>
  <c r="I7" i="5" s="1"/>
  <c r="K7" i="5"/>
  <c r="L7" i="5"/>
  <c r="M7" i="5"/>
  <c r="N7" i="5"/>
  <c r="G7" i="5"/>
  <c r="G4" i="5"/>
  <c r="J7" i="5" l="1"/>
  <c r="G5" i="5" l="1"/>
  <c r="B4" i="8"/>
  <c r="B8" i="17" l="1"/>
  <c r="C8" i="17"/>
  <c r="C9" i="17" s="1"/>
  <c r="D8" i="17"/>
  <c r="C5" i="12"/>
  <c r="G5" i="12" s="1"/>
  <c r="G4" i="12"/>
  <c r="G6" i="12" l="1"/>
  <c r="H6" i="17" s="1"/>
  <c r="P5" i="9"/>
  <c r="Q5" i="9"/>
  <c r="R5" i="9"/>
  <c r="U5" i="9"/>
  <c r="O5" i="9"/>
  <c r="P4" i="9"/>
  <c r="Q4" i="9"/>
  <c r="U4" i="9"/>
  <c r="O4" i="9"/>
  <c r="AD5" i="9" l="1"/>
  <c r="AC5" i="9"/>
  <c r="AB5" i="9"/>
  <c r="AD4" i="9"/>
  <c r="AC4" i="9"/>
  <c r="AB4" i="9"/>
  <c r="F5" i="9" l="1"/>
  <c r="F4" i="9"/>
  <c r="G5" i="9" l="1"/>
  <c r="G4" i="9"/>
  <c r="AG4" i="9" l="1"/>
  <c r="AF4" i="9"/>
  <c r="AH4" i="9"/>
  <c r="AE4" i="9"/>
  <c r="AD6" i="9"/>
  <c r="D7" i="17" s="1"/>
  <c r="AG5" i="9"/>
  <c r="AH5" i="9"/>
  <c r="C7" i="17"/>
  <c r="AE5" i="9"/>
  <c r="AF5" i="9"/>
  <c r="AF6" i="9" s="1"/>
  <c r="F7" i="17" s="1"/>
  <c r="AG6" i="9" l="1"/>
  <c r="G7" i="17" s="1"/>
  <c r="AE6" i="9"/>
  <c r="E7" i="17" s="1"/>
  <c r="AB6" i="9"/>
  <c r="B7" i="17" s="1"/>
  <c r="AH6" i="9"/>
  <c r="H7" i="17" s="1"/>
  <c r="H4" i="8" l="1"/>
  <c r="G4" i="8"/>
  <c r="F4" i="8"/>
  <c r="B18" i="2" l="1"/>
  <c r="M4" i="1"/>
  <c r="T4" i="1" s="1"/>
  <c r="C5" i="1"/>
  <c r="C4" i="1"/>
  <c r="L5" i="1" l="1"/>
  <c r="S5" i="1" s="1"/>
  <c r="L4" i="1"/>
  <c r="S4" i="1" s="1"/>
  <c r="J4" i="1"/>
  <c r="O4" i="1" s="1"/>
  <c r="N4" i="1"/>
  <c r="U4" i="1" s="1"/>
  <c r="U6" i="1" s="1"/>
  <c r="J5" i="1"/>
  <c r="O5" i="1" s="1"/>
  <c r="K5" i="1"/>
  <c r="R5" i="1" s="1"/>
  <c r="N5" i="1"/>
  <c r="U5" i="1" s="1"/>
  <c r="M5" i="1"/>
  <c r="T5" i="1" s="1"/>
  <c r="T6" i="1" s="1"/>
  <c r="K4" i="1"/>
  <c r="R4" i="1" s="1"/>
  <c r="S6" i="1" l="1"/>
  <c r="R6" i="1"/>
  <c r="Q5" i="1"/>
  <c r="P5" i="1"/>
  <c r="O6" i="1"/>
  <c r="P4" i="1"/>
  <c r="Q4" i="1"/>
  <c r="Q6" i="1" s="1"/>
  <c r="P6" i="1" l="1"/>
  <c r="I4" i="8"/>
  <c r="I5" i="8" s="1"/>
  <c r="B4" i="17" s="1"/>
  <c r="J4" i="8"/>
  <c r="J5" i="8" s="1"/>
  <c r="C4" i="17" s="1"/>
  <c r="K4" i="8"/>
  <c r="K5" i="8" s="1"/>
  <c r="D4" i="17" s="1"/>
  <c r="H6" i="5"/>
  <c r="I6" i="5" s="1"/>
  <c r="K6" i="5"/>
  <c r="L6" i="5"/>
  <c r="M6" i="5"/>
  <c r="N6" i="5"/>
  <c r="J6" i="5" l="1"/>
  <c r="G9" i="5"/>
  <c r="G8" i="5"/>
  <c r="H8" i="5" l="1"/>
  <c r="I8" i="5" s="1"/>
  <c r="K8" i="5"/>
  <c r="L8" i="5"/>
  <c r="M8" i="5"/>
  <c r="N8" i="5"/>
  <c r="H9" i="5"/>
  <c r="I9" i="5" s="1"/>
  <c r="K9" i="5"/>
  <c r="L9" i="5"/>
  <c r="M9" i="5"/>
  <c r="N9" i="5"/>
  <c r="H5" i="5"/>
  <c r="J5" i="5" s="1"/>
  <c r="K5" i="5"/>
  <c r="L5" i="5"/>
  <c r="M5" i="5"/>
  <c r="N5" i="5"/>
  <c r="J8" i="5" l="1"/>
  <c r="J9" i="5"/>
  <c r="I5" i="5"/>
  <c r="H4" i="5" l="1"/>
  <c r="H10" i="5" s="1"/>
  <c r="B5" i="17" s="1"/>
  <c r="B9" i="17" s="1"/>
  <c r="A4" i="5" l="1"/>
  <c r="K4" i="5" l="1"/>
  <c r="K10" i="5" s="1"/>
  <c r="E5" i="17" s="1"/>
  <c r="E9" i="17" s="1"/>
  <c r="N4" i="5"/>
  <c r="N10" i="5" s="1"/>
  <c r="H5" i="17" s="1"/>
  <c r="H9" i="17" s="1"/>
  <c r="I4" i="5"/>
  <c r="I10" i="5" s="1"/>
  <c r="C5" i="17" s="1"/>
  <c r="M4" i="5"/>
  <c r="M10" i="5" s="1"/>
  <c r="G5" i="17" s="1"/>
  <c r="G9" i="17" s="1"/>
  <c r="L4" i="5"/>
  <c r="L10" i="5" s="1"/>
  <c r="F5" i="17" s="1"/>
  <c r="F9" i="17" s="1"/>
  <c r="J4" i="5" l="1"/>
  <c r="J10" i="5" s="1"/>
  <c r="D5" i="17" s="1"/>
  <c r="D9" i="17" s="1"/>
</calcChain>
</file>

<file path=xl/comments1.xml><?xml version="1.0" encoding="utf-8"?>
<comments xmlns="http://schemas.openxmlformats.org/spreadsheetml/2006/main">
  <authors>
    <author>Alinie Rossi dos Santos</author>
  </authors>
  <commentList>
    <comment ref="B9" authorId="0" shapeId="0">
      <text>
        <r>
          <rPr>
            <sz val="9"/>
            <color indexed="81"/>
            <rFont val="Segoe UI"/>
            <family val="2"/>
          </rPr>
          <t>S equals the sulfur content expressed in gr/100 ft³ gas vapor</t>
        </r>
      </text>
    </comment>
    <comment ref="C9" authorId="0" shapeId="0">
      <text>
        <r>
          <rPr>
            <sz val="9"/>
            <color indexed="81"/>
            <rFont val="Segoe UI"/>
            <family val="2"/>
          </rPr>
          <t xml:space="preserve">S equals the sulfur content expressed in gr/100 ft³ gas vapor
</t>
        </r>
      </text>
    </comment>
    <comment ref="B17" authorId="0" shapeId="0">
      <text>
        <r>
          <rPr>
            <sz val="9"/>
            <color indexed="81"/>
            <rFont val="Segoe UI"/>
            <family val="2"/>
          </rPr>
          <t xml:space="preserve">Fonte: Liquigás (2018)
https://www.liquigas.com.br/wps/portal/!ut/p/z1/hY5BC4JAFIR_SweP7XutENVNspKKKA9p7yIa2yrorqxbUr--hY4Vzm1mvoEBghRI5Y9K5rbSKq-dv9A02x2Q82jDEcM1Rx7Hx_kpCifLlQ9nIKDOQjIEkqvxjwJ0expCtkCy1sXnVaAKfyaBjLgJIwy7GxeX1rbdwkMP-75nUmtZC3bVDSuMh79WpXbX0y8Y2kY9x-q1F0kwegNlmKM_/dz/d5/L2dBISEvZ0FBIS9nQSEh/
</t>
        </r>
      </text>
    </comment>
    <comment ref="B18" authorId="0" shapeId="0">
      <text>
        <r>
          <rPr>
            <sz val="9"/>
            <color indexed="81"/>
            <rFont val="Segoe UI"/>
            <family val="2"/>
          </rPr>
          <t>1 lb/10³ gal = 0,120 kg/m³</t>
        </r>
      </text>
    </comment>
    <comment ref="B19" authorId="0" shapeId="0">
      <text>
        <r>
          <rPr>
            <sz val="9"/>
            <color indexed="81"/>
            <rFont val="Segoe UI"/>
            <family val="2"/>
          </rPr>
          <t>1 g/m³=0,437 gr/ft³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>VKT = DMT</t>
        </r>
        <r>
          <rPr>
            <b/>
            <sz val="9"/>
            <color indexed="81"/>
            <rFont val="Segoe UI"/>
            <family val="2"/>
          </rPr>
          <t xml:space="preserve">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8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26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36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36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36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Alinie Rossi dos Santos</author>
  </authors>
  <commentList>
    <comment ref="P3" authorId="0" shapeId="0">
      <text>
        <r>
          <rPr>
            <sz val="9"/>
            <color indexed="81"/>
            <rFont val="Segoe UI"/>
            <family val="2"/>
          </rPr>
          <t xml:space="preserve">Table 1.5-1 do AP-42. For natural gas, a fuel with similar combustion characteristics, all PM is less than 10 µm in aerodynamic equivalent diameter (PM-10).
</t>
        </r>
      </text>
    </comment>
    <comment ref="Q3" authorId="0" shapeId="0">
      <text>
        <r>
          <rPr>
            <sz val="9"/>
            <color indexed="81"/>
            <rFont val="Segoe UI"/>
            <family val="2"/>
          </rPr>
          <t>Foi considerado que PM2.5=PM10, da mesma forma que é estabelecido para  gás natural (Table 1.4-2), visto que o GLP apresenta características de combustão similares ao gás natural.</t>
        </r>
      </text>
    </comment>
    <comment ref="B4" authorId="1" shapeId="0">
      <text>
        <r>
          <rPr>
            <sz val="9"/>
            <color indexed="81"/>
            <rFont val="Segoe UI"/>
            <family val="2"/>
          </rPr>
          <t xml:space="preserve">Como o fator de emissão do GLP é calculado em função de butano e propano, e não foi informado pela empresa a proporção da composição do GLP, foi considerado 50% butano e 50% propano. </t>
        </r>
      </text>
    </comment>
    <comment ref="B5" authorId="1" shapeId="0">
      <text>
        <r>
          <rPr>
            <sz val="9"/>
            <color indexed="81"/>
            <rFont val="Segoe UI"/>
            <family val="2"/>
          </rPr>
          <t xml:space="preserve">Como o fator de emissão do GLP é calculado em função de butano e propano, e não foi informado pela empresa a proporção da composição do GLP, foi considerado 50% butano e 50% propano. </t>
        </r>
      </text>
    </comment>
  </commentList>
</comments>
</file>

<file path=xl/comments4.xml><?xml version="1.0" encoding="utf-8"?>
<comments xmlns="http://schemas.openxmlformats.org/spreadsheetml/2006/main">
  <authors>
    <author>Alinie Rossi dos Santos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Valor médio do material de cobertura, proveniente da Tabela 13.2.4-1 da Seção 13.2.4 Aggregate Handling and Storage Piles 
https://www3.epa.gov/ttn/chief/ap42/ch13/index.html</t>
        </r>
      </text>
    </comment>
    <comment ref="A7" authorId="0" shapeId="0">
      <text>
        <r>
          <rPr>
            <sz val="9"/>
            <color indexed="81"/>
            <rFont val="Segoe UI"/>
            <family val="2"/>
          </rPr>
          <t xml:space="preserve">Valor encontrado dentro da faixa para materiais similares, contidos na AP-42. 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</authors>
  <commentList>
    <comment ref="B4" authorId="0" shapeId="0">
      <text>
        <r>
          <rPr>
            <sz val="9"/>
            <color indexed="81"/>
            <rFont val="Segoe UI"/>
            <family val="2"/>
          </rPr>
          <t>Como não foi informado o teor de voláteis do solvente epóxi, o valor consumido, foi somado ao epóxi líquido.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 xml:space="preserve">Valor médio informado pela empresa (9-19 ).
</t>
        </r>
      </text>
    </comment>
    <comment ref="F5" authorId="0" shapeId="0">
      <text>
        <r>
          <rPr>
            <sz val="9"/>
            <color indexed="81"/>
            <rFont val="Segoe UI"/>
            <family val="2"/>
          </rPr>
          <t xml:space="preserve">Valor médio informado pela empresa (8-12 ).
</t>
        </r>
      </text>
    </comment>
    <comment ref="A8" authorId="0" shapeId="0">
      <text>
        <r>
          <rPr>
            <sz val="9"/>
            <color indexed="81"/>
            <rFont val="Segoe UI"/>
            <family val="2"/>
          </rPr>
          <t>Valor médio informado pela FISPQ enviada pela empresa</t>
        </r>
      </text>
    </comment>
    <comment ref="A9" authorId="0" shapeId="0">
      <text>
        <r>
          <rPr>
            <sz val="9"/>
            <color indexed="81"/>
            <rFont val="Segoe UI"/>
            <family val="2"/>
          </rPr>
          <t xml:space="preserve">Valor médio informado pela FISPQ enviada pela empresa
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  <author>Alinie Rossi dos Santos</author>
  </authors>
  <commentList>
    <comment ref="I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A4" authorId="1" shapeId="0">
      <text>
        <r>
          <rPr>
            <sz val="9"/>
            <color indexed="81"/>
            <rFont val="Segoe UI"/>
            <family val="2"/>
          </rPr>
          <t>Ano 2013/2014</t>
        </r>
      </text>
    </comment>
    <comment ref="A5" authorId="1" shapeId="0">
      <text>
        <r>
          <rPr>
            <sz val="9"/>
            <color indexed="81"/>
            <rFont val="Segoe UI"/>
            <family val="2"/>
          </rPr>
          <t>Ano 2008</t>
        </r>
      </text>
    </comment>
    <comment ref="A6" authorId="1" shapeId="0">
      <text>
        <r>
          <rPr>
            <sz val="9"/>
            <color indexed="81"/>
            <rFont val="Segoe UI"/>
            <family val="2"/>
          </rPr>
          <t>Ano 2009</t>
        </r>
      </text>
    </comment>
    <comment ref="A8" authorId="1" shapeId="0">
      <text>
        <r>
          <rPr>
            <sz val="9"/>
            <color indexed="81"/>
            <rFont val="Segoe UI"/>
            <family val="2"/>
          </rPr>
          <t>Informado pela empresa que o gerador apenas é acionado quando falta energia</t>
        </r>
      </text>
    </comment>
    <comment ref="G8" authorId="1" shapeId="0">
      <text>
        <r>
          <rPr>
            <sz val="9"/>
            <color indexed="81"/>
            <rFont val="Segoe UI"/>
            <family val="2"/>
          </rPr>
          <t xml:space="preserve">Como foi informado que o gerador apenas é acionado quando falta energia, foi considerado que faltou energia dois dias por ano.
</t>
        </r>
      </text>
    </comment>
    <comment ref="A9" authorId="1" shapeId="0">
      <text>
        <r>
          <rPr>
            <sz val="9"/>
            <color indexed="81"/>
            <rFont val="Segoe UI"/>
            <family val="2"/>
          </rPr>
          <t>Informado pela empresa que o gerador apenas é acionado quando falta energia</t>
        </r>
      </text>
    </comment>
    <comment ref="G9" authorId="1" shapeId="0">
      <text>
        <r>
          <rPr>
            <sz val="9"/>
            <color indexed="81"/>
            <rFont val="Segoe UI"/>
            <family val="2"/>
          </rPr>
          <t>Como foi informado que o gerador apenas é acionado quando falta energia, foi considerado que faltou energia dois dias por ano.</t>
        </r>
      </text>
    </comment>
  </commentList>
</comments>
</file>

<file path=xl/comments7.xml><?xml version="1.0" encoding="utf-8"?>
<comments xmlns="http://schemas.openxmlformats.org/spreadsheetml/2006/main">
  <authors>
    <author>Alinie Rossi dos Santos</author>
    <author>Vanessa Brusco Filete</author>
  </authors>
  <commentList>
    <comment ref="I2" authorId="0" shapeId="0">
      <text>
        <r>
          <rPr>
            <sz val="9"/>
            <color indexed="81"/>
            <rFont val="Segoe UI"/>
            <family val="2"/>
          </rPr>
          <t xml:space="preserve">Considerado o peso médio de um caminhão caçamba/basculante.
http://www1.dnit.gov.br/Pesagem/sis_sgpv/QFV/QFV%202008%20Divulga%C3%A7%C3%A3o.pdf
</t>
        </r>
      </text>
    </comment>
    <comment ref="K3" authorId="0" shapeId="0">
      <text>
        <r>
          <rPr>
            <sz val="9"/>
            <color indexed="81"/>
            <rFont val="Segoe UI"/>
            <family val="2"/>
          </rPr>
          <t>WRAP (2006)</t>
        </r>
      </text>
    </comment>
    <comment ref="U3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H4" authorId="0" shapeId="0">
      <text>
        <r>
          <rPr>
            <sz val="9"/>
            <color indexed="81"/>
            <rFont val="Segoe UI"/>
            <family val="2"/>
          </rPr>
          <t>Fonte: USEPA (2011)
Table 13.2.1-3. - Iron and Steel Production
Unidade: g/m²</t>
        </r>
      </text>
    </comment>
    <comment ref="H5" authorId="0" shapeId="0">
      <text>
        <r>
          <rPr>
            <sz val="9"/>
            <color indexed="81"/>
            <rFont val="Segoe UI"/>
            <family val="2"/>
          </rPr>
          <t>Fonte: USEPA (2006) - Section 13.2.2 - Unpaved Roads - Table13.2.2-1 Construction sites)
Unidade: %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</authors>
  <commentList>
    <comment ref="A8" authorId="0" shapeId="0">
      <text>
        <r>
          <rPr>
            <sz val="9"/>
            <color indexed="81"/>
            <rFont val="Segoe UI"/>
            <family val="2"/>
          </rPr>
          <t>Memorial de Cálculo na Planilha: Memorial_Vallourec_TSA_Erosao Eolica.xlsx</t>
        </r>
      </text>
    </comment>
  </commentList>
</comments>
</file>

<file path=xl/sharedStrings.xml><?xml version="1.0" encoding="utf-8"?>
<sst xmlns="http://schemas.openxmlformats.org/spreadsheetml/2006/main" count="367" uniqueCount="227">
  <si>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</si>
  <si>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</si>
  <si>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</si>
  <si>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</si>
  <si>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</si>
  <si>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</si>
  <si>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</si>
  <si>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</si>
  <si>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CO</t>
    </r>
    <r>
      <rPr>
        <vertAlign val="subscript"/>
        <sz val="8"/>
        <color theme="1"/>
        <rFont val="Arial"/>
        <family val="2"/>
      </rPr>
      <t>2</t>
    </r>
  </si>
  <si>
    <t>TOC</t>
  </si>
  <si>
    <r>
      <t>SO</t>
    </r>
    <r>
      <rPr>
        <b/>
        <vertAlign val="subscript"/>
        <sz val="8"/>
        <color theme="1"/>
        <rFont val="Arial"/>
        <family val="2"/>
      </rPr>
      <t>2</t>
    </r>
  </si>
  <si>
    <t>Consumo Combustível [m³/h]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</si>
  <si>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</si>
  <si>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</si>
  <si>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</si>
  <si>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</si>
  <si>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</si>
  <si>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</si>
  <si>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</si>
  <si>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</si>
  <si>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</si>
  <si>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Forklifts - 50</t>
  </si>
  <si>
    <t>Forklifts - 120</t>
  </si>
  <si>
    <t>Forklifts - 175</t>
  </si>
  <si>
    <t>Forklifts - 250</t>
  </si>
  <si>
    <t>Forklifts - 500</t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</si>
  <si>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</si>
  <si>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</si>
  <si>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</si>
  <si>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</si>
  <si>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</si>
  <si>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Tipo de Combustível</t>
  </si>
  <si>
    <t>Equação Geral:</t>
  </si>
  <si>
    <t>Onde:
E - emissão (lb/dia)
n - número de equipamentos de cada categoria
H - número de horas diárias de operação do equipamento
EF - fator de emissão (lb/h)</t>
  </si>
  <si>
    <t>Referência: AQMD (2016) - http://www.aqmd.gov/home/regulations/ceqa/air-quality-analysis-handbook/off-road-mobile-source-emission-factors</t>
  </si>
  <si>
    <t>Onde:
E - emissão
EF - fator de emissão
ER - eficiência de redução de emissão</t>
  </si>
  <si>
    <t>Epóxi Líquido</t>
  </si>
  <si>
    <t>Forno de Aquecimento Jato Externo</t>
  </si>
  <si>
    <t>Gerador a Diesel Cabine Climatizada</t>
  </si>
  <si>
    <t>Tipo</t>
  </si>
  <si>
    <t>Poluente</t>
  </si>
  <si>
    <t>PM, Filterable</t>
  </si>
  <si>
    <t>PM, Condensable</t>
  </si>
  <si>
    <t>PM, Total</t>
  </si>
  <si>
    <r>
      <t>N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>O</t>
    </r>
  </si>
  <si>
    <r>
      <t>CH</t>
    </r>
    <r>
      <rPr>
        <vertAlign val="subscript"/>
        <sz val="8"/>
        <color theme="1"/>
        <rFont val="Arial"/>
        <family val="2"/>
      </rPr>
      <t>4</t>
    </r>
  </si>
  <si>
    <r>
      <t>Butane Emission Factor (lb/10</t>
    </r>
    <r>
      <rPr>
        <vertAlign val="superscript"/>
        <sz val="8"/>
        <color theme="1"/>
        <rFont val="Arial"/>
        <family val="2"/>
      </rPr>
      <t xml:space="preserve">3 </t>
    </r>
    <r>
      <rPr>
        <sz val="8"/>
        <color theme="1"/>
        <rFont val="Arial"/>
        <family val="2"/>
      </rPr>
      <t>gal)</t>
    </r>
  </si>
  <si>
    <t>0,09S</t>
  </si>
  <si>
    <t>0,10S</t>
  </si>
  <si>
    <r>
      <t>Propane Emission Factor (lb/10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gal)</t>
    </r>
  </si>
  <si>
    <t>Gerador a Diesel Bomba de Combate a Incêndio</t>
  </si>
  <si>
    <t>Pá Carregadeira</t>
  </si>
  <si>
    <t>Generator Sets - 15</t>
  </si>
  <si>
    <t>Generator Sets - 25</t>
  </si>
  <si>
    <t>Generator Sets - 50</t>
  </si>
  <si>
    <t>Generator Sets - 120</t>
  </si>
  <si>
    <t>Generator Sets - 175</t>
  </si>
  <si>
    <t>Generator Sets - 250</t>
  </si>
  <si>
    <t>Generator Sets - 500</t>
  </si>
  <si>
    <t>Generator Sets - 750</t>
  </si>
  <si>
    <t>Generator Sets - 9999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</si>
  <si>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</si>
  <si>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</si>
  <si>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</si>
  <si>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</si>
  <si>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</si>
  <si>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Fonte: USEPA (2006) - https://www3.epa.gov/ttn/chief/ap42/ch13/final/c13s0204.pdf</t>
  </si>
  <si>
    <t>Velocidade do Vento (m/s)</t>
  </si>
  <si>
    <t>TR - Car. Terra</t>
  </si>
  <si>
    <t>GLP - Propano</t>
  </si>
  <si>
    <t>GLP - Butano</t>
  </si>
  <si>
    <t xml:space="preserve">Industrial/Comercial Boilers </t>
  </si>
  <si>
    <t>Fator de emissão  [kg/m³]</t>
  </si>
  <si>
    <t>Ter de enxofre máximo de GLP (g/m³)</t>
  </si>
  <si>
    <t>Conversão (lb/10³ gal) para (kg/m³)</t>
  </si>
  <si>
    <t>Table 1.5 -1 EMISSION FACTORS FOR LPG COMBUSTION</t>
  </si>
  <si>
    <t>EMISSION FACTOR RATING E</t>
  </si>
  <si>
    <r>
      <t>NO</t>
    </r>
    <r>
      <rPr>
        <b/>
        <vertAlign val="subscript"/>
        <sz val="8"/>
        <color theme="1"/>
        <rFont val="Arial"/>
        <family val="2"/>
      </rPr>
      <t>X</t>
    </r>
  </si>
  <si>
    <t>Fonte: USEPA (2008)  https://www3.epa.gov/ttn/chief/ap42/ch01/final/c01s05.pdf</t>
  </si>
  <si>
    <t>Jateamento - Pintura</t>
  </si>
  <si>
    <t>Material</t>
  </si>
  <si>
    <t xml:space="preserve">Fonte Emissora </t>
  </si>
  <si>
    <t>Não Pavimentada</t>
  </si>
  <si>
    <t>Via de Tráfego Pav.</t>
  </si>
  <si>
    <t>Pavimentada</t>
  </si>
  <si>
    <t>Via de Tráfego Não Pav.</t>
  </si>
  <si>
    <t>Fonte: USEPA (2006) https://www3.epa.gov/ttn/chief/ap42/ch13/final/c13s0202.pdf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</si>
  <si>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</si>
  <si>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</si>
  <si>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</si>
  <si>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</si>
  <si>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</si>
  <si>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</si>
  <si>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</si>
  <si>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</si>
  <si>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</si>
  <si>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</si>
  <si>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</si>
  <si>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</si>
  <si>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</si>
  <si>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t>AP42 - 13.2.1 Paved Roads</t>
  </si>
  <si>
    <t>k (g/VKT)</t>
  </si>
  <si>
    <t>Fonte: USEPA (2011) https://www3.epa.gov/ttn/chief/ap42/ch13/final/c13s0201.pdf</t>
  </si>
  <si>
    <t>Table 13.2.1-1 Particle Size Multipliers for Paved Road Equation</t>
  </si>
  <si>
    <t>Fonte: Informações fornecidos pelo empreendimento à solicitação através do Ofício N°111-2017 IEMA/DT/CQAI</t>
  </si>
  <si>
    <t>Tráfego médio diário de veículos pesados (Obra Aterro)</t>
  </si>
  <si>
    <t>Tráfego médio diário de veículos pesados - vias internas empresa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</si>
  <si>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</si>
  <si>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</si>
  <si>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</si>
  <si>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</si>
  <si>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</si>
  <si>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</si>
  <si>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Número de Horas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</si>
  <si>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</si>
  <si>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</si>
  <si>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</si>
  <si>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</si>
  <si>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</si>
  <si>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</si>
  <si>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</si>
  <si>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</si>
  <si>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</si>
  <si>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</si>
  <si>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</si>
  <si>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</si>
  <si>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</si>
  <si>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</si>
  <si>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</si>
  <si>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Onde:
FE - fator de emissão de material particulado (g/km)
k - constante de tamanho da partícula (g/VKT)
sL - teor de silt na superfície de rodagem (%)
W - peso médio dos veículos que trafegam na via (t)
P - número de dias onde a precipitação durante o período observado foi no mínimo 0,254 mm</t>
  </si>
  <si>
    <t>Onde:
E - fator de emissão de material particulado (g/VKT)
k - fator multiplicador de tamanho da partícula (g/VKT)
sL - taxa de silt na superfície de rodagem (g/m²)
W - peso médio dos veículos que trafegam na via (t)
P - número de horas onde a precipitação durante o período observado foi no mínimo 0,254 mm
N - número de horas do período observado (Ex: 8760 para anual, 2124 por estação, 720 para mensal)</t>
  </si>
  <si>
    <t>Classe de Veículo</t>
  </si>
  <si>
    <t>Fator de emissão médio da frota veicular da RGV [g/km]</t>
  </si>
  <si>
    <t>Escapamento</t>
  </si>
  <si>
    <t>Desgaste Pneus e Freio</t>
  </si>
  <si>
    <t>Desgaste da Pista</t>
  </si>
  <si>
    <t>PM25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</si>
  <si>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</si>
  <si>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</si>
  <si>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</si>
  <si>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</si>
  <si>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</si>
  <si>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Horário de Funcionamento</t>
  </si>
  <si>
    <t>Matéria-prima</t>
  </si>
  <si>
    <t>FBE</t>
  </si>
  <si>
    <t>Unidade</t>
  </si>
  <si>
    <t>t/ano</t>
  </si>
  <si>
    <t>L/ano</t>
  </si>
  <si>
    <t>Densidade do Epóxi (g/cm³) ou (t/m³)</t>
  </si>
  <si>
    <t>Solvente (Epóxi Líquido)</t>
  </si>
  <si>
    <t>Massa específica solo (kg/m³)</t>
  </si>
  <si>
    <t>Movimentação de terra diária (m³)</t>
  </si>
  <si>
    <t>Fontes Emissoras</t>
  </si>
  <si>
    <t>-</t>
  </si>
  <si>
    <t>Transferências</t>
  </si>
  <si>
    <t>Máquinas e Equipamentos</t>
  </si>
  <si>
    <t>Vias de Tráfego</t>
  </si>
  <si>
    <t>Erosão Eólica</t>
  </si>
  <si>
    <t>Jateamento</t>
  </si>
  <si>
    <t>Excavators - 2009
(Escavadeiras)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</si>
  <si>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</si>
  <si>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</si>
  <si>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</si>
  <si>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</si>
  <si>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</si>
  <si>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</si>
  <si>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</si>
  <si>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 xml:space="preserve">Escavadeira </t>
  </si>
  <si>
    <t>Rubber Tired Loader - 2008
(Pá Carrregadeira)</t>
  </si>
  <si>
    <t>Rubber Tired Loader(2008) - 25</t>
  </si>
  <si>
    <t>Rubber Tired Loader(2008) - 50</t>
  </si>
  <si>
    <t>Rubber Tired Loader(2008) - 120</t>
  </si>
  <si>
    <t>Rubber Tired Loader(2008) - 175</t>
  </si>
  <si>
    <t>Rubber Tired Loader(2008) - 250</t>
  </si>
  <si>
    <t>Rubber Tired Loader(2008) - 500</t>
  </si>
  <si>
    <t>Rubber Tired Loader(2008) - 750</t>
  </si>
  <si>
    <t>Rubber Tired Loader(2008) - 1000</t>
  </si>
  <si>
    <t>Rubber Tired Loader - 2009
(Pá Carrregadeira)</t>
  </si>
  <si>
    <t>Rubber Tired Loader(2009) - 25</t>
  </si>
  <si>
    <t>Rubber Tired Loader(2009) - 50</t>
  </si>
  <si>
    <t>Rubber Tired Loader(2009) - 120</t>
  </si>
  <si>
    <t>Rubber Tired Loader(2009) - 175</t>
  </si>
  <si>
    <t>Rubber Tired Loader(2009) - 250</t>
  </si>
  <si>
    <t>Rubber Tired Loader(2009) - 500</t>
  </si>
  <si>
    <t>Rubber Tired Loader(2009) - 750</t>
  </si>
  <si>
    <t>Rubber Tired Loader(2009) - 1000</t>
  </si>
  <si>
    <t>Controle</t>
  </si>
  <si>
    <t>Eficiência [%]</t>
  </si>
  <si>
    <t>Umectação</t>
  </si>
  <si>
    <t>Não informado</t>
  </si>
  <si>
    <t>Conversão (g/m³) para (gr/ft³)</t>
  </si>
  <si>
    <t>Densidade do Solvente Epóxi (g/cm³) ou (t/m³)</t>
  </si>
  <si>
    <t>Chaminé</t>
  </si>
  <si>
    <t>TOTAL</t>
  </si>
  <si>
    <t>Movimentação material [t/h]</t>
  </si>
  <si>
    <t>Umidade do Material [%]</t>
  </si>
  <si>
    <t>Fator de Emissão [kg/t]</t>
  </si>
  <si>
    <t>Quantidade [t/ano]</t>
  </si>
  <si>
    <t>Teor de voláteis  [%]</t>
  </si>
  <si>
    <t>Nota:</t>
  </si>
  <si>
    <t>1) Não foi calculada a emissão de material particulado do processo de pintura, devido à ausência de dados fornecidos pela empresa.</t>
  </si>
  <si>
    <t>2) Não foi calculado o teor de voláteis do polipropileno, poliéster, adesivo e polietileno por não conter a informação nas FISPQs enviadas, ou pela FISPQ não ter sido enviada pelo empreendimento.</t>
  </si>
  <si>
    <t>Nota: Durante o ano de 2015 faltou energia o equivalente a 2 dias</t>
  </si>
  <si>
    <t>Comprimento [m]</t>
  </si>
  <si>
    <t>Nº de Caminhões por Hora [h-1]</t>
  </si>
  <si>
    <t>DMT  [km/h]</t>
  </si>
  <si>
    <t>Teor de Silte [%] ou[ g/m²]</t>
  </si>
  <si>
    <t>Peso Médio dos Caminhões [t]</t>
  </si>
  <si>
    <t>Fator de Emissão - Ressuspensão [kg/VKT]</t>
  </si>
  <si>
    <t>Fator de Emissão - Gases Escapamento [kg/km]</t>
  </si>
  <si>
    <t>Fator de Emissão - Desgaste de Freios e Pneus [kg/km]</t>
  </si>
  <si>
    <t>Fator de Emissão - Desgaste de Vias [kg/km]</t>
  </si>
  <si>
    <t>VOC</t>
  </si>
  <si>
    <t>Latitude [º]</t>
  </si>
  <si>
    <t>Longitude [º]</t>
  </si>
  <si>
    <t>Diâmetro [m]</t>
  </si>
  <si>
    <t>Vazão [m³/h]</t>
  </si>
  <si>
    <t>Temperatura [ºC]</t>
  </si>
  <si>
    <t>Altura [m]</t>
  </si>
  <si>
    <t>Forklifts - 2013
(Empilhadeira)</t>
  </si>
  <si>
    <t>Generator Sets - 2007
(Geradores)</t>
  </si>
  <si>
    <t>Consideração:</t>
  </si>
  <si>
    <t>Os fatores de emissão referem-se ao ano de fabricação dos equipamentos informados pelo empreendimento:</t>
  </si>
  <si>
    <t>1) Escavadeiras: ano 2009</t>
  </si>
  <si>
    <t>2) Empilhadeira: ano 2013</t>
  </si>
  <si>
    <t>3) Geradores: ano 2007</t>
  </si>
  <si>
    <t>4) Pá Carregadeira: anos 2008 e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</si>
</sst>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00000"/>
    <numFmt numFmtId="165" formatCode="0.0000"/>
    <numFmt numFmtId="166" formatCode="0.00000"/>
    <numFmt numFmtId="167" formatCode="0.0"/>
    <numFmt numFmtId="168" formatCode="0.000"/>
    <numFmt numFmtId="169" formatCode="[&gt;=0.005]\ #,##0.00;[&lt;0.005]&quot;&lt;0,01&quot;"/>
    <numFmt numFmtId="170" formatCode="[&gt;=0.005]\ #,##0;[&lt;0.005]&quot;&lt;0,01&quot;"/>
    <numFmt numFmtId="171" formatCode="0.000000"/>
    <numFmt numFmtId="172" formatCode="#,##0.00000"/>
    <numFmt numFmtId="173" formatCode="[&gt;=0.005]\ #,##0.0;[&lt;0.005]&quot;&lt;0,01&quot;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color rgb="FF000000"/>
      <name val="Arial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2" fontId="1" fillId="0" borderId="0" xfId="0" applyNumberFormat="1" applyFont="1"/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5" fontId="1" fillId="0" borderId="1" xfId="0" applyNumberFormat="1" applyFont="1" applyFill="1" applyBorder="1" applyAlignment="1">
      <alignment horizontal="left" vertical="center"/>
    </xf>
    <xf numFmtId="165" fontId="1" fillId="0" borderId="0" xfId="0" applyNumberFormat="1" applyFont="1"/>
    <xf numFmtId="1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0" fontId="1" fillId="4" borderId="16" xfId="0" applyFont="1" applyFill="1" applyBorder="1"/>
    <xf numFmtId="0" fontId="1" fillId="4" borderId="17" xfId="0" applyFont="1" applyFill="1" applyBorder="1"/>
    <xf numFmtId="0" fontId="1" fillId="4" borderId="3" xfId="0" applyFont="1" applyFill="1" applyBorder="1"/>
    <xf numFmtId="0" fontId="1" fillId="4" borderId="18" xfId="0" applyFont="1" applyFill="1" applyBorder="1"/>
    <xf numFmtId="0" fontId="10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9" fontId="1" fillId="3" borderId="0" xfId="0" applyNumberFormat="1" applyFont="1" applyFill="1" applyAlignment="1">
      <alignment horizontal="center" vertical="center"/>
    </xf>
    <xf numFmtId="169" fontId="1" fillId="0" borderId="0" xfId="0" applyNumberFormat="1" applyFont="1"/>
    <xf numFmtId="170" fontId="1" fillId="0" borderId="0" xfId="0" applyNumberFormat="1" applyFont="1" applyAlignment="1">
      <alignment horizontal="center" vertical="center"/>
    </xf>
    <xf numFmtId="165" fontId="1" fillId="0" borderId="11" xfId="0" applyNumberFormat="1" applyFont="1" applyFill="1" applyBorder="1" applyAlignment="1">
      <alignment horizontal="left" vertical="center"/>
    </xf>
    <xf numFmtId="0" fontId="0" fillId="0" borderId="0" xfId="0" applyFill="1" applyBorder="1"/>
    <xf numFmtId="2" fontId="13" fillId="0" borderId="0" xfId="0" applyNumberFormat="1" applyFont="1" applyFill="1" applyBorder="1" applyAlignment="1">
      <alignment horizontal="center"/>
    </xf>
    <xf numFmtId="169" fontId="1" fillId="0" borderId="0" xfId="0" applyNumberFormat="1" applyFont="1" applyFill="1" applyAlignment="1">
      <alignment horizontal="center" vertical="center"/>
    </xf>
    <xf numFmtId="171" fontId="1" fillId="0" borderId="0" xfId="0" applyNumberFormat="1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6" xfId="0" applyFont="1" applyFill="1" applyBorder="1" applyAlignment="1"/>
    <xf numFmtId="0" fontId="1" fillId="4" borderId="20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6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0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/>
    <xf numFmtId="0" fontId="5" fillId="2" borderId="7" xfId="0" applyFont="1" applyFill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15" fillId="0" borderId="0" xfId="0" applyFont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66" fontId="13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0" fillId="0" borderId="1" xfId="0" applyFill="1" applyBorder="1"/>
    <xf numFmtId="0" fontId="13" fillId="0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172" fontId="1" fillId="0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 vertical="center"/>
    </xf>
    <xf numFmtId="173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5" fillId="2" borderId="5" xfId="0" applyNumberFormat="1" applyFont="1" applyFill="1" applyBorder="1" applyAlignment="1" applyProtection="1">
      <alignment horizontal="center" vertical="center" wrapText="1"/>
    </xf>
    <xf numFmtId="0" fontId="5" fillId="2" borderId="22" xfId="0" applyNumberFormat="1" applyFont="1" applyFill="1" applyBorder="1" applyAlignment="1" applyProtection="1">
      <alignment horizontal="center" vertical="center" wrapText="1"/>
    </xf>
    <xf numFmtId="0" fontId="5" fillId="2" borderId="6" xfId="0" applyNumberFormat="1" applyFont="1" applyFill="1" applyBorder="1" applyAlignment="1" applyProtection="1">
      <alignment horizontal="center" vertical="center" wrapText="1"/>
    </xf>
    <xf numFmtId="0" fontId="5" fillId="2" borderId="9" xfId="0" applyNumberFormat="1" applyFont="1" applyFill="1" applyBorder="1" applyAlignment="1" applyProtection="1">
      <alignment horizontal="center" vertical="center" wrapText="1"/>
    </xf>
    <xf numFmtId="0" fontId="5" fillId="2" borderId="10" xfId="0" applyNumberFormat="1" applyFont="1" applyFill="1" applyBorder="1" applyAlignment="1" applyProtection="1">
      <alignment horizontal="center" vertical="center" wrapText="1"/>
    </xf>
    <xf numFmtId="0" fontId="1" fillId="3" borderId="2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20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657475" y="249412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657475" y="249412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41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381375" cy="3979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895350" y="1714500"/>
              <a:ext cx="3381375" cy="397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281,9 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895350" y="1714500"/>
              <a:ext cx="3381375" cy="3979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𝐹𝐸=[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100" b="0" i="0">
                  <a:latin typeface="Cambria Math" panose="02040503050406030204" pitchFamily="18" charset="0"/>
                </a:rPr>
                <a:t> . 281,9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619127</xdr:colOff>
      <xdr:row>9</xdr:row>
      <xdr:rowOff>47625</xdr:rowOff>
    </xdr:from>
    <xdr:to>
      <xdr:col>3</xdr:col>
      <xdr:colOff>723900</xdr:colOff>
      <xdr:row>10</xdr:row>
      <xdr:rowOff>185738</xdr:rowOff>
    </xdr:to>
    <xdr:sp macro="" textlink="">
      <xdr:nvSpPr>
        <xdr:cNvPr id="5" name="Elipse 4"/>
        <xdr:cNvSpPr/>
      </xdr:nvSpPr>
      <xdr:spPr>
        <a:xfrm>
          <a:off x="2705102" y="1762125"/>
          <a:ext cx="1152523" cy="357188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1</xdr:col>
      <xdr:colOff>400050</xdr:colOff>
      <xdr:row>23</xdr:row>
      <xdr:rowOff>33337</xdr:rowOff>
    </xdr:from>
    <xdr:ext cx="236220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/>
            <xdr:cNvSpPr txBox="1"/>
          </xdr:nvSpPr>
          <xdr:spPr>
            <a:xfrm>
              <a:off x="1304925" y="3700462"/>
              <a:ext cx="23622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𝑠𝐿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0,91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1,02</m:t>
                            </m:r>
                          </m:sup>
                        </m:s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1−1,2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/>
            <xdr:cNvSpPr txBox="1"/>
          </xdr:nvSpPr>
          <xdr:spPr>
            <a:xfrm>
              <a:off x="1304925" y="3700462"/>
              <a:ext cx="236220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𝐸=(𝑘 . 〖𝑠𝐿〗^0,91. 𝑊^1,02 )  . (1−1,2𝑃/𝑁)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762001</xdr:colOff>
      <xdr:row>22</xdr:row>
      <xdr:rowOff>171450</xdr:rowOff>
    </xdr:from>
    <xdr:to>
      <xdr:col>3</xdr:col>
      <xdr:colOff>571501</xdr:colOff>
      <xdr:row>24</xdr:row>
      <xdr:rowOff>95250</xdr:rowOff>
    </xdr:to>
    <xdr:sp macro="" textlink="">
      <xdr:nvSpPr>
        <xdr:cNvPr id="7" name="Elipse 6"/>
        <xdr:cNvSpPr/>
      </xdr:nvSpPr>
      <xdr:spPr>
        <a:xfrm>
          <a:off x="2847976" y="4705350"/>
          <a:ext cx="857250" cy="3048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es\Vale\PRJ1301096-Estudo%20QAr%20RGV\Invent&#225;rio\Memorial%20de%20C&#225;lculo\Multilift%20Cariacica-OK\Memorial_Multilift%20Cariaci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PRJ1301096-Estudo%20QAr%20RGV/02-Invent&#225;rio/Memorial%20de%20C&#225;lculo/Vallourec%20Tubos%20do%20Brasil_OK/Memorial_Vallourec_TSA_Erosao_Eol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 Maq e Equip"/>
      <sheetName val="Dados Maq e Equip"/>
      <sheetName val="Emissão Maq e Equip"/>
      <sheetName val="Emissão Veículos Pesados"/>
    </sheetNames>
    <sheetDataSet>
      <sheetData sheetId="0"/>
      <sheetData sheetId="1">
        <row r="3">
          <cell r="A3" t="str">
            <v>Empilhadeira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terial"/>
      <sheetName val="Série Vento-Bruta"/>
      <sheetName val="Serie Vento - 7 dias "/>
      <sheetName val="FE-Área Exposta"/>
      <sheetName val="TE - Total"/>
    </sheetNames>
    <sheetDataSet>
      <sheetData sheetId="0"/>
      <sheetData sheetId="1"/>
      <sheetData sheetId="2"/>
      <sheetData sheetId="3"/>
      <sheetData sheetId="4"/>
      <sheetData sheetId="5">
        <row r="4">
          <cell r="L4">
            <v>1.1285040624150973</v>
          </cell>
          <cell r="O4">
            <v>0.56425203120754863</v>
          </cell>
          <cell r="R4">
            <v>8.4637804681132286E-2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6" sqref="E6"/>
    </sheetView>
  </sheetViews>
  <sheetFormatPr defaultRowHeight="15" customHeight="1" x14ac:dyDescent="0.25"/>
  <cols>
    <col min="1" max="1" width="24.5703125" style="2" bestFit="1" customWidth="1"/>
    <col min="2" max="2" width="10.7109375" style="2" customWidth="1"/>
    <col min="3" max="16384" width="9.140625" style="2"/>
  </cols>
  <sheetData>
    <row r="1" spans="1:3" ht="15" customHeight="1" x14ac:dyDescent="0.25">
      <c r="A1" s="122" t="s">
        <v>142</v>
      </c>
      <c r="B1" s="122"/>
    </row>
    <row r="2" spans="1:3" ht="15" customHeight="1" x14ac:dyDescent="0.25">
      <c r="A2" s="123" t="s">
        <v>189</v>
      </c>
      <c r="B2" s="123"/>
    </row>
    <row r="4" spans="1:3" ht="15" customHeight="1" x14ac:dyDescent="0.25">
      <c r="A4" s="78" t="s">
        <v>143</v>
      </c>
      <c r="B4" s="78" t="s">
        <v>28</v>
      </c>
      <c r="C4" s="78" t="s">
        <v>145</v>
      </c>
    </row>
    <row r="5" spans="1:3" ht="15" customHeight="1" x14ac:dyDescent="0.25">
      <c r="A5" s="71" t="s">
        <v>144</v>
      </c>
      <c r="B5" s="71">
        <v>99</v>
      </c>
      <c r="C5" s="71" t="s">
        <v>146</v>
      </c>
    </row>
    <row r="6" spans="1:3" ht="15" customHeight="1" x14ac:dyDescent="0.25">
      <c r="A6" s="71" t="s">
        <v>36</v>
      </c>
      <c r="B6" s="71">
        <v>76068</v>
      </c>
      <c r="C6" s="71" t="s">
        <v>147</v>
      </c>
    </row>
    <row r="7" spans="1:3" ht="15" customHeight="1" x14ac:dyDescent="0.25">
      <c r="A7" s="9" t="s">
        <v>149</v>
      </c>
      <c r="B7" s="9">
        <v>10500</v>
      </c>
      <c r="C7" s="9" t="s">
        <v>147</v>
      </c>
    </row>
    <row r="9" spans="1:3" ht="15" customHeight="1" x14ac:dyDescent="0.25">
      <c r="A9" s="81" t="s">
        <v>151</v>
      </c>
    </row>
    <row r="10" spans="1:3" ht="15" customHeight="1" x14ac:dyDescent="0.25">
      <c r="A10" s="109">
        <v>650</v>
      </c>
    </row>
  </sheetData>
  <sheetProtection password="B056" sheet="1" objects="1" scenarios="1"/>
  <mergeCells count="2">
    <mergeCell ref="A1:B1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"/>
  <sheetViews>
    <sheetView workbookViewId="0">
      <selection activeCell="C2" sqref="C2:D3"/>
    </sheetView>
  </sheetViews>
  <sheetFormatPr defaultRowHeight="15" x14ac:dyDescent="0.25"/>
  <cols>
    <col min="1" max="1" width="20.42578125" customWidth="1"/>
    <col min="2" max="5" width="13.85546875" customWidth="1"/>
    <col min="6" max="6" width="14.28515625" customWidth="1"/>
    <col min="7" max="7" width="10.42578125" customWidth="1"/>
    <col min="8" max="8" width="11.85546875" customWidth="1"/>
    <col min="9" max="11" width="14.85546875" customWidth="1"/>
    <col min="12" max="14" width="13.7109375" customWidth="1"/>
    <col min="22" max="24" width="15.5703125" customWidth="1"/>
    <col min="25" max="27" width="14.5703125" customWidth="1"/>
  </cols>
  <sheetData>
    <row r="1" spans="1:34" x14ac:dyDescent="0.25">
      <c r="A1" s="3" t="s">
        <v>104</v>
      </c>
    </row>
    <row r="2" spans="1:34" x14ac:dyDescent="0.25">
      <c r="A2" s="174" t="s">
        <v>81</v>
      </c>
      <c r="B2" s="174" t="s">
        <v>39</v>
      </c>
      <c r="C2" s="168" t="s">
        <v>213</v>
      </c>
      <c r="D2" s="168" t="s">
        <v>214</v>
      </c>
      <c r="E2" s="174" t="s">
        <v>203</v>
      </c>
      <c r="F2" s="174" t="s">
        <v>204</v>
      </c>
      <c r="G2" s="174" t="s">
        <v>205</v>
      </c>
      <c r="H2" s="175" t="s">
        <v>206</v>
      </c>
      <c r="I2" s="187" t="s">
        <v>207</v>
      </c>
      <c r="J2" s="174" t="s">
        <v>186</v>
      </c>
      <c r="K2" s="174"/>
      <c r="L2" s="189" t="s">
        <v>208</v>
      </c>
      <c r="M2" s="189"/>
      <c r="N2" s="189"/>
      <c r="O2" s="174" t="s">
        <v>209</v>
      </c>
      <c r="P2" s="174"/>
      <c r="Q2" s="174"/>
      <c r="R2" s="174"/>
      <c r="S2" s="174"/>
      <c r="T2" s="174"/>
      <c r="U2" s="174"/>
      <c r="V2" s="190" t="s">
        <v>210</v>
      </c>
      <c r="W2" s="189"/>
      <c r="X2" s="191"/>
      <c r="Y2" s="190" t="s">
        <v>211</v>
      </c>
      <c r="Z2" s="189"/>
      <c r="AA2" s="191"/>
      <c r="AB2" s="173" t="s">
        <v>1</v>
      </c>
      <c r="AC2" s="173"/>
      <c r="AD2" s="173"/>
      <c r="AE2" s="173"/>
      <c r="AF2" s="173"/>
      <c r="AG2" s="173"/>
      <c r="AH2" s="173"/>
    </row>
    <row r="3" spans="1:34" x14ac:dyDescent="0.25">
      <c r="A3" s="174"/>
      <c r="B3" s="174"/>
      <c r="C3" s="168"/>
      <c r="D3" s="168"/>
      <c r="E3" s="174"/>
      <c r="F3" s="174"/>
      <c r="G3" s="174"/>
      <c r="H3" s="176"/>
      <c r="I3" s="188"/>
      <c r="J3" s="95" t="s">
        <v>39</v>
      </c>
      <c r="K3" s="95" t="s">
        <v>187</v>
      </c>
      <c r="L3" s="96" t="s">
        <v>2</v>
      </c>
      <c r="M3" s="59" t="s">
        <v>3</v>
      </c>
      <c r="N3" s="66" t="s">
        <v>30</v>
      </c>
      <c r="O3" s="59" t="s">
        <v>2</v>
      </c>
      <c r="P3" s="59" t="s">
        <v>3</v>
      </c>
      <c r="Q3" s="59" t="s">
        <v>30</v>
      </c>
      <c r="R3" s="59" t="s">
        <v>6</v>
      </c>
      <c r="S3" s="59" t="s">
        <v>7</v>
      </c>
      <c r="T3" s="59" t="s">
        <v>5</v>
      </c>
      <c r="U3" s="110" t="s">
        <v>212</v>
      </c>
      <c r="V3" s="69" t="s">
        <v>2</v>
      </c>
      <c r="W3" s="69" t="s">
        <v>3</v>
      </c>
      <c r="X3" s="69" t="s">
        <v>30</v>
      </c>
      <c r="Y3" s="69" t="s">
        <v>2</v>
      </c>
      <c r="Z3" s="69" t="s">
        <v>3</v>
      </c>
      <c r="AA3" s="69" t="s">
        <v>30</v>
      </c>
      <c r="AB3" s="59" t="s">
        <v>2</v>
      </c>
      <c r="AC3" s="59" t="s">
        <v>3</v>
      </c>
      <c r="AD3" s="59" t="s">
        <v>30</v>
      </c>
      <c r="AE3" s="59" t="s">
        <v>6</v>
      </c>
      <c r="AF3" s="59" t="s">
        <v>7</v>
      </c>
      <c r="AG3" s="59" t="s">
        <v>5</v>
      </c>
      <c r="AH3" s="59" t="s">
        <v>212</v>
      </c>
    </row>
    <row r="4" spans="1:34" x14ac:dyDescent="0.25">
      <c r="A4" s="60" t="s">
        <v>83</v>
      </c>
      <c r="B4" s="55" t="s">
        <v>84</v>
      </c>
      <c r="C4" s="55">
        <v>-20.205711000000001</v>
      </c>
      <c r="D4" s="55">
        <v>-40.322878000000003</v>
      </c>
      <c r="E4" s="55">
        <v>766</v>
      </c>
      <c r="F4" s="12">
        <f>($D$9/24)*2</f>
        <v>0.5</v>
      </c>
      <c r="G4" s="61">
        <f>E4*F4/1000</f>
        <v>0.38300000000000001</v>
      </c>
      <c r="H4" s="9">
        <v>9.6999999999999993</v>
      </c>
      <c r="I4" s="104">
        <v>16</v>
      </c>
      <c r="J4" s="104" t="s">
        <v>153</v>
      </c>
      <c r="K4" s="104" t="s">
        <v>153</v>
      </c>
      <c r="L4" s="12">
        <f>('FE-Vias'!D22*($H$4^0.91)*($I$4^1.02)/1000)*'FE-Vias'!$G$32</f>
        <v>0.41194640566010854</v>
      </c>
      <c r="M4" s="12">
        <f>('FE-Vias'!C22*($H$4^0.91)*($I$4^1.02)/1000)*'FE-Vias'!$G$32</f>
        <v>7.9073303872838188E-2</v>
      </c>
      <c r="N4" s="61">
        <f>('FE-Vias'!B22*($H$4^0.91)*($I$4^1.02)/1000)*'FE-Vias'!$G$32</f>
        <v>1.9130638033751167E-2</v>
      </c>
      <c r="O4" s="105">
        <f>'FE-Vias'!B37/1000</f>
        <v>1.7489827604766657E-4</v>
      </c>
      <c r="P4" s="105">
        <f>'FE-Vias'!C37/1000</f>
        <v>1.7489827604766657E-4</v>
      </c>
      <c r="Q4" s="105">
        <f>'FE-Vias'!D37/1000</f>
        <v>1.7489827604766657E-4</v>
      </c>
      <c r="R4" s="105">
        <f>'FE-Vias'!E37/1000</f>
        <v>5.4345140567386742E-3</v>
      </c>
      <c r="S4" s="119">
        <f>'FE-Vias'!F37/1000</f>
        <v>2.1032135261668511E-4</v>
      </c>
      <c r="T4" s="105">
        <f>'FE-Vias'!G37/1000</f>
        <v>1.0383730075038094E-3</v>
      </c>
      <c r="U4" s="105">
        <f>'FE-Vias'!H37/1000</f>
        <v>2.4766340643796463E-4</v>
      </c>
      <c r="V4" s="105">
        <f>'FE-Vias'!I37/1000</f>
        <v>6.7633804693835879E-5</v>
      </c>
      <c r="W4" s="105">
        <f>'FE-Vias'!J37/1000</f>
        <v>5.1332470377789449E-5</v>
      </c>
      <c r="X4" s="105">
        <f>'FE-Vias'!K37/1000</f>
        <v>2.7520218195668728E-5</v>
      </c>
      <c r="Y4" s="105">
        <f>'FE-Vias'!L37/1000</f>
        <v>6.3494136177677979E-5</v>
      </c>
      <c r="Z4" s="105">
        <f>'FE-Vias'!M37/1000</f>
        <v>3.1747068088838989E-5</v>
      </c>
      <c r="AA4" s="105">
        <f>'FE-Vias'!N37/1000</f>
        <v>1.7137767759244576E-5</v>
      </c>
      <c r="AB4" s="67">
        <f>(L4*$G$4)+(O4*$G$4)+(V4*$G$4)+(Y4*$G$4)</f>
        <v>0.15789268140890164</v>
      </c>
      <c r="AC4" s="67">
        <f t="shared" ref="AC4:AD4" si="0">(M4*$G$4)+(P4*$G$4)+(W4*$G$4)+(Z4*$G$4)</f>
        <v>3.0383880886256001E-2</v>
      </c>
      <c r="AD4" s="67">
        <f t="shared" si="0"/>
        <v>7.4111244152736842E-3</v>
      </c>
      <c r="AE4" s="67">
        <f>R4*$G$4</f>
        <v>2.081418883730912E-3</v>
      </c>
      <c r="AF4" s="67">
        <f>S4*$G$4</f>
        <v>8.0553078052190402E-5</v>
      </c>
      <c r="AG4" s="67">
        <f>T4*$G$4</f>
        <v>3.9769686187395904E-4</v>
      </c>
      <c r="AH4" s="67">
        <f>U4*$G$4</f>
        <v>9.4855084665740455E-5</v>
      </c>
    </row>
    <row r="5" spans="1:34" x14ac:dyDescent="0.25">
      <c r="A5" s="60" t="s">
        <v>85</v>
      </c>
      <c r="B5" s="55" t="s">
        <v>82</v>
      </c>
      <c r="C5" s="55">
        <v>-20.205905999999999</v>
      </c>
      <c r="D5" s="55">
        <v>-40.325414000000002</v>
      </c>
      <c r="E5" s="55">
        <v>345</v>
      </c>
      <c r="F5" s="12">
        <f>($D$8/24)*2</f>
        <v>2.5</v>
      </c>
      <c r="G5" s="61">
        <f>E5*F5/1000</f>
        <v>0.86250000000000004</v>
      </c>
      <c r="H5" s="55">
        <v>8.5</v>
      </c>
      <c r="I5" s="104">
        <v>16</v>
      </c>
      <c r="J5" s="104" t="s">
        <v>188</v>
      </c>
      <c r="K5" s="104">
        <v>30</v>
      </c>
      <c r="L5" s="12">
        <f>('FE-Vias'!$D$6*((H5/12)^'FE-Vias'!$D$7)*((I5/3)^'FE-Vias'!$D$8)*'FE-Vias'!$B$9/1000)*'FE-Vias'!$G$15</f>
        <v>1.7237597744394337</v>
      </c>
      <c r="M5" s="12">
        <f>('FE-Vias'!$C$6*((H5/12)^'FE-Vias'!$C$7)*((I5/3)^'FE-Vias'!$C$8)*'FE-Vias'!$B$9/1000)*'FE-Vias'!$G$15</f>
        <v>0.49251499422489714</v>
      </c>
      <c r="N5" s="12">
        <f>('FE-Vias'!$B$6*((H5/12)^'FE-Vias'!$B$7)*((I5/3)^'FE-Vias'!$B$8)*'FE-Vias'!$B$9/1000)*'FE-Vias'!$G$15</f>
        <v>4.9251499422489721E-2</v>
      </c>
      <c r="O5" s="105">
        <f>'FE-Vias'!B37/1000</f>
        <v>1.7489827604766657E-4</v>
      </c>
      <c r="P5" s="105">
        <f>'FE-Vias'!C37/1000</f>
        <v>1.7489827604766657E-4</v>
      </c>
      <c r="Q5" s="105">
        <f>'FE-Vias'!D37/1000</f>
        <v>1.7489827604766657E-4</v>
      </c>
      <c r="R5" s="105">
        <f>'FE-Vias'!E37/1000</f>
        <v>5.4345140567386742E-3</v>
      </c>
      <c r="S5" s="119">
        <f>'FE-Vias'!F37/1000</f>
        <v>2.1032135261668511E-4</v>
      </c>
      <c r="T5" s="105">
        <f>'FE-Vias'!G37/1000</f>
        <v>1.0383730075038094E-3</v>
      </c>
      <c r="U5" s="105">
        <f>'FE-Vias'!H37/1000</f>
        <v>2.4766340643796463E-4</v>
      </c>
      <c r="V5" s="105" t="s">
        <v>153</v>
      </c>
      <c r="W5" s="105" t="s">
        <v>153</v>
      </c>
      <c r="X5" s="105" t="s">
        <v>153</v>
      </c>
      <c r="Y5" s="105" t="s">
        <v>153</v>
      </c>
      <c r="Z5" s="105" t="s">
        <v>153</v>
      </c>
      <c r="AA5" s="105" t="s">
        <v>153</v>
      </c>
      <c r="AB5" s="67">
        <f>(L5*$G$5*(1-K5/100))+(O5*$G$5)</f>
        <v>1.0408708135808993</v>
      </c>
      <c r="AC5" s="67">
        <f>(M5*$G$5*(1-K5/100))+(P5*$G$5)</f>
        <v>0.29750677752637278</v>
      </c>
      <c r="AD5" s="67">
        <f>(N5*$G$5*(1-K5/100))+(Q5*$G$5)</f>
        <v>2.9886442539419283E-2</v>
      </c>
      <c r="AE5" s="67">
        <f>R5*$G$5</f>
        <v>4.6872683739371066E-3</v>
      </c>
      <c r="AF5" s="67">
        <f>S5*$G$5</f>
        <v>1.8140216663189093E-4</v>
      </c>
      <c r="AG5" s="67">
        <f>T5*$G$5</f>
        <v>8.9559671897203568E-4</v>
      </c>
      <c r="AH5" s="67">
        <f>U5*$G$5</f>
        <v>2.1360968805274449E-4</v>
      </c>
    </row>
    <row r="6" spans="1:34" x14ac:dyDescent="0.25">
      <c r="A6" s="122" t="s">
        <v>193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68"/>
      <c r="W6" s="68"/>
      <c r="X6" s="68"/>
      <c r="Y6" s="68"/>
      <c r="Z6" s="68"/>
      <c r="AA6" s="68"/>
      <c r="AB6" s="34">
        <f>SUM(AB4:AB5)</f>
        <v>1.1987634949898009</v>
      </c>
      <c r="AC6" s="34">
        <f>SUM(AC4:AC5)</f>
        <v>0.32789065841262877</v>
      </c>
      <c r="AD6" s="34">
        <f t="shared" ref="AD6:AH6" si="1">SUM(AD4:AD5)</f>
        <v>3.7297566954692968E-2</v>
      </c>
      <c r="AE6" s="34">
        <f t="shared" si="1"/>
        <v>6.7686872576680187E-3</v>
      </c>
      <c r="AF6" s="34">
        <f t="shared" si="1"/>
        <v>2.6195524468408134E-4</v>
      </c>
      <c r="AG6" s="34">
        <f t="shared" si="1"/>
        <v>1.2932935808459946E-3</v>
      </c>
      <c r="AH6" s="34">
        <f t="shared" si="1"/>
        <v>3.0846477271848495E-4</v>
      </c>
    </row>
    <row r="7" spans="1:34" x14ac:dyDescent="0.25">
      <c r="I7" s="58"/>
      <c r="J7" s="58"/>
      <c r="K7" s="58"/>
    </row>
    <row r="8" spans="1:34" x14ac:dyDescent="0.25">
      <c r="A8" s="192" t="s">
        <v>105</v>
      </c>
      <c r="B8" s="192"/>
      <c r="C8" s="192"/>
      <c r="D8" s="109">
        <v>30</v>
      </c>
    </row>
    <row r="9" spans="1:34" x14ac:dyDescent="0.25">
      <c r="A9" s="192" t="s">
        <v>106</v>
      </c>
      <c r="B9" s="192"/>
      <c r="C9" s="192"/>
      <c r="D9" s="109">
        <v>6</v>
      </c>
    </row>
  </sheetData>
  <sheetProtection password="B056" sheet="1" objects="1" scenarios="1"/>
  <mergeCells count="18">
    <mergeCell ref="A6:U6"/>
    <mergeCell ref="V2:X2"/>
    <mergeCell ref="Y2:AA2"/>
    <mergeCell ref="A8:C8"/>
    <mergeCell ref="A9:C9"/>
    <mergeCell ref="A2:A3"/>
    <mergeCell ref="B2:B3"/>
    <mergeCell ref="C2:C3"/>
    <mergeCell ref="D2:D3"/>
    <mergeCell ref="E2:E3"/>
    <mergeCell ref="J2:K2"/>
    <mergeCell ref="AB2:AH2"/>
    <mergeCell ref="F2:F3"/>
    <mergeCell ref="G2:G3"/>
    <mergeCell ref="H2:H3"/>
    <mergeCell ref="I2:I3"/>
    <mergeCell ref="L2:N2"/>
    <mergeCell ref="O2:U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E11" sqref="E11"/>
    </sheetView>
  </sheetViews>
  <sheetFormatPr defaultRowHeight="15" x14ac:dyDescent="0.25"/>
  <cols>
    <col min="1" max="1" width="19.140625" bestFit="1" customWidth="1"/>
  </cols>
  <sheetData>
    <row r="1" spans="1:8" x14ac:dyDescent="0.25">
      <c r="A1" s="193" t="s">
        <v>152</v>
      </c>
      <c r="B1" s="185" t="s">
        <v>1</v>
      </c>
      <c r="C1" s="186"/>
      <c r="D1" s="186"/>
      <c r="E1" s="186"/>
      <c r="F1" s="186"/>
      <c r="G1" s="186"/>
      <c r="H1" s="186"/>
    </row>
    <row r="2" spans="1:8" x14ac:dyDescent="0.25">
      <c r="A2" s="193"/>
      <c r="B2" s="8" t="s">
        <v>2</v>
      </c>
      <c r="C2" s="8" t="s">
        <v>3</v>
      </c>
      <c r="D2" s="8" t="s">
        <v>30</v>
      </c>
      <c r="E2" s="8" t="s">
        <v>6</v>
      </c>
      <c r="F2" s="8" t="s">
        <v>7</v>
      </c>
      <c r="G2" s="8" t="s">
        <v>5</v>
      </c>
      <c r="H2" s="8" t="s">
        <v>212</v>
      </c>
    </row>
    <row r="3" spans="1:8" x14ac:dyDescent="0.25">
      <c r="A3" s="108" t="s">
        <v>192</v>
      </c>
      <c r="B3" s="40">
        <f>'Emissão Chaminé_Forno'!O6</f>
        <v>1.6558147602739728E-4</v>
      </c>
      <c r="C3" s="40">
        <f>'Emissão Chaminé_Forno'!P6</f>
        <v>1.6558147602739728E-4</v>
      </c>
      <c r="D3" s="40">
        <f>'Emissão Chaminé_Forno'!Q6</f>
        <v>1.6558147602739728E-4</v>
      </c>
      <c r="E3" s="40">
        <f>'Emissão Chaminé_Forno'!R6</f>
        <v>3.090854219178082E-3</v>
      </c>
      <c r="F3" s="40">
        <f>'Emissão Chaminé_Forno'!S6</f>
        <v>3.2995751890931501E-4</v>
      </c>
      <c r="G3" s="40">
        <f>'Emissão Chaminé_Forno'!T6</f>
        <v>1.7551636458904109E-3</v>
      </c>
      <c r="H3" s="40">
        <f>'Emissão Chaminé_Forno'!U6</f>
        <v>2.3181406643835617E-4</v>
      </c>
    </row>
    <row r="4" spans="1:8" x14ac:dyDescent="0.25">
      <c r="A4" s="2" t="s">
        <v>154</v>
      </c>
      <c r="B4" s="12">
        <f>'Emissão Transferências'!I5</f>
        <v>9.056743237301176E-3</v>
      </c>
      <c r="C4" s="120">
        <f>'Emissão Transferências'!J5</f>
        <v>4.2835947743992044E-3</v>
      </c>
      <c r="D4" s="120">
        <f>'Emissão Transferências'!K5</f>
        <v>6.4865863726616538E-4</v>
      </c>
      <c r="E4" s="109" t="s">
        <v>153</v>
      </c>
      <c r="F4" s="109" t="s">
        <v>153</v>
      </c>
      <c r="G4" s="109" t="s">
        <v>153</v>
      </c>
      <c r="H4" s="109" t="s">
        <v>153</v>
      </c>
    </row>
    <row r="5" spans="1:8" x14ac:dyDescent="0.25">
      <c r="A5" s="2" t="s">
        <v>155</v>
      </c>
      <c r="B5" s="12">
        <f>'Emissão Maq e Equip'!H10</f>
        <v>1.2615641527694699E-2</v>
      </c>
      <c r="C5" s="12">
        <f>'Emissão Maq e Equip'!I10</f>
        <v>1.2615641527694699E-2</v>
      </c>
      <c r="D5" s="12">
        <f>'Emissão Maq e Equip'!J10</f>
        <v>1.2615641527694699E-2</v>
      </c>
      <c r="E5" s="12">
        <f>'Emissão Maq e Equip'!K10</f>
        <v>0.29685885758282471</v>
      </c>
      <c r="F5" s="40">
        <f>'Emissão Maq e Equip'!L10</f>
        <v>3.1344535381904414E-4</v>
      </c>
      <c r="G5" s="12">
        <f>'Emissão Maq e Equip'!M10</f>
        <v>0.10078116448032176</v>
      </c>
      <c r="H5" s="12">
        <f>'Emissão Maq e Equip'!N10</f>
        <v>3.1109403318958624E-2</v>
      </c>
    </row>
    <row r="6" spans="1:8" x14ac:dyDescent="0.25">
      <c r="A6" s="2" t="s">
        <v>158</v>
      </c>
      <c r="B6" s="85" t="s">
        <v>153</v>
      </c>
      <c r="C6" s="85" t="s">
        <v>153</v>
      </c>
      <c r="D6" s="85" t="s">
        <v>153</v>
      </c>
      <c r="E6" s="85" t="s">
        <v>153</v>
      </c>
      <c r="F6" s="85" t="s">
        <v>153</v>
      </c>
      <c r="G6" s="85" t="s">
        <v>153</v>
      </c>
      <c r="H6" s="12">
        <f>'Emissão Jateamento'!G6</f>
        <v>3.3968904109589042</v>
      </c>
    </row>
    <row r="7" spans="1:8" x14ac:dyDescent="0.25">
      <c r="A7" s="2" t="s">
        <v>156</v>
      </c>
      <c r="B7" s="12">
        <f>'Emissão Vias '!AB6</f>
        <v>1.1987634949898009</v>
      </c>
      <c r="C7" s="12">
        <f>'Emissão Vias '!AC6</f>
        <v>0.32789065841262877</v>
      </c>
      <c r="D7" s="12">
        <f>'Emissão Vias '!AD6</f>
        <v>3.7297566954692968E-2</v>
      </c>
      <c r="E7" s="12">
        <f>'Emissão Vias '!AE6</f>
        <v>6.7686872576680187E-3</v>
      </c>
      <c r="F7" s="40">
        <f>'Emissão Vias '!AF6</f>
        <v>2.6195524468408134E-4</v>
      </c>
      <c r="G7" s="40">
        <f>'Emissão Vias '!AG6</f>
        <v>1.2932935808459946E-3</v>
      </c>
      <c r="H7" s="40">
        <f>'Emissão Vias '!AH6</f>
        <v>3.0846477271848495E-4</v>
      </c>
    </row>
    <row r="8" spans="1:8" x14ac:dyDescent="0.25">
      <c r="A8" s="2" t="s">
        <v>157</v>
      </c>
      <c r="B8" s="121">
        <f>'[2]TE - Total'!$L$4</f>
        <v>1.1285040624150973</v>
      </c>
      <c r="C8" s="121">
        <f>'[2]TE - Total'!$O$4</f>
        <v>0.56425203120754863</v>
      </c>
      <c r="D8" s="121">
        <f>'[2]TE - Total'!$R$4</f>
        <v>8.4637804681132286E-2</v>
      </c>
      <c r="E8" s="109" t="s">
        <v>153</v>
      </c>
      <c r="F8" s="109" t="s">
        <v>153</v>
      </c>
      <c r="G8" s="109" t="s">
        <v>153</v>
      </c>
      <c r="H8" s="109" t="s">
        <v>153</v>
      </c>
    </row>
    <row r="9" spans="1:8" x14ac:dyDescent="0.25">
      <c r="A9" s="79" t="s">
        <v>193</v>
      </c>
      <c r="B9" s="34">
        <f>SUM(B3:B8)</f>
        <v>2.3491055236459215</v>
      </c>
      <c r="C9" s="34">
        <f>SUM(C3:C8)</f>
        <v>0.9092075073982987</v>
      </c>
      <c r="D9" s="34">
        <f t="shared" ref="D9:H9" si="0">SUM(D3:D8)</f>
        <v>0.13536525327681351</v>
      </c>
      <c r="E9" s="34">
        <f t="shared" si="0"/>
        <v>0.3067183990596708</v>
      </c>
      <c r="F9" s="34">
        <f t="shared" si="0"/>
        <v>9.0535811741244043E-4</v>
      </c>
      <c r="G9" s="34">
        <f t="shared" si="0"/>
        <v>0.10382962170705817</v>
      </c>
      <c r="H9" s="34">
        <f t="shared" si="0"/>
        <v>3.4285400931170198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"/>
  <sheetViews>
    <sheetView workbookViewId="0">
      <selection activeCell="D20" sqref="D20"/>
    </sheetView>
  </sheetViews>
  <sheetFormatPr defaultRowHeight="15" customHeight="1" x14ac:dyDescent="0.2"/>
  <cols>
    <col min="1" max="1" width="37.140625" style="1" customWidth="1"/>
    <col min="2" max="2" width="25.28515625" style="1" bestFit="1" customWidth="1"/>
    <col min="3" max="4" width="26.42578125" style="1" bestFit="1" customWidth="1"/>
    <col min="5" max="5" width="14.140625" style="1" bestFit="1" customWidth="1"/>
    <col min="6" max="6" width="11.85546875" style="1" customWidth="1"/>
    <col min="7" max="7" width="13.140625" style="1" customWidth="1"/>
    <col min="8" max="8" width="9.140625" style="1"/>
    <col min="9" max="9" width="29.28515625" style="1" customWidth="1"/>
    <col min="10" max="12" width="13.140625" style="1" customWidth="1"/>
    <col min="13" max="16384" width="9.140625" style="1"/>
  </cols>
  <sheetData>
    <row r="1" spans="1:5" ht="15" customHeight="1" x14ac:dyDescent="0.2">
      <c r="A1" s="1" t="s">
        <v>78</v>
      </c>
    </row>
    <row r="2" spans="1:5" ht="15" customHeight="1" x14ac:dyDescent="0.2">
      <c r="A2" s="134" t="s">
        <v>75</v>
      </c>
      <c r="B2" s="134"/>
      <c r="C2" s="134"/>
    </row>
    <row r="3" spans="1:5" ht="15" customHeight="1" x14ac:dyDescent="0.2">
      <c r="A3" s="135" t="s">
        <v>76</v>
      </c>
      <c r="B3" s="135"/>
      <c r="C3" s="135"/>
    </row>
    <row r="4" spans="1:5" ht="15" customHeight="1" x14ac:dyDescent="0.2">
      <c r="A4" s="124" t="s">
        <v>40</v>
      </c>
      <c r="B4" s="54" t="s">
        <v>46</v>
      </c>
      <c r="C4" s="54" t="s">
        <v>49</v>
      </c>
      <c r="E4" s="2"/>
    </row>
    <row r="5" spans="1:5" ht="15" customHeight="1" x14ac:dyDescent="0.2">
      <c r="A5" s="124"/>
      <c r="B5" s="54" t="s">
        <v>71</v>
      </c>
      <c r="C5" s="54" t="s">
        <v>71</v>
      </c>
      <c r="E5" s="4"/>
    </row>
    <row r="6" spans="1:5" ht="15" customHeight="1" x14ac:dyDescent="0.2">
      <c r="A6" s="71" t="s">
        <v>41</v>
      </c>
      <c r="B6" s="71">
        <v>0.2</v>
      </c>
      <c r="C6" s="71">
        <v>0.2</v>
      </c>
    </row>
    <row r="7" spans="1:5" ht="15" customHeight="1" x14ac:dyDescent="0.2">
      <c r="A7" s="71" t="s">
        <v>42</v>
      </c>
      <c r="B7" s="71">
        <v>0.6</v>
      </c>
      <c r="C7" s="71">
        <v>0.5</v>
      </c>
    </row>
    <row r="8" spans="1:5" ht="15" customHeight="1" x14ac:dyDescent="0.2">
      <c r="A8" s="111" t="s">
        <v>43</v>
      </c>
      <c r="B8" s="111">
        <v>0.8</v>
      </c>
      <c r="C8" s="111">
        <v>0.7</v>
      </c>
    </row>
    <row r="9" spans="1:5" ht="15" customHeight="1" x14ac:dyDescent="0.2">
      <c r="A9" s="111" t="s">
        <v>10</v>
      </c>
      <c r="B9" s="111" t="s">
        <v>47</v>
      </c>
      <c r="C9" s="111" t="s">
        <v>48</v>
      </c>
      <c r="E9" s="24"/>
    </row>
    <row r="10" spans="1:5" ht="15" customHeight="1" x14ac:dyDescent="0.2">
      <c r="A10" s="111" t="s">
        <v>77</v>
      </c>
      <c r="B10" s="111">
        <v>15</v>
      </c>
      <c r="C10" s="111">
        <v>13</v>
      </c>
    </row>
    <row r="11" spans="1:5" ht="15" customHeight="1" x14ac:dyDescent="0.2">
      <c r="A11" s="71" t="s">
        <v>44</v>
      </c>
      <c r="B11" s="71">
        <v>0.9</v>
      </c>
      <c r="C11" s="71">
        <v>0.9</v>
      </c>
    </row>
    <row r="12" spans="1:5" ht="15" customHeight="1" x14ac:dyDescent="0.2">
      <c r="A12" s="71" t="s">
        <v>8</v>
      </c>
      <c r="B12" s="71">
        <v>14300</v>
      </c>
      <c r="C12" s="71">
        <v>12500</v>
      </c>
    </row>
    <row r="13" spans="1:5" ht="15" customHeight="1" x14ac:dyDescent="0.2">
      <c r="A13" s="111" t="s">
        <v>5</v>
      </c>
      <c r="B13" s="111">
        <v>8.4</v>
      </c>
      <c r="C13" s="111">
        <v>7.5</v>
      </c>
    </row>
    <row r="14" spans="1:5" ht="15" customHeight="1" x14ac:dyDescent="0.2">
      <c r="A14" s="111" t="s">
        <v>9</v>
      </c>
      <c r="B14" s="111">
        <v>1.1000000000000001</v>
      </c>
      <c r="C14" s="111">
        <v>1</v>
      </c>
    </row>
    <row r="15" spans="1:5" ht="15" customHeight="1" x14ac:dyDescent="0.2">
      <c r="A15" s="71" t="s">
        <v>45</v>
      </c>
      <c r="B15" s="71">
        <v>0.2</v>
      </c>
      <c r="C15" s="71">
        <v>0.2</v>
      </c>
    </row>
    <row r="16" spans="1:5" ht="15" customHeight="1" x14ac:dyDescent="0.2">
      <c r="B16" s="112"/>
      <c r="C16" s="112"/>
    </row>
    <row r="17" spans="1:6" ht="15" customHeight="1" x14ac:dyDescent="0.2">
      <c r="A17" s="57" t="s">
        <v>73</v>
      </c>
      <c r="B17" s="112">
        <v>0.36</v>
      </c>
      <c r="C17" s="112"/>
      <c r="F17" s="6"/>
    </row>
    <row r="18" spans="1:6" ht="15" customHeight="1" x14ac:dyDescent="0.2">
      <c r="A18" s="57" t="s">
        <v>74</v>
      </c>
      <c r="B18" s="61">
        <f>119.826/1000</f>
        <v>0.11982599999999999</v>
      </c>
      <c r="C18" s="112"/>
    </row>
    <row r="19" spans="1:6" ht="15" customHeight="1" x14ac:dyDescent="0.2">
      <c r="A19" s="57" t="s">
        <v>190</v>
      </c>
      <c r="B19" s="112">
        <v>0.437</v>
      </c>
      <c r="C19" s="112"/>
    </row>
    <row r="20" spans="1:6" ht="15" customHeight="1" x14ac:dyDescent="0.2">
      <c r="F20" s="16"/>
    </row>
    <row r="21" spans="1:6" ht="15" customHeight="1" x14ac:dyDescent="0.2">
      <c r="A21" s="125" t="s">
        <v>32</v>
      </c>
      <c r="B21" s="19"/>
      <c r="C21" s="20"/>
    </row>
    <row r="22" spans="1:6" ht="15" customHeight="1" x14ac:dyDescent="0.2">
      <c r="A22" s="126"/>
      <c r="B22" s="21"/>
      <c r="C22" s="22"/>
    </row>
    <row r="23" spans="1:6" ht="15" customHeight="1" x14ac:dyDescent="0.2">
      <c r="A23" s="126"/>
      <c r="B23" s="21"/>
      <c r="C23" s="22"/>
    </row>
    <row r="24" spans="1:6" ht="15" customHeight="1" x14ac:dyDescent="0.2">
      <c r="A24" s="126"/>
      <c r="B24" s="128" t="s">
        <v>35</v>
      </c>
      <c r="C24" s="129"/>
    </row>
    <row r="25" spans="1:6" ht="15" customHeight="1" x14ac:dyDescent="0.2">
      <c r="A25" s="126"/>
      <c r="B25" s="130"/>
      <c r="C25" s="131"/>
    </row>
    <row r="26" spans="1:6" ht="15" customHeight="1" x14ac:dyDescent="0.2">
      <c r="A26" s="127"/>
      <c r="B26" s="132"/>
      <c r="C26" s="133"/>
    </row>
  </sheetData>
  <sheetProtection password="B056" sheet="1" objects="1" scenarios="1"/>
  <mergeCells count="5">
    <mergeCell ref="A4:A5"/>
    <mergeCell ref="A21:A26"/>
    <mergeCell ref="B24:C26"/>
    <mergeCell ref="A2:C2"/>
    <mergeCell ref="A3:C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B54" sqref="B54"/>
    </sheetView>
  </sheetViews>
  <sheetFormatPr defaultRowHeight="15" x14ac:dyDescent="0.25"/>
  <cols>
    <col min="1" max="1" width="20.28515625" customWidth="1"/>
    <col min="2" max="2" width="25" bestFit="1" customWidth="1"/>
    <col min="11" max="11" width="19.42578125" customWidth="1"/>
    <col min="12" max="12" width="7.140625" bestFit="1" customWidth="1"/>
    <col min="13" max="13" width="14.28515625" bestFit="1" customWidth="1"/>
  </cols>
  <sheetData>
    <row r="1" spans="1:20" x14ac:dyDescent="0.25">
      <c r="A1" s="2" t="s">
        <v>34</v>
      </c>
    </row>
    <row r="2" spans="1:20" x14ac:dyDescent="0.25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0" t="s">
        <v>19</v>
      </c>
      <c r="I2" s="90" t="s">
        <v>20</v>
      </c>
      <c r="J2" s="38"/>
      <c r="K2" s="89"/>
      <c r="L2" s="91"/>
      <c r="M2" s="91"/>
      <c r="N2" s="91"/>
      <c r="O2" s="91"/>
      <c r="P2" s="91"/>
      <c r="Q2" s="91"/>
      <c r="R2" s="91"/>
      <c r="S2" s="38"/>
      <c r="T2" s="38"/>
    </row>
    <row r="3" spans="1:20" x14ac:dyDescent="0.25">
      <c r="A3" s="136" t="s">
        <v>159</v>
      </c>
      <c r="B3" s="87" t="s">
        <v>160</v>
      </c>
      <c r="C3" s="33">
        <v>3.0147869073198752E-3</v>
      </c>
      <c r="D3" s="33">
        <v>5.7702740942791646E-2</v>
      </c>
      <c r="E3" s="33">
        <v>9.461645542412005E-5</v>
      </c>
      <c r="F3" s="33">
        <v>3.0704931078430354E-2</v>
      </c>
      <c r="G3" s="33">
        <v>9.0583165249989144E-3</v>
      </c>
      <c r="H3" s="33">
        <v>7.4570982946504074</v>
      </c>
      <c r="I3" s="33">
        <v>8.1731743265852665E-4</v>
      </c>
      <c r="J3" s="38"/>
      <c r="K3" s="91"/>
      <c r="L3" s="39"/>
      <c r="M3" s="39"/>
      <c r="N3" s="39"/>
      <c r="O3" s="39"/>
      <c r="P3" s="39"/>
      <c r="Q3" s="39"/>
      <c r="R3" s="39"/>
      <c r="S3" s="38"/>
      <c r="T3" s="38"/>
    </row>
    <row r="4" spans="1:20" x14ac:dyDescent="0.25">
      <c r="A4" s="137"/>
      <c r="B4" s="87" t="s">
        <v>161</v>
      </c>
      <c r="C4" s="33">
        <v>1.3482095370845991E-2</v>
      </c>
      <c r="D4" s="33">
        <v>0.12155977200664249</v>
      </c>
      <c r="E4" s="33">
        <v>1.466982891939668E-4</v>
      </c>
      <c r="F4" s="33">
        <v>0.14809939337079231</v>
      </c>
      <c r="G4" s="33">
        <v>5.6862981606646282E-2</v>
      </c>
      <c r="H4" s="33">
        <v>11.347764370111875</v>
      </c>
      <c r="I4" s="33">
        <v>5.1306550776300478E-3</v>
      </c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</row>
    <row r="5" spans="1:20" x14ac:dyDescent="0.25">
      <c r="A5" s="137"/>
      <c r="B5" s="87" t="s">
        <v>162</v>
      </c>
      <c r="C5" s="33">
        <v>3.8143684358770413E-2</v>
      </c>
      <c r="D5" s="33">
        <v>0.40804583325655425</v>
      </c>
      <c r="E5" s="33">
        <v>3.9173858656148578E-4</v>
      </c>
      <c r="F5" s="33">
        <v>0.24380304872321945</v>
      </c>
      <c r="G5" s="33">
        <v>6.8905910939028786E-2</v>
      </c>
      <c r="H5" s="33">
        <v>33.39483724619879</v>
      </c>
      <c r="I5" s="33">
        <v>6.2172696993613519E-3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</row>
    <row r="6" spans="1:20" x14ac:dyDescent="0.25">
      <c r="A6" s="137"/>
      <c r="B6" s="87" t="s">
        <v>163</v>
      </c>
      <c r="C6" s="33">
        <v>3.1935632912066858E-2</v>
      </c>
      <c r="D6" s="33">
        <v>0.54399068025616637</v>
      </c>
      <c r="E6" s="33">
        <v>5.727439311913402E-4</v>
      </c>
      <c r="F6" s="33">
        <v>0.30464403626947328</v>
      </c>
      <c r="G6" s="33">
        <v>7.0963858660642476E-2</v>
      </c>
      <c r="H6" s="33">
        <v>50.902809802916629</v>
      </c>
      <c r="I6" s="33">
        <v>6.4029549518974374E-3</v>
      </c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</row>
    <row r="7" spans="1:20" x14ac:dyDescent="0.25">
      <c r="A7" s="137"/>
      <c r="B7" s="87" t="s">
        <v>164</v>
      </c>
      <c r="C7" s="33">
        <v>2.5178439958187568E-2</v>
      </c>
      <c r="D7" s="33">
        <v>0.7279738707541773</v>
      </c>
      <c r="E7" s="33">
        <v>8.0986723319419998E-4</v>
      </c>
      <c r="F7" s="33">
        <v>0.18769243655755435</v>
      </c>
      <c r="G7" s="33">
        <v>6.9361274765252307E-2</v>
      </c>
      <c r="H7" s="33">
        <v>71.977218896201208</v>
      </c>
      <c r="I7" s="33">
        <v>6.2583571981573265E-3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</row>
    <row r="8" spans="1:20" x14ac:dyDescent="0.25">
      <c r="A8" s="137"/>
      <c r="B8" s="87" t="s">
        <v>165</v>
      </c>
      <c r="C8" s="33">
        <v>3.4192255532230549E-2</v>
      </c>
      <c r="D8" s="33">
        <v>0.93693269300639859</v>
      </c>
      <c r="E8" s="33">
        <v>1.0406262412823099E-3</v>
      </c>
      <c r="F8" s="33">
        <v>0.29913019986714012</v>
      </c>
      <c r="G8" s="33">
        <v>9.3980070261411641E-2</v>
      </c>
      <c r="H8" s="33">
        <v>106.02050564183772</v>
      </c>
      <c r="I8" s="33">
        <v>8.4796717987370429E-3</v>
      </c>
      <c r="J8" s="38"/>
      <c r="K8" s="98"/>
      <c r="L8" s="98"/>
      <c r="M8" s="99"/>
      <c r="N8" s="99"/>
      <c r="O8" s="99"/>
      <c r="P8" s="99"/>
      <c r="Q8" s="99"/>
      <c r="R8" s="99"/>
      <c r="S8" s="99"/>
      <c r="T8" s="38"/>
    </row>
    <row r="9" spans="1:20" x14ac:dyDescent="0.25">
      <c r="A9" s="137"/>
      <c r="B9" s="97" t="s">
        <v>166</v>
      </c>
      <c r="C9" s="92">
        <v>5.7620053281765032E-2</v>
      </c>
      <c r="D9" s="52">
        <v>1.6045806317253455</v>
      </c>
      <c r="E9" s="92">
        <v>1.7668984889485637E-3</v>
      </c>
      <c r="F9" s="52">
        <v>0.49477714883647567</v>
      </c>
      <c r="G9" s="33">
        <v>0.15704170574649648</v>
      </c>
      <c r="H9" s="92">
        <v>175.72818239063847</v>
      </c>
      <c r="I9" s="92">
        <v>1.4169620577713612E-2</v>
      </c>
      <c r="J9" s="38"/>
      <c r="K9" s="98"/>
      <c r="L9" s="98"/>
      <c r="M9" s="100"/>
      <c r="N9" s="100"/>
      <c r="O9" s="100"/>
      <c r="P9" s="100"/>
      <c r="Q9" s="100"/>
      <c r="R9" s="100"/>
      <c r="S9" s="100"/>
      <c r="T9" s="38"/>
    </row>
    <row r="10" spans="1:20" x14ac:dyDescent="0.25">
      <c r="A10" s="140" t="s">
        <v>219</v>
      </c>
      <c r="B10" s="15" t="s">
        <v>21</v>
      </c>
      <c r="C10" s="33">
        <v>5.4935251475042969E-3</v>
      </c>
      <c r="D10" s="33">
        <v>6.4926827670885798E-2</v>
      </c>
      <c r="E10" s="33">
        <v>8.6033551694736398E-5</v>
      </c>
      <c r="F10" s="33">
        <v>7.3637175971475718E-2</v>
      </c>
      <c r="G10" s="33">
        <v>2.0193111150154236E-2</v>
      </c>
      <c r="H10" s="33">
        <v>6.6550817436259777</v>
      </c>
      <c r="I10" s="33">
        <v>1.8219918086991667E-3</v>
      </c>
      <c r="J10" s="38"/>
      <c r="K10" s="98"/>
      <c r="L10" s="98"/>
      <c r="M10" s="98"/>
      <c r="N10" s="98"/>
      <c r="O10" s="98"/>
      <c r="P10" s="98"/>
      <c r="Q10" s="98"/>
      <c r="R10" s="98"/>
      <c r="S10" s="98"/>
      <c r="T10" s="38"/>
    </row>
    <row r="11" spans="1:20" x14ac:dyDescent="0.25">
      <c r="A11" s="140"/>
      <c r="B11" s="15" t="s">
        <v>22</v>
      </c>
      <c r="C11" s="33">
        <v>1.0935375720997996E-2</v>
      </c>
      <c r="D11" s="33">
        <v>0.12644936219667893</v>
      </c>
      <c r="E11" s="33">
        <v>1.6614359464459008E-4</v>
      </c>
      <c r="F11" s="33">
        <v>9.8705083197790658E-2</v>
      </c>
      <c r="G11" s="33">
        <v>1.9866416900703253E-2</v>
      </c>
      <c r="H11" s="33">
        <v>14.163371720975462</v>
      </c>
      <c r="I11" s="33">
        <v>1.7925146207565614E-3</v>
      </c>
      <c r="J11" s="38"/>
      <c r="K11" s="98"/>
      <c r="L11" s="98"/>
      <c r="M11" s="98"/>
      <c r="N11" s="98"/>
      <c r="O11" s="98"/>
      <c r="P11" s="98"/>
      <c r="Q11" s="98"/>
      <c r="R11" s="98"/>
      <c r="S11" s="98"/>
      <c r="T11" s="38"/>
    </row>
    <row r="12" spans="1:20" x14ac:dyDescent="0.25">
      <c r="A12" s="140"/>
      <c r="B12" s="15" t="s">
        <v>23</v>
      </c>
      <c r="C12" s="33">
        <v>1.1142266076442227E-2</v>
      </c>
      <c r="D12" s="33">
        <v>0.19328854031998952</v>
      </c>
      <c r="E12" s="33">
        <v>2.8608396899086695E-4</v>
      </c>
      <c r="F12" s="33">
        <v>0.15002315388232246</v>
      </c>
      <c r="G12" s="33">
        <v>2.5961096019024511E-2</v>
      </c>
      <c r="H12" s="33">
        <v>25.425804144616997</v>
      </c>
      <c r="I12" s="33">
        <v>2.3424277390663843E-3</v>
      </c>
      <c r="J12" s="38"/>
      <c r="K12" s="98"/>
      <c r="L12" s="98"/>
      <c r="M12" s="98"/>
      <c r="N12" s="98"/>
      <c r="O12" s="98"/>
      <c r="P12" s="98"/>
      <c r="Q12" s="98"/>
      <c r="R12" s="98"/>
      <c r="S12" s="98"/>
      <c r="T12" s="38"/>
    </row>
    <row r="13" spans="1:20" x14ac:dyDescent="0.25">
      <c r="A13" s="140"/>
      <c r="B13" s="15" t="s">
        <v>24</v>
      </c>
      <c r="C13" s="33">
        <v>7.6017000941808327E-3</v>
      </c>
      <c r="D13" s="33">
        <v>0.23956287971495632</v>
      </c>
      <c r="E13" s="33">
        <v>3.9360544093493439E-4</v>
      </c>
      <c r="F13" s="33">
        <v>7.320549988385866E-2</v>
      </c>
      <c r="G13" s="33">
        <v>2.5856921068112038E-2</v>
      </c>
      <c r="H13" s="33">
        <v>34.981815964131869</v>
      </c>
      <c r="I13" s="33">
        <v>2.3330284589767099E-3</v>
      </c>
      <c r="J13" s="38"/>
      <c r="K13" s="102"/>
      <c r="L13" s="102"/>
      <c r="M13" s="102"/>
      <c r="N13" s="102"/>
      <c r="O13" s="102"/>
      <c r="P13" s="102"/>
      <c r="Q13" s="102"/>
      <c r="R13" s="102"/>
      <c r="S13" s="102"/>
      <c r="T13" s="38"/>
    </row>
    <row r="14" spans="1:20" x14ac:dyDescent="0.25">
      <c r="A14" s="140"/>
      <c r="B14" s="15" t="s">
        <v>25</v>
      </c>
      <c r="C14" s="33">
        <v>1.0351100108054827E-2</v>
      </c>
      <c r="D14" s="33">
        <v>0.29898530304855692</v>
      </c>
      <c r="E14" s="33">
        <v>4.9410049492471702E-4</v>
      </c>
      <c r="F14" s="33">
        <v>0.10015005589867769</v>
      </c>
      <c r="G14" s="33">
        <v>3.5425950785323582E-2</v>
      </c>
      <c r="H14" s="33">
        <v>50.339691792237581</v>
      </c>
      <c r="I14" s="33">
        <v>3.196427334950899E-3</v>
      </c>
      <c r="J14" s="38"/>
      <c r="K14" s="98"/>
      <c r="L14" s="98"/>
      <c r="M14" s="100"/>
      <c r="N14" s="100"/>
      <c r="O14" s="100"/>
      <c r="P14" s="100"/>
      <c r="Q14" s="100"/>
      <c r="R14" s="100"/>
      <c r="S14" s="100"/>
      <c r="T14" s="38"/>
    </row>
    <row r="15" spans="1:20" x14ac:dyDescent="0.25">
      <c r="A15" s="155" t="s">
        <v>220</v>
      </c>
      <c r="B15" s="15" t="s">
        <v>52</v>
      </c>
      <c r="C15" s="101">
        <v>3.6926586109254163E-3</v>
      </c>
      <c r="D15" s="101">
        <v>5.7937772552941018E-2</v>
      </c>
      <c r="E15" s="101">
        <v>7.2048640935790199E-5</v>
      </c>
      <c r="F15" s="101">
        <v>3.4523800879687649E-2</v>
      </c>
      <c r="G15" s="101">
        <v>8.9842024576061875E-3</v>
      </c>
      <c r="H15" s="101">
        <v>4.6301124316761149</v>
      </c>
      <c r="I15" s="101">
        <v>8.1063027231851909E-4</v>
      </c>
      <c r="J15" s="38"/>
      <c r="K15" s="98"/>
      <c r="L15" s="98"/>
      <c r="M15" s="98"/>
      <c r="N15" s="98"/>
      <c r="O15" s="98"/>
      <c r="P15" s="98"/>
      <c r="Q15" s="98"/>
      <c r="R15" s="98"/>
      <c r="S15" s="98"/>
      <c r="T15" s="38"/>
    </row>
    <row r="16" spans="1:20" x14ac:dyDescent="0.25">
      <c r="A16" s="156"/>
      <c r="B16" s="15" t="s">
        <v>53</v>
      </c>
      <c r="C16" s="52">
        <v>5.5940656147336013E-3</v>
      </c>
      <c r="D16" s="52">
        <v>8.1560538851923686E-2</v>
      </c>
      <c r="E16" s="52">
        <v>1.0147273728395267E-4</v>
      </c>
      <c r="F16" s="52">
        <v>5.1706480349411402E-2</v>
      </c>
      <c r="G16" s="52">
        <v>1.5841309640340459E-2</v>
      </c>
      <c r="H16" s="52">
        <v>7.9974693211122325</v>
      </c>
      <c r="I16" s="52">
        <v>1.4293359979540479E-3</v>
      </c>
      <c r="J16" s="38"/>
      <c r="K16" s="98"/>
      <c r="L16" s="98"/>
      <c r="M16" s="98"/>
      <c r="N16" s="98"/>
      <c r="O16" s="98"/>
      <c r="P16" s="98"/>
      <c r="Q16" s="98"/>
      <c r="R16" s="98"/>
      <c r="S16" s="98"/>
      <c r="T16" s="38"/>
    </row>
    <row r="17" spans="1:21" x14ac:dyDescent="0.25">
      <c r="A17" s="156"/>
      <c r="B17" s="15" t="s">
        <v>54</v>
      </c>
      <c r="C17" s="52">
        <v>1.4432743203978821E-2</v>
      </c>
      <c r="D17" s="52">
        <v>0.14500783648732038</v>
      </c>
      <c r="E17" s="52">
        <v>1.7956747788923846E-4</v>
      </c>
      <c r="F17" s="52">
        <v>0.13953156388481713</v>
      </c>
      <c r="G17" s="52">
        <v>5.8675793269661713E-2</v>
      </c>
      <c r="H17" s="52">
        <v>13.89034298293819</v>
      </c>
      <c r="I17" s="52">
        <v>5.2942217122732673E-3</v>
      </c>
      <c r="J17" s="38"/>
      <c r="K17" s="98"/>
      <c r="L17" s="98"/>
      <c r="M17" s="98"/>
      <c r="N17" s="98"/>
      <c r="O17" s="98"/>
      <c r="P17" s="98"/>
      <c r="Q17" s="98"/>
      <c r="R17" s="98"/>
      <c r="S17" s="98"/>
      <c r="T17" s="38"/>
    </row>
    <row r="18" spans="1:21" x14ac:dyDescent="0.25">
      <c r="A18" s="156"/>
      <c r="B18" s="15" t="s">
        <v>55</v>
      </c>
      <c r="C18" s="52">
        <v>3.5898749736246127E-2</v>
      </c>
      <c r="D18" s="52">
        <v>0.46892281022269755</v>
      </c>
      <c r="E18" s="52">
        <v>4.1475845626583413E-4</v>
      </c>
      <c r="F18" s="52">
        <v>0.235207374494215</v>
      </c>
      <c r="G18" s="52">
        <v>7.4307665174849463E-2</v>
      </c>
      <c r="H18" s="52">
        <v>35.357232282344391</v>
      </c>
      <c r="I18" s="52">
        <v>6.7046630974162283E-3</v>
      </c>
      <c r="J18" s="38"/>
      <c r="K18" s="98"/>
      <c r="L18" s="98"/>
      <c r="M18" s="98"/>
      <c r="N18" s="98"/>
      <c r="O18" s="98"/>
      <c r="P18" s="98"/>
      <c r="Q18" s="98"/>
      <c r="R18" s="98"/>
      <c r="S18" s="98"/>
      <c r="T18" s="38"/>
    </row>
    <row r="19" spans="1:21" x14ac:dyDescent="0.25">
      <c r="A19" s="156"/>
      <c r="B19" s="15" t="s">
        <v>56</v>
      </c>
      <c r="C19" s="52">
        <v>3.6057784581995191E-2</v>
      </c>
      <c r="D19" s="52">
        <v>0.76831078984527268</v>
      </c>
      <c r="E19" s="52">
        <v>7.2461811703888694E-4</v>
      </c>
      <c r="F19" s="52">
        <v>0.34330722173093348</v>
      </c>
      <c r="G19" s="52">
        <v>8.8189498683242745E-2</v>
      </c>
      <c r="H19" s="52">
        <v>64.400690772830671</v>
      </c>
      <c r="I19" s="52">
        <v>7.9571946421710827E-3</v>
      </c>
      <c r="J19" s="38"/>
      <c r="K19" s="98"/>
      <c r="L19" s="98"/>
      <c r="M19" s="98"/>
      <c r="N19" s="98"/>
      <c r="O19" s="98"/>
      <c r="P19" s="98"/>
      <c r="Q19" s="98"/>
      <c r="R19" s="98"/>
      <c r="S19" s="98"/>
      <c r="T19" s="38"/>
    </row>
    <row r="20" spans="1:21" x14ac:dyDescent="0.25">
      <c r="A20" s="156"/>
      <c r="B20" s="15" t="s">
        <v>57</v>
      </c>
      <c r="C20" s="52">
        <v>3.3436740783689509E-2</v>
      </c>
      <c r="D20" s="52">
        <v>1.0814770363023385</v>
      </c>
      <c r="E20" s="52">
        <v>1.0845591122180037E-3</v>
      </c>
      <c r="F20" s="52">
        <v>0.27096859384387478</v>
      </c>
      <c r="G20" s="52">
        <v>8.9893356403287938E-2</v>
      </c>
      <c r="H20" s="52">
        <v>96.390560235532888</v>
      </c>
      <c r="I20" s="52">
        <v>8.110932439281333E-3</v>
      </c>
      <c r="J20" s="38"/>
      <c r="K20" s="98"/>
      <c r="L20" s="98"/>
      <c r="M20" s="98"/>
      <c r="N20" s="98"/>
      <c r="O20" s="98"/>
      <c r="P20" s="98"/>
      <c r="Q20" s="98"/>
      <c r="R20" s="98"/>
      <c r="S20" s="98"/>
      <c r="T20" s="38"/>
    </row>
    <row r="21" spans="1:21" x14ac:dyDescent="0.25">
      <c r="A21" s="156"/>
      <c r="B21" s="15" t="s">
        <v>58</v>
      </c>
      <c r="C21" s="52">
        <v>4.916725602102065E-2</v>
      </c>
      <c r="D21" s="52">
        <v>1.5753556063595919</v>
      </c>
      <c r="E21" s="52">
        <v>1.4997207603602326E-3</v>
      </c>
      <c r="F21" s="52">
        <v>0.50851425898669189</v>
      </c>
      <c r="G21" s="52">
        <v>0.12811176426802257</v>
      </c>
      <c r="H21" s="52">
        <v>152.79377629778219</v>
      </c>
      <c r="I21" s="52">
        <v>1.1559315917913546E-2</v>
      </c>
      <c r="J21" s="38"/>
      <c r="K21" s="98"/>
      <c r="L21" s="98"/>
      <c r="M21" s="98"/>
      <c r="N21" s="98"/>
      <c r="O21" s="98"/>
      <c r="P21" s="98"/>
      <c r="Q21" s="98"/>
      <c r="R21" s="98"/>
      <c r="S21" s="98"/>
      <c r="T21" s="38"/>
    </row>
    <row r="22" spans="1:21" x14ac:dyDescent="0.25">
      <c r="A22" s="156"/>
      <c r="B22" s="15" t="s">
        <v>59</v>
      </c>
      <c r="C22" s="52">
        <v>8.0331006988652476E-2</v>
      </c>
      <c r="D22" s="52">
        <v>2.6031456524944865</v>
      </c>
      <c r="E22" s="52">
        <v>2.4800862896320634E-3</v>
      </c>
      <c r="F22" s="52">
        <v>0.82090718167955035</v>
      </c>
      <c r="G22" s="52">
        <v>0.2129801427792555</v>
      </c>
      <c r="H22" s="52">
        <v>246.6587713724044</v>
      </c>
      <c r="I22" s="52">
        <v>1.9216857867893854E-2</v>
      </c>
      <c r="J22" s="38"/>
      <c r="K22" s="98"/>
      <c r="L22" s="103"/>
      <c r="M22" s="98"/>
      <c r="N22" s="98"/>
      <c r="O22" s="98"/>
      <c r="P22" s="98"/>
      <c r="Q22" s="98"/>
      <c r="R22" s="98"/>
      <c r="S22" s="98"/>
      <c r="T22" s="38"/>
    </row>
    <row r="23" spans="1:21" x14ac:dyDescent="0.25">
      <c r="A23" s="157"/>
      <c r="B23" s="15" t="s">
        <v>60</v>
      </c>
      <c r="C23" s="52">
        <v>0.18827430617415003</v>
      </c>
      <c r="D23" s="52">
        <v>6.0139017101255101</v>
      </c>
      <c r="E23" s="52">
        <v>4.7824190387846122E-3</v>
      </c>
      <c r="F23" s="52">
        <v>1.9992551729580048</v>
      </c>
      <c r="G23" s="52">
        <v>0.54198223605522999</v>
      </c>
      <c r="H23" s="52">
        <v>475.63882978010457</v>
      </c>
      <c r="I23" s="52">
        <v>4.8902166684796682E-2</v>
      </c>
      <c r="J23" s="38"/>
      <c r="K23" s="98"/>
      <c r="L23" s="103"/>
      <c r="M23" s="98"/>
      <c r="N23" s="98"/>
      <c r="O23" s="98"/>
      <c r="P23" s="98"/>
      <c r="Q23" s="98"/>
      <c r="R23" s="98"/>
      <c r="S23" s="98"/>
      <c r="T23" s="38"/>
    </row>
    <row r="24" spans="1:21" x14ac:dyDescent="0.25">
      <c r="A24" s="138" t="s">
        <v>168</v>
      </c>
      <c r="B24" s="37" t="s">
        <v>169</v>
      </c>
      <c r="C24" s="33">
        <v>3.7000218430658419E-3</v>
      </c>
      <c r="D24" s="33">
        <v>6.2634101982439475E-2</v>
      </c>
      <c r="E24" s="33">
        <v>9.743111874295214E-5</v>
      </c>
      <c r="F24" s="33">
        <v>3.1726510581346248E-2</v>
      </c>
      <c r="G24" s="33">
        <v>9.617331005027584E-3</v>
      </c>
      <c r="H24" s="33">
        <v>7.6789352734510308</v>
      </c>
      <c r="I24" s="33">
        <v>8.6775630615361235E-4</v>
      </c>
      <c r="J24" s="38"/>
      <c r="K24" s="38"/>
      <c r="L24" s="93"/>
      <c r="T24" s="38"/>
    </row>
    <row r="25" spans="1:21" x14ac:dyDescent="0.25">
      <c r="A25" s="139"/>
      <c r="B25" s="37" t="s">
        <v>170</v>
      </c>
      <c r="C25" s="33">
        <v>1.8399628356360241E-2</v>
      </c>
      <c r="D25" s="33">
        <v>0.15591083736515837</v>
      </c>
      <c r="E25" s="33">
        <v>1.8265583778656955E-4</v>
      </c>
      <c r="F25" s="33">
        <v>0.1935344365160718</v>
      </c>
      <c r="G25" s="33">
        <v>8.2192831300703303E-2</v>
      </c>
      <c r="H25" s="33">
        <v>14.129245507464486</v>
      </c>
      <c r="I25" s="33">
        <v>7.4161293208883728E-3</v>
      </c>
      <c r="J25" s="38"/>
      <c r="K25" s="38"/>
      <c r="L25" s="93"/>
      <c r="T25" s="38"/>
    </row>
    <row r="26" spans="1:21" x14ac:dyDescent="0.25">
      <c r="A26" s="139"/>
      <c r="B26" s="37" t="s">
        <v>171</v>
      </c>
      <c r="C26" s="33">
        <v>3.3448764765636754E-2</v>
      </c>
      <c r="D26" s="33">
        <v>0.3681523181903652</v>
      </c>
      <c r="E26" s="33">
        <v>3.134708504215872E-4</v>
      </c>
      <c r="F26" s="33">
        <v>0.19793122454097767</v>
      </c>
      <c r="G26" s="33">
        <v>6.2778128266698749E-2</v>
      </c>
      <c r="H26" s="33">
        <v>26.722693407793006</v>
      </c>
      <c r="I26" s="33">
        <v>5.6643699593085083E-3</v>
      </c>
      <c r="J26" s="38"/>
      <c r="K26" s="38"/>
      <c r="L26" s="93"/>
      <c r="T26" s="38"/>
    </row>
    <row r="27" spans="1:21" x14ac:dyDescent="0.25">
      <c r="A27" s="139"/>
      <c r="B27" s="37" t="s">
        <v>172</v>
      </c>
      <c r="C27" s="33">
        <v>3.325451731672846E-2</v>
      </c>
      <c r="D27" s="33">
        <v>0.59096242118882292</v>
      </c>
      <c r="E27" s="33">
        <v>5.4259957372580889E-4</v>
      </c>
      <c r="F27" s="33">
        <v>0.28953177409349906</v>
      </c>
      <c r="G27" s="33">
        <v>7.5243801426827045E-2</v>
      </c>
      <c r="H27" s="33">
        <v>48.223711418672806</v>
      </c>
      <c r="I27" s="33">
        <v>6.7891273836079673E-3</v>
      </c>
      <c r="J27" s="38"/>
      <c r="K27" s="38"/>
      <c r="L27" s="93"/>
      <c r="T27" s="38"/>
    </row>
    <row r="28" spans="1:21" x14ac:dyDescent="0.25">
      <c r="A28" s="139"/>
      <c r="B28" s="37" t="s">
        <v>173</v>
      </c>
      <c r="C28" s="33">
        <v>2.9009654356216857E-2</v>
      </c>
      <c r="D28" s="33">
        <v>0.78746681018600329</v>
      </c>
      <c r="E28" s="33">
        <v>7.6033065817187793E-4</v>
      </c>
      <c r="F28" s="33">
        <v>0.21226135211348907</v>
      </c>
      <c r="G28" s="33">
        <v>7.5911800065735072E-2</v>
      </c>
      <c r="H28" s="33">
        <v>67.574644600470606</v>
      </c>
      <c r="I28" s="33">
        <v>6.8493999113846422E-3</v>
      </c>
      <c r="J28" s="38"/>
      <c r="K28" s="38"/>
      <c r="L28" s="93"/>
      <c r="T28" s="38"/>
    </row>
    <row r="29" spans="1:21" x14ac:dyDescent="0.25">
      <c r="A29" s="139"/>
      <c r="B29" s="37" t="s">
        <v>174</v>
      </c>
      <c r="C29" s="33">
        <v>4.169760719486422E-2</v>
      </c>
      <c r="D29" s="33">
        <v>1.110583803811519</v>
      </c>
      <c r="E29" s="33">
        <v>1.0551973170190355E-3</v>
      </c>
      <c r="F29" s="33">
        <v>0.40296945869392969</v>
      </c>
      <c r="G29" s="33">
        <v>0.10860846066555514</v>
      </c>
      <c r="H29" s="33">
        <v>107.505102453333</v>
      </c>
      <c r="I29" s="33">
        <v>9.7995688083525809E-3</v>
      </c>
      <c r="J29" s="38"/>
      <c r="K29" s="38"/>
      <c r="L29" s="93"/>
      <c r="T29" s="38"/>
    </row>
    <row r="30" spans="1:21" x14ac:dyDescent="0.25">
      <c r="A30" s="139"/>
      <c r="B30" s="37" t="s">
        <v>175</v>
      </c>
      <c r="C30" s="33">
        <v>8.6389290470800795E-2</v>
      </c>
      <c r="D30" s="33">
        <v>2.3356878692086727</v>
      </c>
      <c r="E30" s="33">
        <v>2.2143706679412858E-3</v>
      </c>
      <c r="F30" s="33">
        <v>0.82233724987200518</v>
      </c>
      <c r="G30" s="33">
        <v>0.22474335659556449</v>
      </c>
      <c r="H30" s="33">
        <v>220.23186528550329</v>
      </c>
      <c r="I30" s="33">
        <v>2.0278235854442137E-2</v>
      </c>
      <c r="J30" s="38"/>
      <c r="K30" s="38"/>
      <c r="L30" s="93"/>
      <c r="T30" s="38"/>
    </row>
    <row r="31" spans="1:21" x14ac:dyDescent="0.25">
      <c r="A31" s="139"/>
      <c r="B31" s="37" t="s">
        <v>176</v>
      </c>
      <c r="C31" s="33">
        <v>0.10723346580155503</v>
      </c>
      <c r="D31" s="33">
        <v>3.4948154074498077</v>
      </c>
      <c r="E31" s="33">
        <v>2.708511738188684E-3</v>
      </c>
      <c r="F31" s="33">
        <v>1.1774964073746066</v>
      </c>
      <c r="G31" s="33">
        <v>0.31237996642578547</v>
      </c>
      <c r="H31" s="33">
        <v>269.37703179835518</v>
      </c>
      <c r="I31" s="33">
        <v>2.8185540671371988E-2</v>
      </c>
      <c r="J31" s="38"/>
      <c r="K31" s="38"/>
      <c r="L31" s="93"/>
      <c r="T31" s="38"/>
    </row>
    <row r="32" spans="1:21" x14ac:dyDescent="0.25">
      <c r="A32" s="153" t="s">
        <v>177</v>
      </c>
      <c r="B32" s="37" t="s">
        <v>178</v>
      </c>
      <c r="C32" s="33">
        <v>3.2903002898611415E-3</v>
      </c>
      <c r="D32" s="33">
        <v>6.0351818370876394E-2</v>
      </c>
      <c r="E32" s="33">
        <v>9.7431146584265514E-5</v>
      </c>
      <c r="F32" s="33">
        <v>3.1618350806841208E-2</v>
      </c>
      <c r="G32" s="33">
        <v>9.3956722388321093E-3</v>
      </c>
      <c r="H32" s="33">
        <v>7.6789357543319419</v>
      </c>
      <c r="I32" s="33">
        <v>8.4775634359354974E-4</v>
      </c>
      <c r="J32" s="38"/>
      <c r="K32" s="38"/>
      <c r="L32" s="38"/>
      <c r="M32" s="38"/>
      <c r="N32" s="38"/>
      <c r="O32" s="38"/>
      <c r="P32" s="38"/>
      <c r="Q32" s="38"/>
      <c r="R32" s="38"/>
      <c r="S32" s="88"/>
      <c r="T32" s="39"/>
      <c r="U32" s="39"/>
    </row>
    <row r="33" spans="1:19" x14ac:dyDescent="0.25">
      <c r="A33" s="154"/>
      <c r="B33" s="37" t="s">
        <v>179</v>
      </c>
      <c r="C33" s="33">
        <v>1.7396720472009724E-2</v>
      </c>
      <c r="D33" s="33">
        <v>0.15346606761948517</v>
      </c>
      <c r="E33" s="33">
        <v>1.8265583803462687E-4</v>
      </c>
      <c r="F33" s="33">
        <v>0.18755399158466543</v>
      </c>
      <c r="G33" s="33">
        <v>7.6458894663515881E-2</v>
      </c>
      <c r="H33" s="33">
        <v>14.129242592385312</v>
      </c>
      <c r="I33" s="33">
        <v>6.8987619982596249E-3</v>
      </c>
      <c r="K33" s="38"/>
      <c r="L33" s="38"/>
      <c r="M33" s="38"/>
      <c r="N33" s="38"/>
      <c r="O33" s="38"/>
      <c r="P33" s="38"/>
      <c r="Q33" s="38"/>
      <c r="R33" s="38"/>
      <c r="S33" s="38"/>
    </row>
    <row r="34" spans="1:19" x14ac:dyDescent="0.25">
      <c r="A34" s="154"/>
      <c r="B34" s="37" t="s">
        <v>180</v>
      </c>
      <c r="C34" s="33">
        <v>3.1709942775795155E-2</v>
      </c>
      <c r="D34" s="33">
        <v>0.34743865594346229</v>
      </c>
      <c r="E34" s="33">
        <v>3.1347086879144335E-4</v>
      </c>
      <c r="F34" s="33">
        <v>0.19567962380709361</v>
      </c>
      <c r="G34" s="33">
        <v>5.8641930740096153E-2</v>
      </c>
      <c r="H34" s="33">
        <v>26.722695832208441</v>
      </c>
      <c r="I34" s="33">
        <v>5.2911671598863874E-3</v>
      </c>
      <c r="K34" s="38"/>
      <c r="L34" s="38"/>
      <c r="M34" s="38"/>
      <c r="N34" s="38"/>
      <c r="O34" s="38"/>
      <c r="P34" s="38"/>
      <c r="Q34" s="38"/>
      <c r="R34" s="38"/>
      <c r="S34" s="38"/>
    </row>
    <row r="35" spans="1:19" x14ac:dyDescent="0.25">
      <c r="A35" s="154"/>
      <c r="B35" s="37" t="s">
        <v>181</v>
      </c>
      <c r="C35" s="33">
        <v>3.1676639454112171E-2</v>
      </c>
      <c r="D35" s="33">
        <v>0.55570626718065985</v>
      </c>
      <c r="E35" s="33">
        <v>5.4259958295527851E-4</v>
      </c>
      <c r="F35" s="33">
        <v>0.28809166684048632</v>
      </c>
      <c r="G35" s="33">
        <v>7.0961880335545346E-2</v>
      </c>
      <c r="H35" s="33">
        <v>48.223718880862187</v>
      </c>
      <c r="I35" s="33">
        <v>6.4027736698685995E-3</v>
      </c>
      <c r="K35" s="38"/>
      <c r="L35" s="38"/>
      <c r="M35" s="38"/>
      <c r="N35" s="38"/>
      <c r="O35" s="38"/>
      <c r="P35" s="38"/>
      <c r="Q35" s="38"/>
      <c r="R35" s="38"/>
      <c r="S35" s="38"/>
    </row>
    <row r="36" spans="1:19" x14ac:dyDescent="0.25">
      <c r="A36" s="154"/>
      <c r="B36" s="37" t="s">
        <v>182</v>
      </c>
      <c r="C36" s="33">
        <v>2.7195650853984048E-2</v>
      </c>
      <c r="D36" s="33">
        <v>0.74076653329900899</v>
      </c>
      <c r="E36" s="33">
        <v>7.6033063163936151E-4</v>
      </c>
      <c r="F36" s="33">
        <v>0.20101915288471109</v>
      </c>
      <c r="G36" s="33">
        <v>7.1589444380089101E-2</v>
      </c>
      <c r="H36" s="33">
        <v>67.574628362385084</v>
      </c>
      <c r="I36" s="33">
        <v>6.4594017912534413E-3</v>
      </c>
      <c r="K36" s="38"/>
      <c r="L36" s="38"/>
      <c r="M36" s="38"/>
      <c r="N36" s="38"/>
      <c r="O36" s="38"/>
      <c r="P36" s="38"/>
      <c r="Q36" s="38"/>
      <c r="R36" s="38"/>
      <c r="S36" s="38"/>
    </row>
    <row r="37" spans="1:19" x14ac:dyDescent="0.25">
      <c r="A37" s="154"/>
      <c r="B37" s="37" t="s">
        <v>183</v>
      </c>
      <c r="C37" s="33">
        <v>3.9322932968231562E-2</v>
      </c>
      <c r="D37" s="33">
        <v>1.044875360711242</v>
      </c>
      <c r="E37" s="33">
        <v>1.0551979065758059E-3</v>
      </c>
      <c r="F37" s="33">
        <v>0.37266200284083328</v>
      </c>
      <c r="G37" s="33">
        <v>0.10327325871714316</v>
      </c>
      <c r="H37" s="33">
        <v>107.50513430989052</v>
      </c>
      <c r="I37" s="33">
        <v>9.3181813322807464E-3</v>
      </c>
      <c r="K37" s="38"/>
      <c r="L37" s="38"/>
      <c r="M37" s="38"/>
      <c r="N37" s="38"/>
      <c r="O37" s="38"/>
      <c r="P37" s="38"/>
      <c r="Q37" s="38"/>
      <c r="R37" s="38"/>
      <c r="S37" s="38"/>
    </row>
    <row r="38" spans="1:19" x14ac:dyDescent="0.25">
      <c r="A38" s="154"/>
      <c r="B38" s="37" t="s">
        <v>184</v>
      </c>
      <c r="C38" s="33">
        <v>8.1552394524264785E-2</v>
      </c>
      <c r="D38" s="33">
        <v>2.1992306970093716</v>
      </c>
      <c r="E38" s="33">
        <v>2.2143711569758569E-3</v>
      </c>
      <c r="F38" s="33">
        <v>0.76093309512184293</v>
      </c>
      <c r="G38" s="33">
        <v>0.21338242553213027</v>
      </c>
      <c r="H38" s="33">
        <v>220.2319084810523</v>
      </c>
      <c r="I38" s="33">
        <v>1.9253158733331964E-2</v>
      </c>
      <c r="K38" s="38"/>
      <c r="L38" s="38"/>
      <c r="M38" s="38"/>
      <c r="N38" s="38"/>
      <c r="O38" s="38"/>
      <c r="P38" s="38"/>
      <c r="Q38" s="38"/>
      <c r="R38" s="38"/>
      <c r="S38" s="38"/>
    </row>
    <row r="39" spans="1:19" x14ac:dyDescent="0.25">
      <c r="A39" s="154"/>
      <c r="B39" s="37" t="s">
        <v>185</v>
      </c>
      <c r="C39" s="33">
        <v>0.10231027633243897</v>
      </c>
      <c r="D39" s="33">
        <v>3.3662902896027194</v>
      </c>
      <c r="E39" s="33">
        <v>2.7085124782902071E-3</v>
      </c>
      <c r="F39" s="33">
        <v>1.0887959746988425</v>
      </c>
      <c r="G39" s="33">
        <v>0.2952096997260914</v>
      </c>
      <c r="H39" s="33">
        <v>269.37710996950443</v>
      </c>
      <c r="I39" s="33">
        <v>2.6636293126600673E-2</v>
      </c>
      <c r="K39" s="38"/>
      <c r="L39" s="38"/>
      <c r="M39" s="38"/>
      <c r="N39" s="38"/>
      <c r="O39" s="38"/>
      <c r="P39" s="38"/>
      <c r="Q39" s="38"/>
      <c r="R39" s="38"/>
      <c r="S39" s="38"/>
    </row>
    <row r="40" spans="1:19" x14ac:dyDescent="0.25">
      <c r="K40" s="38"/>
      <c r="L40" s="38"/>
      <c r="M40" s="91"/>
      <c r="N40" s="91"/>
      <c r="O40" s="91"/>
      <c r="P40" s="91"/>
      <c r="Q40" s="91"/>
      <c r="R40" s="91"/>
      <c r="S40" s="91"/>
    </row>
    <row r="41" spans="1:19" x14ac:dyDescent="0.25">
      <c r="A41" s="125" t="s">
        <v>32</v>
      </c>
      <c r="B41" s="141"/>
      <c r="C41" s="142"/>
      <c r="D41" s="142"/>
      <c r="E41" s="143"/>
      <c r="K41" s="38"/>
      <c r="L41" s="38"/>
      <c r="M41" s="39"/>
      <c r="N41" s="39"/>
      <c r="O41" s="39"/>
      <c r="P41" s="39"/>
      <c r="Q41" s="39"/>
      <c r="R41" s="39"/>
      <c r="S41" s="39"/>
    </row>
    <row r="42" spans="1:19" x14ac:dyDescent="0.25">
      <c r="A42" s="126"/>
      <c r="B42" s="144"/>
      <c r="C42" s="145"/>
      <c r="D42" s="145"/>
      <c r="E42" s="146"/>
      <c r="K42" s="38"/>
      <c r="L42" s="93"/>
      <c r="M42" s="93"/>
      <c r="N42" s="93"/>
      <c r="O42" s="93"/>
      <c r="P42" s="93"/>
      <c r="Q42" s="93"/>
      <c r="R42" s="93"/>
      <c r="S42" s="93"/>
    </row>
    <row r="43" spans="1:19" x14ac:dyDescent="0.25">
      <c r="A43" s="126"/>
      <c r="B43" s="147"/>
      <c r="C43" s="148"/>
      <c r="D43" s="148"/>
      <c r="E43" s="149"/>
      <c r="K43" s="38"/>
      <c r="L43" s="38"/>
      <c r="M43" s="38"/>
      <c r="N43" s="38"/>
      <c r="O43" s="38"/>
      <c r="P43" s="38"/>
      <c r="Q43" s="38"/>
      <c r="R43" s="38"/>
      <c r="S43" s="38"/>
    </row>
    <row r="44" spans="1:19" x14ac:dyDescent="0.25">
      <c r="A44" s="126"/>
      <c r="B44" s="128" t="s">
        <v>33</v>
      </c>
      <c r="C44" s="150"/>
      <c r="D44" s="150"/>
      <c r="E44" s="129"/>
      <c r="K44" s="38"/>
      <c r="L44" s="38"/>
      <c r="M44" s="38"/>
      <c r="N44" s="38"/>
      <c r="O44" s="38"/>
      <c r="P44" s="38"/>
      <c r="Q44" s="38"/>
      <c r="R44" s="38"/>
      <c r="S44" s="38"/>
    </row>
    <row r="45" spans="1:19" x14ac:dyDescent="0.25">
      <c r="A45" s="126"/>
      <c r="B45" s="130"/>
      <c r="C45" s="151"/>
      <c r="D45" s="151"/>
      <c r="E45" s="131"/>
      <c r="K45" s="38"/>
      <c r="L45" s="38"/>
      <c r="M45" s="38"/>
      <c r="N45" s="38"/>
      <c r="O45" s="38"/>
      <c r="P45" s="38"/>
      <c r="Q45" s="38"/>
      <c r="R45" s="38"/>
      <c r="S45" s="38"/>
    </row>
    <row r="46" spans="1:19" x14ac:dyDescent="0.25">
      <c r="A46" s="126"/>
      <c r="B46" s="130"/>
      <c r="C46" s="151"/>
      <c r="D46" s="151"/>
      <c r="E46" s="131"/>
      <c r="K46" s="38"/>
      <c r="L46" s="38"/>
      <c r="M46" s="38"/>
      <c r="N46" s="38"/>
      <c r="O46" s="38"/>
      <c r="P46" s="38"/>
      <c r="Q46" s="38"/>
      <c r="R46" s="38"/>
      <c r="S46" s="38"/>
    </row>
    <row r="47" spans="1:19" x14ac:dyDescent="0.25">
      <c r="A47" s="127"/>
      <c r="B47" s="132"/>
      <c r="C47" s="152"/>
      <c r="D47" s="152"/>
      <c r="E47" s="133"/>
      <c r="K47" s="38"/>
      <c r="L47" s="38"/>
      <c r="M47" s="38"/>
      <c r="N47" s="38"/>
      <c r="O47" s="38"/>
      <c r="P47" s="38"/>
      <c r="Q47" s="38"/>
      <c r="R47" s="38"/>
      <c r="S47" s="38"/>
    </row>
    <row r="48" spans="1:19" x14ac:dyDescent="0.25">
      <c r="K48" s="38"/>
      <c r="L48" s="38"/>
      <c r="M48" s="38"/>
      <c r="N48" s="38"/>
      <c r="O48" s="38"/>
      <c r="P48" s="38"/>
      <c r="Q48" s="38"/>
      <c r="R48" s="38"/>
      <c r="S48" s="38"/>
    </row>
    <row r="49" spans="1:19" x14ac:dyDescent="0.25">
      <c r="A49" s="2" t="s">
        <v>221</v>
      </c>
      <c r="K49" s="38"/>
      <c r="L49" s="38"/>
      <c r="M49" s="38"/>
      <c r="N49" s="38"/>
      <c r="O49" s="38"/>
      <c r="P49" s="38"/>
      <c r="Q49" s="38"/>
      <c r="R49" s="38"/>
      <c r="S49" s="38"/>
    </row>
    <row r="50" spans="1:19" x14ac:dyDescent="0.25">
      <c r="A50" s="2" t="s">
        <v>222</v>
      </c>
    </row>
    <row r="51" spans="1:19" x14ac:dyDescent="0.25">
      <c r="A51" s="1" t="s">
        <v>223</v>
      </c>
    </row>
    <row r="52" spans="1:19" x14ac:dyDescent="0.25">
      <c r="A52" s="1" t="s">
        <v>224</v>
      </c>
    </row>
    <row r="53" spans="1:19" x14ac:dyDescent="0.25">
      <c r="A53" s="1" t="s">
        <v>225</v>
      </c>
    </row>
    <row r="54" spans="1:19" x14ac:dyDescent="0.25">
      <c r="A54" s="1" t="s">
        <v>226</v>
      </c>
    </row>
  </sheetData>
  <sheetProtection password="B056" sheet="1" objects="1" scenarios="1"/>
  <mergeCells count="8">
    <mergeCell ref="A3:A9"/>
    <mergeCell ref="A24:A31"/>
    <mergeCell ref="A10:A14"/>
    <mergeCell ref="A41:A47"/>
    <mergeCell ref="B41:E43"/>
    <mergeCell ref="B44:E47"/>
    <mergeCell ref="A32:A39"/>
    <mergeCell ref="A15:A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7" sqref="F17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58" t="s">
        <v>66</v>
      </c>
      <c r="B1" s="159"/>
      <c r="C1" s="159"/>
      <c r="D1" s="159"/>
    </row>
    <row r="2" spans="1:5" x14ac:dyDescent="0.25">
      <c r="A2" s="27"/>
      <c r="B2" s="27" t="s">
        <v>2</v>
      </c>
      <c r="C2" s="27" t="s">
        <v>62</v>
      </c>
      <c r="D2" s="27" t="s">
        <v>63</v>
      </c>
    </row>
    <row r="3" spans="1:5" x14ac:dyDescent="0.25">
      <c r="A3" s="26" t="s">
        <v>64</v>
      </c>
      <c r="B3" s="71">
        <v>0.74</v>
      </c>
      <c r="C3" s="71">
        <v>0.35</v>
      </c>
      <c r="D3" s="71">
        <v>5.2999999999999999E-2</v>
      </c>
    </row>
    <row r="5" spans="1:5" x14ac:dyDescent="0.25">
      <c r="A5" s="125" t="s">
        <v>32</v>
      </c>
      <c r="B5" s="43"/>
      <c r="C5" s="44"/>
      <c r="D5" s="44"/>
      <c r="E5" s="49"/>
    </row>
    <row r="6" spans="1:5" x14ac:dyDescent="0.25">
      <c r="A6" s="126"/>
      <c r="B6" s="45"/>
      <c r="C6" s="46"/>
      <c r="D6" s="46"/>
      <c r="E6" s="49"/>
    </row>
    <row r="7" spans="1:5" x14ac:dyDescent="0.25">
      <c r="A7" s="126"/>
      <c r="B7" s="47"/>
      <c r="C7" s="48"/>
      <c r="D7" s="48"/>
      <c r="E7" s="49"/>
    </row>
    <row r="8" spans="1:5" ht="15" customHeight="1" x14ac:dyDescent="0.25">
      <c r="A8" s="126"/>
      <c r="B8" s="128" t="s">
        <v>65</v>
      </c>
      <c r="C8" s="150"/>
      <c r="D8" s="150"/>
      <c r="E8" s="50"/>
    </row>
    <row r="9" spans="1:5" x14ac:dyDescent="0.25">
      <c r="A9" s="126"/>
      <c r="B9" s="130"/>
      <c r="C9" s="151"/>
      <c r="D9" s="151"/>
      <c r="E9" s="50"/>
    </row>
    <row r="10" spans="1:5" ht="17.25" customHeight="1" x14ac:dyDescent="0.25">
      <c r="A10" s="126"/>
      <c r="B10" s="130"/>
      <c r="C10" s="151"/>
      <c r="D10" s="151"/>
      <c r="E10" s="50"/>
    </row>
    <row r="11" spans="1:5" ht="19.5" customHeight="1" x14ac:dyDescent="0.25">
      <c r="A11" s="127"/>
      <c r="B11" s="132"/>
      <c r="C11" s="152"/>
      <c r="D11" s="152"/>
      <c r="E11" s="50"/>
    </row>
  </sheetData>
  <sheetProtection password="B056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7"/>
  <sheetViews>
    <sheetView topLeftCell="A22" workbookViewId="0">
      <selection activeCell="F37" sqref="F37"/>
    </sheetView>
  </sheetViews>
  <sheetFormatPr defaultRowHeight="15" x14ac:dyDescent="0.25"/>
  <cols>
    <col min="1" max="1" width="15.5703125" customWidth="1"/>
    <col min="2" max="3" width="15.7109375" customWidth="1"/>
    <col min="4" max="4" width="18.140625" customWidth="1"/>
    <col min="5" max="5" width="15.7109375" customWidth="1"/>
    <col min="6" max="7" width="12.85546875" customWidth="1"/>
    <col min="8" max="8" width="17.42578125" customWidth="1"/>
    <col min="9" max="9" width="17.7109375" customWidth="1"/>
    <col min="10" max="10" width="12.85546875" customWidth="1"/>
    <col min="11" max="11" width="12.140625" customWidth="1"/>
  </cols>
  <sheetData>
    <row r="1" spans="1:10" x14ac:dyDescent="0.25">
      <c r="A1" s="2" t="s">
        <v>86</v>
      </c>
      <c r="B1" s="2"/>
      <c r="C1" s="2"/>
      <c r="D1" s="2"/>
      <c r="F1" s="124" t="s">
        <v>109</v>
      </c>
      <c r="G1" s="124"/>
      <c r="H1" s="124"/>
      <c r="I1" s="124"/>
      <c r="J1" s="124"/>
    </row>
    <row r="2" spans="1:10" ht="33.75" x14ac:dyDescent="0.25">
      <c r="A2" s="160" t="s">
        <v>87</v>
      </c>
      <c r="B2" s="160"/>
      <c r="C2" s="160"/>
      <c r="D2" s="160"/>
      <c r="F2" s="94" t="s">
        <v>110</v>
      </c>
      <c r="G2" s="106" t="s">
        <v>111</v>
      </c>
      <c r="H2" s="106" t="s">
        <v>112</v>
      </c>
      <c r="I2" s="94" t="s">
        <v>114</v>
      </c>
      <c r="J2" s="94" t="s">
        <v>115</v>
      </c>
    </row>
    <row r="3" spans="1:10" x14ac:dyDescent="0.25">
      <c r="A3" s="161" t="s">
        <v>88</v>
      </c>
      <c r="B3" s="161"/>
      <c r="C3" s="161"/>
      <c r="D3" s="161"/>
      <c r="F3" s="71" t="s">
        <v>116</v>
      </c>
      <c r="G3" s="71">
        <v>0</v>
      </c>
      <c r="H3" s="71">
        <v>0</v>
      </c>
      <c r="I3" s="71">
        <v>31</v>
      </c>
      <c r="J3" s="72">
        <f>(I3-H3)/I3</f>
        <v>1</v>
      </c>
    </row>
    <row r="4" spans="1:10" x14ac:dyDescent="0.25">
      <c r="A4" s="162" t="s">
        <v>89</v>
      </c>
      <c r="B4" s="162" t="s">
        <v>90</v>
      </c>
      <c r="C4" s="162"/>
      <c r="D4" s="162"/>
      <c r="F4" s="71" t="s">
        <v>117</v>
      </c>
      <c r="G4" s="71">
        <v>52</v>
      </c>
      <c r="H4" s="71">
        <v>7</v>
      </c>
      <c r="I4" s="71">
        <v>28</v>
      </c>
      <c r="J4" s="72">
        <f t="shared" ref="J4:J14" si="0">(I4-H4)/I4</f>
        <v>0.75</v>
      </c>
    </row>
    <row r="5" spans="1:10" x14ac:dyDescent="0.25">
      <c r="A5" s="162"/>
      <c r="B5" s="62" t="s">
        <v>91</v>
      </c>
      <c r="C5" s="62" t="s">
        <v>92</v>
      </c>
      <c r="D5" s="62" t="s">
        <v>93</v>
      </c>
      <c r="F5" s="71" t="s">
        <v>118</v>
      </c>
      <c r="G5" s="71">
        <v>69</v>
      </c>
      <c r="H5" s="71">
        <v>7</v>
      </c>
      <c r="I5" s="71">
        <v>31</v>
      </c>
      <c r="J5" s="72">
        <f t="shared" si="0"/>
        <v>0.77419354838709675</v>
      </c>
    </row>
    <row r="6" spans="1:10" x14ac:dyDescent="0.25">
      <c r="A6" s="63" t="s">
        <v>94</v>
      </c>
      <c r="B6" s="63">
        <v>0.15</v>
      </c>
      <c r="C6" s="63">
        <v>1.5</v>
      </c>
      <c r="D6" s="63">
        <v>4.9000000000000004</v>
      </c>
      <c r="F6" s="71" t="s">
        <v>119</v>
      </c>
      <c r="G6" s="71">
        <v>44</v>
      </c>
      <c r="H6" s="71">
        <v>8</v>
      </c>
      <c r="I6" s="71">
        <v>30</v>
      </c>
      <c r="J6" s="72">
        <f t="shared" si="0"/>
        <v>0.73333333333333328</v>
      </c>
    </row>
    <row r="7" spans="1:10" x14ac:dyDescent="0.25">
      <c r="A7" s="63" t="s">
        <v>95</v>
      </c>
      <c r="B7" s="63">
        <v>0.9</v>
      </c>
      <c r="C7" s="63">
        <v>0.9</v>
      </c>
      <c r="D7" s="63">
        <v>0.7</v>
      </c>
      <c r="F7" s="71" t="s">
        <v>120</v>
      </c>
      <c r="G7" s="71">
        <v>185.8</v>
      </c>
      <c r="H7" s="71">
        <v>16</v>
      </c>
      <c r="I7" s="71">
        <v>31</v>
      </c>
      <c r="J7" s="72">
        <f t="shared" si="0"/>
        <v>0.4838709677419355</v>
      </c>
    </row>
    <row r="8" spans="1:10" x14ac:dyDescent="0.25">
      <c r="A8" s="63" t="s">
        <v>96</v>
      </c>
      <c r="B8" s="63">
        <v>0.45</v>
      </c>
      <c r="C8" s="63">
        <v>0.45</v>
      </c>
      <c r="D8" s="63">
        <v>0.45</v>
      </c>
      <c r="F8" s="71" t="s">
        <v>121</v>
      </c>
      <c r="G8" s="71">
        <v>119.2</v>
      </c>
      <c r="H8" s="71">
        <v>9</v>
      </c>
      <c r="I8" s="71">
        <v>30</v>
      </c>
      <c r="J8" s="72">
        <f t="shared" si="0"/>
        <v>0.7</v>
      </c>
    </row>
    <row r="9" spans="1:10" x14ac:dyDescent="0.25">
      <c r="A9" s="63" t="s">
        <v>98</v>
      </c>
      <c r="B9" s="28">
        <v>281.89999999999998</v>
      </c>
      <c r="C9" s="63" t="s">
        <v>99</v>
      </c>
      <c r="D9" s="63"/>
      <c r="F9" s="71" t="s">
        <v>122</v>
      </c>
      <c r="G9" s="71">
        <v>17.8</v>
      </c>
      <c r="H9" s="71">
        <v>6</v>
      </c>
      <c r="I9" s="71">
        <v>31</v>
      </c>
      <c r="J9" s="72">
        <f t="shared" si="0"/>
        <v>0.80645161290322576</v>
      </c>
    </row>
    <row r="10" spans="1:10" ht="17.25" customHeight="1" x14ac:dyDescent="0.25">
      <c r="A10" s="162" t="s">
        <v>97</v>
      </c>
      <c r="B10" s="162"/>
      <c r="C10" s="162"/>
      <c r="D10" s="162"/>
      <c r="F10" s="71" t="s">
        <v>123</v>
      </c>
      <c r="G10" s="71">
        <v>70.2</v>
      </c>
      <c r="H10" s="71">
        <v>11</v>
      </c>
      <c r="I10" s="71">
        <v>31</v>
      </c>
      <c r="J10" s="72">
        <f t="shared" si="0"/>
        <v>0.64516129032258063</v>
      </c>
    </row>
    <row r="11" spans="1:10" ht="17.25" customHeight="1" x14ac:dyDescent="0.25">
      <c r="A11" s="162"/>
      <c r="B11" s="162"/>
      <c r="C11" s="162"/>
      <c r="D11" s="162"/>
      <c r="F11" s="71" t="s">
        <v>124</v>
      </c>
      <c r="G11" s="71">
        <v>25.2</v>
      </c>
      <c r="H11" s="71">
        <v>7</v>
      </c>
      <c r="I11" s="71">
        <v>30</v>
      </c>
      <c r="J11" s="72">
        <f t="shared" si="0"/>
        <v>0.76666666666666672</v>
      </c>
    </row>
    <row r="12" spans="1:10" ht="15.75" customHeight="1" x14ac:dyDescent="0.25">
      <c r="A12" s="162"/>
      <c r="B12" s="163" t="s">
        <v>129</v>
      </c>
      <c r="C12" s="163"/>
      <c r="D12" s="163"/>
      <c r="F12" s="71" t="s">
        <v>125</v>
      </c>
      <c r="G12" s="71">
        <v>54.4</v>
      </c>
      <c r="H12" s="71">
        <v>6</v>
      </c>
      <c r="I12" s="71">
        <v>31</v>
      </c>
      <c r="J12" s="72">
        <f t="shared" si="0"/>
        <v>0.80645161290322576</v>
      </c>
    </row>
    <row r="13" spans="1:10" ht="15.75" customHeight="1" x14ac:dyDescent="0.25">
      <c r="A13" s="162"/>
      <c r="B13" s="163"/>
      <c r="C13" s="163"/>
      <c r="D13" s="163"/>
      <c r="F13" s="71" t="s">
        <v>126</v>
      </c>
      <c r="G13" s="73">
        <v>48.6</v>
      </c>
      <c r="H13" s="71">
        <v>9</v>
      </c>
      <c r="I13" s="71">
        <v>30</v>
      </c>
      <c r="J13" s="72">
        <f t="shared" si="0"/>
        <v>0.7</v>
      </c>
    </row>
    <row r="14" spans="1:10" ht="15.75" customHeight="1" x14ac:dyDescent="0.25">
      <c r="A14" s="162"/>
      <c r="B14" s="163"/>
      <c r="C14" s="163"/>
      <c r="D14" s="163"/>
      <c r="F14" s="71" t="s">
        <v>127</v>
      </c>
      <c r="G14" s="71">
        <v>91.4</v>
      </c>
      <c r="H14" s="71">
        <v>6</v>
      </c>
      <c r="I14" s="71">
        <v>31</v>
      </c>
      <c r="J14" s="72">
        <f t="shared" si="0"/>
        <v>0.80645161290322576</v>
      </c>
    </row>
    <row r="15" spans="1:10" ht="15.75" customHeight="1" x14ac:dyDescent="0.25">
      <c r="A15" s="162"/>
      <c r="B15" s="163"/>
      <c r="C15" s="163"/>
      <c r="D15" s="163"/>
      <c r="F15" s="94" t="s">
        <v>128</v>
      </c>
      <c r="G15" s="12">
        <f>(365-SUM(H3:H14))/365</f>
        <v>0.74794520547945209</v>
      </c>
      <c r="H15" s="2"/>
      <c r="I15" s="104"/>
      <c r="J15" s="2"/>
    </row>
    <row r="16" spans="1:10" ht="15.75" customHeight="1" x14ac:dyDescent="0.25">
      <c r="A16" s="162"/>
      <c r="B16" s="163"/>
      <c r="C16" s="163"/>
      <c r="D16" s="163"/>
      <c r="H16" s="1"/>
      <c r="I16" s="1"/>
      <c r="J16" s="1"/>
    </row>
    <row r="18" spans="1:11" x14ac:dyDescent="0.25">
      <c r="A18" s="65" t="s">
        <v>102</v>
      </c>
      <c r="B18" s="65"/>
      <c r="C18" s="65"/>
      <c r="D18" s="65"/>
      <c r="F18" s="124" t="s">
        <v>109</v>
      </c>
      <c r="G18" s="124"/>
      <c r="H18" s="124"/>
      <c r="I18" s="124"/>
      <c r="J18" s="124"/>
      <c r="K18" s="124"/>
    </row>
    <row r="19" spans="1:11" ht="33.75" x14ac:dyDescent="0.25">
      <c r="A19" s="160" t="s">
        <v>100</v>
      </c>
      <c r="B19" s="160"/>
      <c r="C19" s="160"/>
      <c r="D19" s="160"/>
      <c r="F19" s="94" t="s">
        <v>110</v>
      </c>
      <c r="G19" s="106" t="s">
        <v>111</v>
      </c>
      <c r="H19" s="106" t="s">
        <v>112</v>
      </c>
      <c r="I19" s="106" t="s">
        <v>113</v>
      </c>
      <c r="J19" s="94" t="s">
        <v>114</v>
      </c>
      <c r="K19" s="94" t="s">
        <v>115</v>
      </c>
    </row>
    <row r="20" spans="1:11" x14ac:dyDescent="0.25">
      <c r="A20" s="161" t="s">
        <v>103</v>
      </c>
      <c r="B20" s="161"/>
      <c r="C20" s="161"/>
      <c r="D20" s="161"/>
      <c r="F20" s="71" t="s">
        <v>116</v>
      </c>
      <c r="G20" s="71">
        <v>0</v>
      </c>
      <c r="H20" s="71">
        <v>0</v>
      </c>
      <c r="I20" s="71">
        <v>0</v>
      </c>
      <c r="J20" s="71">
        <v>31</v>
      </c>
      <c r="K20" s="72">
        <f>1-((1.2*I20)/(J20*24))</f>
        <v>1</v>
      </c>
    </row>
    <row r="21" spans="1:11" x14ac:dyDescent="0.25">
      <c r="B21" s="62" t="s">
        <v>91</v>
      </c>
      <c r="C21" s="62" t="s">
        <v>92</v>
      </c>
      <c r="D21" s="62" t="s">
        <v>93</v>
      </c>
      <c r="F21" s="71" t="s">
        <v>117</v>
      </c>
      <c r="G21" s="71">
        <v>52</v>
      </c>
      <c r="H21" s="71">
        <v>7</v>
      </c>
      <c r="I21" s="71">
        <v>17</v>
      </c>
      <c r="J21" s="71">
        <v>28</v>
      </c>
      <c r="K21" s="72">
        <f t="shared" ref="K21:K30" si="1">1-((1.2*I21)/(J21*24))</f>
        <v>0.96964285714285714</v>
      </c>
    </row>
    <row r="22" spans="1:11" x14ac:dyDescent="0.25">
      <c r="A22" s="63" t="s">
        <v>101</v>
      </c>
      <c r="B22" s="2">
        <v>0.15</v>
      </c>
      <c r="C22" s="2">
        <v>0.62</v>
      </c>
      <c r="D22" s="2">
        <v>3.23</v>
      </c>
      <c r="E22" s="64"/>
      <c r="F22" s="71" t="s">
        <v>118</v>
      </c>
      <c r="G22" s="71">
        <v>69</v>
      </c>
      <c r="H22" s="71">
        <v>7</v>
      </c>
      <c r="I22" s="71">
        <v>21</v>
      </c>
      <c r="J22" s="71">
        <v>31</v>
      </c>
      <c r="K22" s="72">
        <f t="shared" si="1"/>
        <v>0.96612903225806457</v>
      </c>
    </row>
    <row r="23" spans="1:11" x14ac:dyDescent="0.25">
      <c r="A23" s="125" t="s">
        <v>32</v>
      </c>
      <c r="B23" s="141"/>
      <c r="C23" s="142"/>
      <c r="D23" s="142"/>
      <c r="E23" s="63"/>
      <c r="F23" s="71" t="s">
        <v>119</v>
      </c>
      <c r="G23" s="71">
        <v>44</v>
      </c>
      <c r="H23" s="71">
        <v>8</v>
      </c>
      <c r="I23" s="71">
        <v>17</v>
      </c>
      <c r="J23" s="71">
        <v>30</v>
      </c>
      <c r="K23" s="72">
        <f t="shared" si="1"/>
        <v>0.97166666666666668</v>
      </c>
    </row>
    <row r="24" spans="1:11" x14ac:dyDescent="0.25">
      <c r="A24" s="126"/>
      <c r="B24" s="144"/>
      <c r="C24" s="145"/>
      <c r="D24" s="145"/>
      <c r="E24" s="64"/>
      <c r="F24" s="71" t="s">
        <v>120</v>
      </c>
      <c r="G24" s="71">
        <v>185.8</v>
      </c>
      <c r="H24" s="71">
        <v>16</v>
      </c>
      <c r="I24" s="71">
        <v>87</v>
      </c>
      <c r="J24" s="71">
        <v>31</v>
      </c>
      <c r="K24" s="72">
        <f t="shared" si="1"/>
        <v>0.85967741935483866</v>
      </c>
    </row>
    <row r="25" spans="1:11" x14ac:dyDescent="0.25">
      <c r="A25" s="126"/>
      <c r="B25" s="147"/>
      <c r="C25" s="148"/>
      <c r="D25" s="148"/>
      <c r="E25" s="64"/>
      <c r="F25" s="71" t="s">
        <v>121</v>
      </c>
      <c r="G25" s="71">
        <v>119.2</v>
      </c>
      <c r="H25" s="71">
        <v>9</v>
      </c>
      <c r="I25" s="71">
        <v>37</v>
      </c>
      <c r="J25" s="71">
        <v>30</v>
      </c>
      <c r="K25" s="72">
        <f t="shared" si="1"/>
        <v>0.93833333333333335</v>
      </c>
    </row>
    <row r="26" spans="1:11" x14ac:dyDescent="0.25">
      <c r="A26" s="126"/>
      <c r="B26" s="128" t="s">
        <v>130</v>
      </c>
      <c r="C26" s="150"/>
      <c r="D26" s="150"/>
      <c r="F26" s="71" t="s">
        <v>122</v>
      </c>
      <c r="G26" s="71">
        <v>17.8</v>
      </c>
      <c r="H26" s="71">
        <v>6</v>
      </c>
      <c r="I26" s="71">
        <v>16</v>
      </c>
      <c r="J26" s="71">
        <v>31</v>
      </c>
      <c r="K26" s="72">
        <f t="shared" si="1"/>
        <v>0.97419354838709682</v>
      </c>
    </row>
    <row r="27" spans="1:11" x14ac:dyDescent="0.25">
      <c r="A27" s="126"/>
      <c r="B27" s="130"/>
      <c r="C27" s="151"/>
      <c r="D27" s="151"/>
      <c r="F27" s="71" t="s">
        <v>123</v>
      </c>
      <c r="G27" s="71">
        <v>70.2</v>
      </c>
      <c r="H27" s="71">
        <v>11</v>
      </c>
      <c r="I27" s="71">
        <v>41</v>
      </c>
      <c r="J27" s="71">
        <v>31</v>
      </c>
      <c r="K27" s="72">
        <f t="shared" si="1"/>
        <v>0.93387096774193545</v>
      </c>
    </row>
    <row r="28" spans="1:11" x14ac:dyDescent="0.25">
      <c r="A28" s="126"/>
      <c r="B28" s="130"/>
      <c r="C28" s="151"/>
      <c r="D28" s="151"/>
      <c r="F28" s="71" t="s">
        <v>124</v>
      </c>
      <c r="G28" s="71">
        <v>25.2</v>
      </c>
      <c r="H28" s="71">
        <v>7</v>
      </c>
      <c r="I28" s="71">
        <v>20</v>
      </c>
      <c r="J28" s="71">
        <v>30</v>
      </c>
      <c r="K28" s="72">
        <f t="shared" si="1"/>
        <v>0.96666666666666667</v>
      </c>
    </row>
    <row r="29" spans="1:11" x14ac:dyDescent="0.25">
      <c r="A29" s="126"/>
      <c r="B29" s="130"/>
      <c r="C29" s="151"/>
      <c r="D29" s="151"/>
      <c r="F29" s="71" t="s">
        <v>125</v>
      </c>
      <c r="G29" s="71">
        <v>54.4</v>
      </c>
      <c r="H29" s="71">
        <v>6</v>
      </c>
      <c r="I29" s="71">
        <v>29</v>
      </c>
      <c r="J29" s="71">
        <v>31</v>
      </c>
      <c r="K29" s="72">
        <f t="shared" si="1"/>
        <v>0.95322580645161292</v>
      </c>
    </row>
    <row r="30" spans="1:11" x14ac:dyDescent="0.25">
      <c r="A30" s="126"/>
      <c r="B30" s="130"/>
      <c r="C30" s="151"/>
      <c r="D30" s="151"/>
      <c r="F30" s="71" t="s">
        <v>126</v>
      </c>
      <c r="G30" s="73">
        <v>48.6</v>
      </c>
      <c r="H30" s="71">
        <v>9</v>
      </c>
      <c r="I30" s="71">
        <v>30</v>
      </c>
      <c r="J30" s="71">
        <v>30</v>
      </c>
      <c r="K30" s="72">
        <f t="shared" si="1"/>
        <v>0.95</v>
      </c>
    </row>
    <row r="31" spans="1:11" x14ac:dyDescent="0.25">
      <c r="A31" s="126"/>
      <c r="B31" s="130"/>
      <c r="C31" s="151"/>
      <c r="D31" s="151"/>
      <c r="F31" s="71" t="s">
        <v>127</v>
      </c>
      <c r="G31" s="71">
        <v>91.4</v>
      </c>
      <c r="H31" s="71">
        <v>6</v>
      </c>
      <c r="I31" s="71">
        <v>22</v>
      </c>
      <c r="J31" s="71">
        <v>31</v>
      </c>
      <c r="K31" s="72">
        <f>1-((1.2*I31)/(J31*24))</f>
        <v>0.96451612903225803</v>
      </c>
    </row>
    <row r="32" spans="1:11" x14ac:dyDescent="0.25">
      <c r="A32" s="127"/>
      <c r="B32" s="132"/>
      <c r="C32" s="152"/>
      <c r="D32" s="152"/>
      <c r="F32" s="94" t="s">
        <v>128</v>
      </c>
      <c r="G32" s="12">
        <f>(1-(1.2*SUM(I20:I31))/8760)</f>
        <v>0.95383561643835613</v>
      </c>
      <c r="H32" s="2"/>
      <c r="I32" s="2"/>
      <c r="J32" s="104"/>
      <c r="K32" s="2"/>
    </row>
    <row r="33" spans="1:14" x14ac:dyDescent="0.25">
      <c r="H33" s="1"/>
      <c r="I33" s="1"/>
      <c r="J33" s="1"/>
      <c r="K33" s="1"/>
    </row>
    <row r="34" spans="1:14" x14ac:dyDescent="0.25">
      <c r="A34" s="124" t="s">
        <v>131</v>
      </c>
      <c r="B34" s="124" t="s">
        <v>132</v>
      </c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</row>
    <row r="35" spans="1:14" x14ac:dyDescent="0.25">
      <c r="A35" s="124"/>
      <c r="B35" s="124" t="s">
        <v>133</v>
      </c>
      <c r="C35" s="124"/>
      <c r="D35" s="124"/>
      <c r="E35" s="124"/>
      <c r="F35" s="124"/>
      <c r="G35" s="124"/>
      <c r="H35" s="124"/>
      <c r="I35" s="124" t="s">
        <v>134</v>
      </c>
      <c r="J35" s="124"/>
      <c r="K35" s="124"/>
      <c r="L35" s="124" t="s">
        <v>135</v>
      </c>
      <c r="M35" s="124"/>
      <c r="N35" s="124"/>
    </row>
    <row r="36" spans="1:14" x14ac:dyDescent="0.25">
      <c r="A36" s="124"/>
      <c r="B36" s="70" t="s">
        <v>2</v>
      </c>
      <c r="C36" s="70" t="s">
        <v>62</v>
      </c>
      <c r="D36" s="70" t="s">
        <v>139</v>
      </c>
      <c r="E36" s="70" t="s">
        <v>140</v>
      </c>
      <c r="F36" s="70" t="s">
        <v>141</v>
      </c>
      <c r="G36" s="70" t="s">
        <v>5</v>
      </c>
      <c r="H36" s="70" t="s">
        <v>137</v>
      </c>
      <c r="I36" s="70" t="s">
        <v>2</v>
      </c>
      <c r="J36" s="70" t="s">
        <v>92</v>
      </c>
      <c r="K36" s="70" t="s">
        <v>136</v>
      </c>
      <c r="L36" s="70" t="s">
        <v>2</v>
      </c>
      <c r="M36" s="70" t="s">
        <v>92</v>
      </c>
      <c r="N36" s="70" t="s">
        <v>136</v>
      </c>
    </row>
    <row r="37" spans="1:14" x14ac:dyDescent="0.25">
      <c r="A37" s="76" t="s">
        <v>138</v>
      </c>
      <c r="B37" s="113">
        <v>0.17489827604766656</v>
      </c>
      <c r="C37" s="113">
        <v>0.17489827604766656</v>
      </c>
      <c r="D37" s="113">
        <v>0.17489827604766656</v>
      </c>
      <c r="E37" s="113">
        <v>5.4345140567386743</v>
      </c>
      <c r="F37" s="113">
        <v>0.21032135261668511</v>
      </c>
      <c r="G37" s="113">
        <v>1.0383730075038093</v>
      </c>
      <c r="H37" s="113">
        <v>0.24766340643796464</v>
      </c>
      <c r="I37" s="113">
        <v>6.7633804693835883E-2</v>
      </c>
      <c r="J37" s="113">
        <v>5.1332470377789451E-2</v>
      </c>
      <c r="K37" s="113">
        <v>2.7520218195668727E-2</v>
      </c>
      <c r="L37" s="113">
        <v>6.3494136177677976E-2</v>
      </c>
      <c r="M37" s="113">
        <v>3.1747068088838988E-2</v>
      </c>
      <c r="N37" s="113">
        <v>1.7137767759244575E-2</v>
      </c>
    </row>
  </sheetData>
  <sheetProtection password="B056" sheet="1" objects="1" scenarios="1"/>
  <mergeCells count="19">
    <mergeCell ref="F1:J1"/>
    <mergeCell ref="A23:A32"/>
    <mergeCell ref="B23:D25"/>
    <mergeCell ref="B26:D32"/>
    <mergeCell ref="F18:K18"/>
    <mergeCell ref="A19:D19"/>
    <mergeCell ref="A2:D2"/>
    <mergeCell ref="A3:D3"/>
    <mergeCell ref="A4:A5"/>
    <mergeCell ref="B4:D4"/>
    <mergeCell ref="A20:D20"/>
    <mergeCell ref="B10:D11"/>
    <mergeCell ref="A10:A16"/>
    <mergeCell ref="B12:D16"/>
    <mergeCell ref="A34:A36"/>
    <mergeCell ref="B34:N34"/>
    <mergeCell ref="B35:H35"/>
    <mergeCell ref="I35:K35"/>
    <mergeCell ref="L35:N3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topLeftCell="B1" zoomScaleNormal="100" workbookViewId="0">
      <selection activeCell="D30" sqref="D30"/>
    </sheetView>
  </sheetViews>
  <sheetFormatPr defaultRowHeight="15" customHeight="1" x14ac:dyDescent="0.2"/>
  <cols>
    <col min="1" max="1" width="34.140625" style="1" customWidth="1"/>
    <col min="2" max="2" width="17.42578125" style="1" customWidth="1"/>
    <col min="3" max="3" width="18.140625" style="1" customWidth="1"/>
    <col min="4" max="5" width="15.7109375" style="1" customWidth="1"/>
    <col min="6" max="6" width="11.5703125" style="1" customWidth="1"/>
    <col min="7" max="7" width="12.5703125" style="1" customWidth="1"/>
    <col min="8" max="8" width="15.85546875" style="1" customWidth="1"/>
    <col min="9" max="9" width="11.85546875" style="1" customWidth="1"/>
    <col min="10" max="15" width="9.140625" style="1"/>
    <col min="16" max="16" width="9.140625" style="1" customWidth="1"/>
    <col min="17" max="16384" width="9.140625" style="1"/>
  </cols>
  <sheetData>
    <row r="1" spans="1:21" ht="15" customHeight="1" x14ac:dyDescent="0.2">
      <c r="A1" s="3" t="s">
        <v>104</v>
      </c>
      <c r="B1" s="2"/>
      <c r="C1" s="2"/>
      <c r="Q1" s="23"/>
    </row>
    <row r="2" spans="1:21" ht="15" customHeight="1" x14ac:dyDescent="0.2">
      <c r="A2" s="166" t="s">
        <v>0</v>
      </c>
      <c r="B2" s="167" t="s">
        <v>31</v>
      </c>
      <c r="C2" s="166" t="s">
        <v>11</v>
      </c>
      <c r="D2" s="168" t="s">
        <v>213</v>
      </c>
      <c r="E2" s="168" t="s">
        <v>214</v>
      </c>
      <c r="F2" s="168" t="s">
        <v>215</v>
      </c>
      <c r="G2" s="168" t="s">
        <v>216</v>
      </c>
      <c r="H2" s="168" t="s">
        <v>217</v>
      </c>
      <c r="I2" s="168" t="s">
        <v>218</v>
      </c>
      <c r="J2" s="170" t="s">
        <v>72</v>
      </c>
      <c r="K2" s="171"/>
      <c r="L2" s="171"/>
      <c r="M2" s="171"/>
      <c r="N2" s="171"/>
      <c r="O2" s="164" t="s">
        <v>1</v>
      </c>
      <c r="P2" s="165"/>
      <c r="Q2" s="165"/>
      <c r="R2" s="165"/>
      <c r="S2" s="165"/>
      <c r="T2" s="165"/>
      <c r="U2" s="165"/>
    </row>
    <row r="3" spans="1:21" ht="15" customHeight="1" x14ac:dyDescent="0.2">
      <c r="A3" s="167"/>
      <c r="B3" s="169"/>
      <c r="C3" s="166"/>
      <c r="D3" s="168"/>
      <c r="E3" s="168"/>
      <c r="F3" s="168"/>
      <c r="G3" s="168"/>
      <c r="H3" s="168"/>
      <c r="I3" s="168"/>
      <c r="J3" s="56" t="s">
        <v>2</v>
      </c>
      <c r="K3" s="8" t="s">
        <v>6</v>
      </c>
      <c r="L3" s="8" t="s">
        <v>7</v>
      </c>
      <c r="M3" s="8" t="s">
        <v>5</v>
      </c>
      <c r="N3" s="56" t="s">
        <v>9</v>
      </c>
      <c r="O3" s="7" t="s">
        <v>2</v>
      </c>
      <c r="P3" s="7" t="s">
        <v>3</v>
      </c>
      <c r="Q3" s="7" t="s">
        <v>4</v>
      </c>
      <c r="R3" s="8" t="s">
        <v>6</v>
      </c>
      <c r="S3" s="8" t="s">
        <v>7</v>
      </c>
      <c r="T3" s="8" t="s">
        <v>5</v>
      </c>
      <c r="U3" s="8" t="s">
        <v>212</v>
      </c>
    </row>
    <row r="4" spans="1:21" ht="15" customHeight="1" x14ac:dyDescent="0.2">
      <c r="A4" s="28" t="s">
        <v>37</v>
      </c>
      <c r="B4" s="29" t="s">
        <v>70</v>
      </c>
      <c r="C4" s="52">
        <f>(16.14/2)/8760</f>
        <v>9.2123287671232884E-4</v>
      </c>
      <c r="D4" s="30">
        <v>-20.206817999999998</v>
      </c>
      <c r="E4" s="30">
        <v>-40.323779999999999</v>
      </c>
      <c r="F4" s="31">
        <v>0.68579999999999997</v>
      </c>
      <c r="G4" s="36">
        <v>2400</v>
      </c>
      <c r="H4" s="25">
        <v>120</v>
      </c>
      <c r="I4" s="55">
        <v>4.8</v>
      </c>
      <c r="J4" s="12">
        <f>'FE-Combustão'!B8*'FE-Combustão'!B18</f>
        <v>9.5860799999999996E-2</v>
      </c>
      <c r="K4" s="12">
        <f>'FE-Combustão'!B10*'FE-Combustão'!$B$18</f>
        <v>1.7973899999999998</v>
      </c>
      <c r="L4" s="12">
        <f>0.09*('FE-Combustão'!$B$17*'FE-Combustão'!$B$19*100)*'FE-Combustão'!$B$18</f>
        <v>0.16965923687999995</v>
      </c>
      <c r="M4" s="12">
        <f>'FE-Combustão'!B13*'FE-Combustão'!$B$18</f>
        <v>1.0065383999999999</v>
      </c>
      <c r="N4" s="12">
        <f>'FE-Combustão'!B14*'FE-Combustão'!$B$18</f>
        <v>0.1318086</v>
      </c>
      <c r="O4" s="32">
        <f>$C$4*J4</f>
        <v>8.8310120547945215E-5</v>
      </c>
      <c r="P4" s="32">
        <f>O4</f>
        <v>8.8310120547945215E-5</v>
      </c>
      <c r="Q4" s="32">
        <f>O4</f>
        <v>8.8310120547945215E-5</v>
      </c>
      <c r="R4" s="32">
        <f>$C$4*K4</f>
        <v>1.6558147602739725E-3</v>
      </c>
      <c r="S4" s="32">
        <f>$C$4*L4</f>
        <v>1.5629566685178078E-4</v>
      </c>
      <c r="T4" s="32">
        <f>$C$4*M4</f>
        <v>9.2725626575342469E-4</v>
      </c>
      <c r="U4" s="32">
        <f>$C$4*N4</f>
        <v>1.2142641575342466E-4</v>
      </c>
    </row>
    <row r="5" spans="1:21" ht="15" customHeight="1" x14ac:dyDescent="0.2">
      <c r="A5" s="28" t="s">
        <v>37</v>
      </c>
      <c r="B5" s="29" t="s">
        <v>69</v>
      </c>
      <c r="C5" s="52">
        <f>(16.14/2)/8760</f>
        <v>9.2123287671232884E-4</v>
      </c>
      <c r="D5" s="30">
        <v>-20.206817999999998</v>
      </c>
      <c r="E5" s="30">
        <v>-40.323779999999999</v>
      </c>
      <c r="F5" s="31">
        <v>0.68579999999999997</v>
      </c>
      <c r="G5" s="36">
        <v>2400</v>
      </c>
      <c r="H5" s="55">
        <v>120</v>
      </c>
      <c r="I5" s="55">
        <v>4.8</v>
      </c>
      <c r="J5" s="12">
        <f>'FE-Combustão'!C8*'FE-Combustão'!$B$18</f>
        <v>8.3878199999999986E-2</v>
      </c>
      <c r="K5" s="12">
        <f>'FE-Combustão'!C10*'FE-Combustão'!$B$18</f>
        <v>1.5577379999999998</v>
      </c>
      <c r="L5" s="12">
        <f>0.1*('FE-Combustão'!$B$17*'FE-Combustão'!$B$19*100)*'FE-Combustão'!$B$18</f>
        <v>0.18851026319999997</v>
      </c>
      <c r="M5" s="12">
        <f>'FE-Combustão'!C13*'FE-Combustão'!$B$18</f>
        <v>0.89869499999999991</v>
      </c>
      <c r="N5" s="12">
        <f>'FE-Combustão'!C14*'FE-Combustão'!$B$18</f>
        <v>0.11982599999999999</v>
      </c>
      <c r="O5" s="32">
        <f>C5*J5</f>
        <v>7.7271355479452053E-5</v>
      </c>
      <c r="P5" s="32">
        <f>O5</f>
        <v>7.7271355479452053E-5</v>
      </c>
      <c r="Q5" s="32">
        <f>O5</f>
        <v>7.7271355479452053E-5</v>
      </c>
      <c r="R5" s="32">
        <f>C5*K5</f>
        <v>1.4350394589041095E-3</v>
      </c>
      <c r="S5" s="32">
        <f>C5*L5</f>
        <v>1.7366185205753423E-4</v>
      </c>
      <c r="T5" s="32">
        <f>C5*M5</f>
        <v>8.2790738013698625E-4</v>
      </c>
      <c r="U5" s="32">
        <f>C5*N5</f>
        <v>1.103876506849315E-4</v>
      </c>
    </row>
    <row r="6" spans="1:21" ht="15" customHeight="1" x14ac:dyDescent="0.2">
      <c r="A6" s="122" t="s">
        <v>193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34">
        <f>SUM(O4:O5)</f>
        <v>1.6558147602739728E-4</v>
      </c>
      <c r="P6" s="34">
        <f t="shared" ref="P6:U6" si="0">SUM(P4:P5)</f>
        <v>1.6558147602739728E-4</v>
      </c>
      <c r="Q6" s="34">
        <f t="shared" si="0"/>
        <v>1.6558147602739728E-4</v>
      </c>
      <c r="R6" s="34">
        <f t="shared" si="0"/>
        <v>3.090854219178082E-3</v>
      </c>
      <c r="S6" s="34">
        <f t="shared" si="0"/>
        <v>3.2995751890931501E-4</v>
      </c>
      <c r="T6" s="34">
        <f t="shared" si="0"/>
        <v>1.7551636458904109E-3</v>
      </c>
      <c r="U6" s="34">
        <f t="shared" si="0"/>
        <v>2.3181406643835617E-4</v>
      </c>
    </row>
    <row r="8" spans="1:21" ht="15" customHeight="1" x14ac:dyDescent="0.2">
      <c r="A8" s="23"/>
    </row>
    <row r="10" spans="1:21" ht="15" customHeight="1" x14ac:dyDescent="0.2">
      <c r="F10" s="6"/>
      <c r="G10" s="35"/>
      <c r="H10" s="35"/>
    </row>
  </sheetData>
  <sheetProtection password="B056" sheet="1" objects="1" scenarios="1"/>
  <mergeCells count="12">
    <mergeCell ref="A6:N6"/>
    <mergeCell ref="O2:U2"/>
    <mergeCell ref="C2:C3"/>
    <mergeCell ref="A2:A3"/>
    <mergeCell ref="D2:D3"/>
    <mergeCell ref="E2:E3"/>
    <mergeCell ref="B2:B3"/>
    <mergeCell ref="J2:N2"/>
    <mergeCell ref="F2:F3"/>
    <mergeCell ref="G2:G3"/>
    <mergeCell ref="H2:H3"/>
    <mergeCell ref="I2:I3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workbookViewId="0">
      <selection activeCell="D2" sqref="D2:E3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20.140625" customWidth="1"/>
    <col min="4" max="5" width="18.28515625" customWidth="1"/>
    <col min="6" max="11" width="14.7109375" customWidth="1"/>
  </cols>
  <sheetData>
    <row r="1" spans="1:12" x14ac:dyDescent="0.25">
      <c r="A1" s="3" t="s">
        <v>104</v>
      </c>
      <c r="C1" s="1"/>
      <c r="D1" s="1"/>
      <c r="E1" s="1"/>
      <c r="F1" s="1"/>
      <c r="G1" s="1"/>
      <c r="H1" s="1"/>
    </row>
    <row r="2" spans="1:12" ht="15" customHeight="1" x14ac:dyDescent="0.25">
      <c r="A2" s="173" t="s">
        <v>0</v>
      </c>
      <c r="B2" s="174" t="s">
        <v>194</v>
      </c>
      <c r="C2" s="175" t="s">
        <v>195</v>
      </c>
      <c r="D2" s="168" t="s">
        <v>213</v>
      </c>
      <c r="E2" s="168" t="s">
        <v>214</v>
      </c>
      <c r="F2" s="177" t="s">
        <v>196</v>
      </c>
      <c r="G2" s="178"/>
      <c r="H2" s="179"/>
      <c r="I2" s="177" t="s">
        <v>1</v>
      </c>
      <c r="J2" s="178"/>
      <c r="K2" s="179"/>
    </row>
    <row r="3" spans="1:12" x14ac:dyDescent="0.25">
      <c r="A3" s="173"/>
      <c r="B3" s="174"/>
      <c r="C3" s="176"/>
      <c r="D3" s="168"/>
      <c r="E3" s="168"/>
      <c r="F3" s="59" t="s">
        <v>61</v>
      </c>
      <c r="G3" s="59" t="s">
        <v>107</v>
      </c>
      <c r="H3" s="59" t="s">
        <v>108</v>
      </c>
      <c r="I3" s="59" t="s">
        <v>61</v>
      </c>
      <c r="J3" s="59" t="s">
        <v>107</v>
      </c>
      <c r="K3" s="59" t="s">
        <v>108</v>
      </c>
    </row>
    <row r="4" spans="1:12" x14ac:dyDescent="0.25">
      <c r="A4" s="114" t="s">
        <v>68</v>
      </c>
      <c r="B4" s="115">
        <f>(Dados!$A$10*B7/1000)/24</f>
        <v>40.625</v>
      </c>
      <c r="C4" s="83">
        <v>12</v>
      </c>
      <c r="D4" s="74">
        <v>-20.205905999999999</v>
      </c>
      <c r="E4" s="74">
        <v>-40.324336000000002</v>
      </c>
      <c r="F4" s="116">
        <f>'FE-Transferências'!$B$3*0.0016*(($B$8/2.2)^1.3)/(($C4/2)^1.4)</f>
        <v>2.2293521814895203E-4</v>
      </c>
      <c r="G4" s="116">
        <f>'FE-Transferências'!$C$3*0.0016*(($B$8/2.2)^1.3)/(($C4/2)^1.4)</f>
        <v>1.0544233290828811E-4</v>
      </c>
      <c r="H4" s="116">
        <f>'FE-Transferências'!$D$3*0.0016*(($B$8/2.2)^1.3)/(($C4/2)^1.4)</f>
        <v>1.5966981840397917E-5</v>
      </c>
      <c r="I4" s="72">
        <f>F4*$B4</f>
        <v>9.056743237301176E-3</v>
      </c>
      <c r="J4" s="40">
        <f>G4*$B4</f>
        <v>4.2835947743992044E-3</v>
      </c>
      <c r="K4" s="40">
        <f>H4*$B4</f>
        <v>6.4865863726616538E-4</v>
      </c>
    </row>
    <row r="5" spans="1:12" x14ac:dyDescent="0.25">
      <c r="A5" s="172" t="s">
        <v>193</v>
      </c>
      <c r="B5" s="172"/>
      <c r="C5" s="172"/>
      <c r="D5" s="172"/>
      <c r="E5" s="172"/>
      <c r="F5" s="172"/>
      <c r="G5" s="172"/>
      <c r="H5" s="172"/>
      <c r="I5" s="53">
        <f>SUM(I4)</f>
        <v>9.056743237301176E-3</v>
      </c>
      <c r="J5" s="34">
        <f t="shared" ref="J5:K5" si="0">SUM(J4)</f>
        <v>4.2835947743992044E-3</v>
      </c>
      <c r="K5" s="34">
        <f t="shared" si="0"/>
        <v>6.4865863726616538E-4</v>
      </c>
      <c r="L5" s="42"/>
    </row>
    <row r="6" spans="1:12" x14ac:dyDescent="0.25">
      <c r="C6" s="58"/>
      <c r="D6" s="58"/>
      <c r="E6" s="58"/>
    </row>
    <row r="7" spans="1:12" x14ac:dyDescent="0.25">
      <c r="A7" s="80" t="s">
        <v>150</v>
      </c>
      <c r="B7" s="117">
        <v>1500</v>
      </c>
      <c r="C7" s="84"/>
    </row>
    <row r="8" spans="1:12" x14ac:dyDescent="0.25">
      <c r="A8" s="80" t="s">
        <v>67</v>
      </c>
      <c r="B8" s="118">
        <v>4.1937865160171146</v>
      </c>
    </row>
  </sheetData>
  <sheetProtection password="B056" sheet="1" objects="1" scenarios="1"/>
  <mergeCells count="8">
    <mergeCell ref="A5:H5"/>
    <mergeCell ref="A2:A3"/>
    <mergeCell ref="B2:B3"/>
    <mergeCell ref="C2:C3"/>
    <mergeCell ref="I2:K2"/>
    <mergeCell ref="F2:H2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" sqref="D2:E3"/>
    </sheetView>
  </sheetViews>
  <sheetFormatPr defaultRowHeight="15" x14ac:dyDescent="0.25"/>
  <cols>
    <col min="1" max="1" width="32.42578125" customWidth="1"/>
    <col min="2" max="3" width="19.140625" customWidth="1"/>
    <col min="4" max="4" width="13.7109375" customWidth="1"/>
    <col min="5" max="5" width="13.85546875" customWidth="1"/>
    <col min="6" max="6" width="14.7109375" customWidth="1"/>
    <col min="7" max="7" width="19.85546875" customWidth="1"/>
  </cols>
  <sheetData>
    <row r="1" spans="1:7" x14ac:dyDescent="0.25">
      <c r="A1" s="3" t="s">
        <v>104</v>
      </c>
    </row>
    <row r="2" spans="1:7" x14ac:dyDescent="0.25">
      <c r="A2" s="173" t="s">
        <v>0</v>
      </c>
      <c r="B2" s="180" t="s">
        <v>80</v>
      </c>
      <c r="C2" s="180" t="s">
        <v>197</v>
      </c>
      <c r="D2" s="168" t="s">
        <v>213</v>
      </c>
      <c r="E2" s="168" t="s">
        <v>214</v>
      </c>
      <c r="F2" s="174" t="s">
        <v>198</v>
      </c>
      <c r="G2" s="59" t="s">
        <v>1</v>
      </c>
    </row>
    <row r="3" spans="1:7" x14ac:dyDescent="0.25">
      <c r="A3" s="173"/>
      <c r="B3" s="181"/>
      <c r="C3" s="181"/>
      <c r="D3" s="168"/>
      <c r="E3" s="168"/>
      <c r="F3" s="174"/>
      <c r="G3" s="59" t="s">
        <v>212</v>
      </c>
    </row>
    <row r="4" spans="1:7" x14ac:dyDescent="0.25">
      <c r="A4" s="182" t="s">
        <v>79</v>
      </c>
      <c r="B4" s="55" t="s">
        <v>36</v>
      </c>
      <c r="C4" s="82">
        <f>((Dados!B6/1000)*$B$8)+((Dados!B7/1000)*$B$9)</f>
        <v>141.834</v>
      </c>
      <c r="D4" s="107">
        <v>-20.207265</v>
      </c>
      <c r="E4" s="55">
        <v>-40.324053999999997</v>
      </c>
      <c r="F4" s="17">
        <v>14</v>
      </c>
      <c r="G4" s="12">
        <f>((F4/100)*C4*1000)/8760</f>
        <v>2.2667534246575345</v>
      </c>
    </row>
    <row r="5" spans="1:7" x14ac:dyDescent="0.25">
      <c r="A5" s="123"/>
      <c r="B5" s="55" t="s">
        <v>144</v>
      </c>
      <c r="C5" s="82">
        <f>Dados!B5</f>
        <v>99</v>
      </c>
      <c r="D5" s="107">
        <v>-20.207265</v>
      </c>
      <c r="E5" s="107">
        <v>-40.324053999999997</v>
      </c>
      <c r="F5" s="17">
        <v>10</v>
      </c>
      <c r="G5" s="12">
        <f>((F5/100)*C5*1000)/8760</f>
        <v>1.1301369863013699</v>
      </c>
    </row>
    <row r="6" spans="1:7" x14ac:dyDescent="0.25">
      <c r="A6" s="124" t="s">
        <v>193</v>
      </c>
      <c r="B6" s="124"/>
      <c r="C6" s="124"/>
      <c r="D6" s="124"/>
      <c r="E6" s="124"/>
      <c r="F6" s="124"/>
      <c r="G6" s="53">
        <f>SUM(G4:G5)</f>
        <v>3.3968904109589042</v>
      </c>
    </row>
    <row r="7" spans="1:7" x14ac:dyDescent="0.25">
      <c r="A7" s="58"/>
      <c r="G7" s="75"/>
    </row>
    <row r="8" spans="1:7" x14ac:dyDescent="0.25">
      <c r="A8" s="81" t="s">
        <v>148</v>
      </c>
      <c r="B8" s="109">
        <v>1.75</v>
      </c>
    </row>
    <row r="9" spans="1:7" x14ac:dyDescent="0.25">
      <c r="A9" s="81" t="s">
        <v>191</v>
      </c>
      <c r="B9" s="71">
        <v>0.83</v>
      </c>
      <c r="C9" s="5"/>
    </row>
    <row r="11" spans="1:7" x14ac:dyDescent="0.25">
      <c r="A11" s="1" t="s">
        <v>199</v>
      </c>
      <c r="B11" s="5"/>
      <c r="C11" s="5"/>
    </row>
    <row r="12" spans="1:7" x14ac:dyDescent="0.25">
      <c r="A12" s="1" t="s">
        <v>200</v>
      </c>
    </row>
    <row r="13" spans="1:7" x14ac:dyDescent="0.25">
      <c r="A13" s="1" t="s">
        <v>201</v>
      </c>
    </row>
  </sheetData>
  <sheetProtection password="B056" sheet="1" objects="1" scenarios="1"/>
  <mergeCells count="8">
    <mergeCell ref="A6:F6"/>
    <mergeCell ref="F2:F3"/>
    <mergeCell ref="A2:A3"/>
    <mergeCell ref="B2:B3"/>
    <mergeCell ref="C2:C3"/>
    <mergeCell ref="D2:D3"/>
    <mergeCell ref="E2:E3"/>
    <mergeCell ref="A4:A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selection activeCell="D2" sqref="D2:E3"/>
    </sheetView>
  </sheetViews>
  <sheetFormatPr defaultRowHeight="15" customHeight="1" x14ac:dyDescent="0.2"/>
  <cols>
    <col min="1" max="1" width="33.85546875" style="1" customWidth="1"/>
    <col min="2" max="2" width="13.7109375" style="1" customWidth="1"/>
    <col min="3" max="3" width="23.7109375" style="1" bestFit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5" ht="15" customHeight="1" x14ac:dyDescent="0.2">
      <c r="A1" s="3" t="s">
        <v>104</v>
      </c>
    </row>
    <row r="2" spans="1:15" ht="15" customHeight="1" x14ac:dyDescent="0.2">
      <c r="A2" s="183" t="s">
        <v>0</v>
      </c>
      <c r="B2" s="183" t="s">
        <v>26</v>
      </c>
      <c r="C2" s="183" t="s">
        <v>27</v>
      </c>
      <c r="D2" s="168" t="s">
        <v>213</v>
      </c>
      <c r="E2" s="168" t="s">
        <v>214</v>
      </c>
      <c r="F2" s="183" t="s">
        <v>28</v>
      </c>
      <c r="G2" s="183" t="s">
        <v>29</v>
      </c>
      <c r="H2" s="185" t="s">
        <v>1</v>
      </c>
      <c r="I2" s="186"/>
      <c r="J2" s="186"/>
      <c r="K2" s="186"/>
      <c r="L2" s="186"/>
      <c r="M2" s="186"/>
      <c r="N2" s="186"/>
    </row>
    <row r="3" spans="1:15" ht="15" customHeight="1" x14ac:dyDescent="0.2">
      <c r="A3" s="184"/>
      <c r="B3" s="184"/>
      <c r="C3" s="184"/>
      <c r="D3" s="168"/>
      <c r="E3" s="168"/>
      <c r="F3" s="184"/>
      <c r="G3" s="184"/>
      <c r="H3" s="8" t="s">
        <v>2</v>
      </c>
      <c r="I3" s="8" t="s">
        <v>3</v>
      </c>
      <c r="J3" s="8" t="s">
        <v>30</v>
      </c>
      <c r="K3" s="8" t="s">
        <v>6</v>
      </c>
      <c r="L3" s="8" t="s">
        <v>7</v>
      </c>
      <c r="M3" s="8" t="s">
        <v>5</v>
      </c>
      <c r="N3" s="8" t="s">
        <v>212</v>
      </c>
    </row>
    <row r="4" spans="1:15" ht="15" customHeight="1" x14ac:dyDescent="0.2">
      <c r="A4" s="3" t="str">
        <f>'[1]Dados Maq e Equip'!A3</f>
        <v>Empilhadeira</v>
      </c>
      <c r="B4" s="17">
        <v>99.2</v>
      </c>
      <c r="C4" s="3" t="s">
        <v>22</v>
      </c>
      <c r="D4" s="41">
        <v>-20.206437000000001</v>
      </c>
      <c r="E4" s="41">
        <v>-40.323359000000004</v>
      </c>
      <c r="F4" s="9">
        <v>1</v>
      </c>
      <c r="G4" s="11">
        <f>2112/365</f>
        <v>5.7863013698630139</v>
      </c>
      <c r="H4" s="51">
        <f t="shared" ref="H4:H9" si="0">(INDEX(FE_Equip,MATCH($C4,Pot_Equip,0),2))*F4*G4/(24)</f>
        <v>2.6364741464323938E-3</v>
      </c>
      <c r="I4" s="51">
        <f t="shared" ref="I4:I9" si="1">H4</f>
        <v>2.6364741464323938E-3</v>
      </c>
      <c r="J4" s="51">
        <f t="shared" ref="J4:J9" si="2">H4</f>
        <v>2.6364741464323938E-3</v>
      </c>
      <c r="K4" s="51">
        <f t="shared" ref="K4:K9" si="3">(INDEX(FE_Equip,MATCH($C4,Pot_Equip,0),3))*F4*G4/(24)</f>
        <v>3.0486421570706152E-2</v>
      </c>
      <c r="L4" s="51">
        <f t="shared" ref="L4:L9" si="4">(INDEX(FE_Equip,MATCH($C4,Pot_Equip,0),4))*F4*G4/(24)</f>
        <v>4.005653788691487E-5</v>
      </c>
      <c r="M4" s="51">
        <f t="shared" ref="M4:M9" si="5">(INDEX(FE_Equip,MATCH($C4,Pot_Equip,0),5))*F4*G4/(24)</f>
        <v>2.3797389921659116E-2</v>
      </c>
      <c r="N4" s="51">
        <f t="shared" ref="N4:N9" si="6">(INDEX(FE_Equip,MATCH($C4,Pot_Equip,0),6))*F4*G4/(24)</f>
        <v>4.7897114719503732E-3</v>
      </c>
    </row>
    <row r="5" spans="1:15" ht="15" customHeight="1" x14ac:dyDescent="0.2">
      <c r="A5" s="3" t="s">
        <v>51</v>
      </c>
      <c r="B5" s="17">
        <v>191</v>
      </c>
      <c r="C5" s="3" t="s">
        <v>173</v>
      </c>
      <c r="D5" s="41">
        <v>-20.206437000000001</v>
      </c>
      <c r="E5" s="41">
        <v>-40.323359000000004</v>
      </c>
      <c r="F5" s="9">
        <v>1</v>
      </c>
      <c r="G5" s="11">
        <f>1056/365</f>
        <v>2.893150684931507</v>
      </c>
      <c r="H5" s="51">
        <f t="shared" si="0"/>
        <v>3.4970542237631286E-3</v>
      </c>
      <c r="I5" s="51">
        <f t="shared" si="1"/>
        <v>3.4970542237631286E-3</v>
      </c>
      <c r="J5" s="51">
        <f t="shared" si="2"/>
        <v>3.4970542237631286E-3</v>
      </c>
      <c r="K5" s="51">
        <f t="shared" si="3"/>
        <v>9.4927505885436012E-2</v>
      </c>
      <c r="L5" s="51">
        <f t="shared" si="4"/>
        <v>9.1656298519349666E-5</v>
      </c>
      <c r="M5" s="51">
        <f t="shared" si="5"/>
        <v>2.558766984381786E-2</v>
      </c>
      <c r="N5" s="51">
        <f t="shared" si="6"/>
        <v>9.1510115147735438E-3</v>
      </c>
    </row>
    <row r="6" spans="1:15" ht="15" customHeight="1" x14ac:dyDescent="0.2">
      <c r="A6" s="3" t="s">
        <v>51</v>
      </c>
      <c r="B6" s="17">
        <v>191</v>
      </c>
      <c r="C6" s="3" t="s">
        <v>182</v>
      </c>
      <c r="D6" s="41">
        <v>-20.206437000000001</v>
      </c>
      <c r="E6" s="41">
        <v>-40.323359000000004</v>
      </c>
      <c r="F6" s="9">
        <v>1</v>
      </c>
      <c r="G6" s="11">
        <v>2.893150684931507</v>
      </c>
      <c r="H6" s="51">
        <f t="shared" si="0"/>
        <v>3.2783798289734195E-3</v>
      </c>
      <c r="I6" s="51">
        <f t="shared" si="1"/>
        <v>3.2783798289734195E-3</v>
      </c>
      <c r="J6" s="51">
        <f t="shared" si="2"/>
        <v>3.2783798289734195E-3</v>
      </c>
      <c r="K6" s="51">
        <f t="shared" si="3"/>
        <v>8.9297883466181907E-2</v>
      </c>
      <c r="L6" s="51">
        <f t="shared" si="4"/>
        <v>9.1656295320909333E-5</v>
      </c>
      <c r="M6" s="51">
        <f t="shared" si="5"/>
        <v>2.4232445827198051E-2</v>
      </c>
      <c r="N6" s="51">
        <f t="shared" si="6"/>
        <v>8.6299604184217008E-3</v>
      </c>
    </row>
    <row r="7" spans="1:15" ht="15" customHeight="1" x14ac:dyDescent="0.2">
      <c r="A7" s="86" t="s">
        <v>167</v>
      </c>
      <c r="B7" s="17">
        <v>260</v>
      </c>
      <c r="C7" s="3" t="s">
        <v>165</v>
      </c>
      <c r="D7" s="41">
        <v>-20.206437000000001</v>
      </c>
      <c r="E7" s="41">
        <v>-40.323359000000004</v>
      </c>
      <c r="F7" s="9">
        <v>1</v>
      </c>
      <c r="G7" s="11">
        <f>720/365</f>
        <v>1.9726027397260273</v>
      </c>
      <c r="H7" s="51">
        <f t="shared" si="0"/>
        <v>2.8103223725120998E-3</v>
      </c>
      <c r="I7" s="51">
        <f t="shared" si="1"/>
        <v>2.8103223725120998E-3</v>
      </c>
      <c r="J7" s="51">
        <f t="shared" si="2"/>
        <v>2.8103223725120998E-3</v>
      </c>
      <c r="K7" s="51">
        <f t="shared" si="3"/>
        <v>7.7008166548471105E-2</v>
      </c>
      <c r="L7" s="51">
        <f t="shared" si="4"/>
        <v>8.5530923941011769E-5</v>
      </c>
      <c r="M7" s="51">
        <f t="shared" si="5"/>
        <v>2.4586043824696448E-2</v>
      </c>
      <c r="N7" s="51">
        <f t="shared" si="6"/>
        <v>7.7243893365543806E-3</v>
      </c>
    </row>
    <row r="8" spans="1:15" ht="15" customHeight="1" x14ac:dyDescent="0.2">
      <c r="A8" s="28" t="s">
        <v>38</v>
      </c>
      <c r="B8" s="17">
        <v>53.6</v>
      </c>
      <c r="C8" s="3" t="s">
        <v>55</v>
      </c>
      <c r="D8" s="30">
        <v>-20.206389000000001</v>
      </c>
      <c r="E8" s="30">
        <v>-40.322077</v>
      </c>
      <c r="F8" s="9">
        <v>1</v>
      </c>
      <c r="G8" s="11">
        <f>48/365</f>
        <v>0.13150684931506848</v>
      </c>
      <c r="H8" s="51">
        <f t="shared" si="0"/>
        <v>1.9670547800682808E-4</v>
      </c>
      <c r="I8" s="51">
        <f t="shared" si="1"/>
        <v>1.9670547800682808E-4</v>
      </c>
      <c r="J8" s="51">
        <f t="shared" si="2"/>
        <v>1.9670547800682808E-4</v>
      </c>
      <c r="K8" s="51">
        <f t="shared" si="3"/>
        <v>2.569440056014781E-3</v>
      </c>
      <c r="L8" s="51">
        <f t="shared" si="4"/>
        <v>2.2726490754292279E-6</v>
      </c>
      <c r="M8" s="51">
        <f t="shared" si="5"/>
        <v>1.2888075314751505E-3</v>
      </c>
      <c r="N8" s="51">
        <f t="shared" si="6"/>
        <v>4.0716528862931204E-4</v>
      </c>
    </row>
    <row r="9" spans="1:15" ht="15" customHeight="1" x14ac:dyDescent="0.2">
      <c r="A9" s="28" t="s">
        <v>50</v>
      </c>
      <c r="B9" s="17">
        <v>54</v>
      </c>
      <c r="C9" s="3" t="s">
        <v>55</v>
      </c>
      <c r="D9" s="30">
        <v>-20.207118000000001</v>
      </c>
      <c r="E9" s="30">
        <v>-40.324187000000002</v>
      </c>
      <c r="F9" s="9">
        <v>1</v>
      </c>
      <c r="G9" s="11">
        <f>48/365</f>
        <v>0.13150684931506848</v>
      </c>
      <c r="H9" s="51">
        <f t="shared" si="0"/>
        <v>1.9670547800682808E-4</v>
      </c>
      <c r="I9" s="51">
        <f t="shared" si="1"/>
        <v>1.9670547800682808E-4</v>
      </c>
      <c r="J9" s="51">
        <f t="shared" si="2"/>
        <v>1.9670547800682808E-4</v>
      </c>
      <c r="K9" s="51">
        <f t="shared" si="3"/>
        <v>2.569440056014781E-3</v>
      </c>
      <c r="L9" s="51">
        <f t="shared" si="4"/>
        <v>2.2726490754292279E-6</v>
      </c>
      <c r="M9" s="51">
        <f t="shared" si="5"/>
        <v>1.2888075314751505E-3</v>
      </c>
      <c r="N9" s="51">
        <f t="shared" si="6"/>
        <v>4.0716528862931204E-4</v>
      </c>
    </row>
    <row r="10" spans="1:15" ht="15" customHeight="1" x14ac:dyDescent="0.2">
      <c r="A10" s="122" t="s">
        <v>193</v>
      </c>
      <c r="B10" s="122"/>
      <c r="C10" s="122"/>
      <c r="D10" s="122"/>
      <c r="E10" s="122"/>
      <c r="F10" s="122"/>
      <c r="G10" s="122"/>
      <c r="H10" s="34">
        <f>SUM(H4:H9)</f>
        <v>1.2615641527694699E-2</v>
      </c>
      <c r="I10" s="34">
        <f t="shared" ref="I10:N10" si="7">SUM(I4:I9)</f>
        <v>1.2615641527694699E-2</v>
      </c>
      <c r="J10" s="34">
        <f t="shared" si="7"/>
        <v>1.2615641527694699E-2</v>
      </c>
      <c r="K10" s="34">
        <f t="shared" si="7"/>
        <v>0.29685885758282471</v>
      </c>
      <c r="L10" s="34">
        <f t="shared" si="7"/>
        <v>3.1344535381904414E-4</v>
      </c>
      <c r="M10" s="34">
        <f t="shared" si="7"/>
        <v>0.10078116448032176</v>
      </c>
      <c r="N10" s="34">
        <f t="shared" si="7"/>
        <v>3.1109403318958624E-2</v>
      </c>
      <c r="O10" s="40"/>
    </row>
    <row r="11" spans="1:15" ht="15" customHeight="1" x14ac:dyDescent="0.2">
      <c r="H11" s="13"/>
      <c r="I11" s="13"/>
      <c r="J11" s="13"/>
      <c r="K11" s="13"/>
      <c r="L11" s="14"/>
      <c r="M11" s="13"/>
      <c r="N11" s="13"/>
    </row>
    <row r="12" spans="1:15" ht="15" customHeight="1" x14ac:dyDescent="0.2">
      <c r="A12" s="1" t="s">
        <v>202</v>
      </c>
      <c r="D12" s="16"/>
      <c r="E12" s="16"/>
      <c r="G12" s="16"/>
      <c r="H12" s="16"/>
      <c r="I12" s="16"/>
      <c r="J12" s="16"/>
      <c r="K12" s="16"/>
      <c r="L12" s="16"/>
      <c r="M12" s="16"/>
      <c r="N12" s="16"/>
    </row>
    <row r="13" spans="1:15" ht="15" customHeight="1" x14ac:dyDescent="0.2">
      <c r="A13" s="2"/>
      <c r="D13" s="16"/>
      <c r="E13" s="16"/>
      <c r="G13" s="16"/>
      <c r="H13" s="16"/>
      <c r="I13" s="16"/>
      <c r="J13" s="16"/>
      <c r="K13" s="16"/>
      <c r="L13" s="16"/>
      <c r="M13" s="16"/>
      <c r="N13" s="16"/>
    </row>
    <row r="14" spans="1:15" ht="15" customHeight="1" x14ac:dyDescent="0.2">
      <c r="C14" s="58"/>
      <c r="D14" s="16"/>
      <c r="E14" s="16"/>
      <c r="G14" s="16"/>
      <c r="H14" s="16"/>
      <c r="I14" s="16"/>
      <c r="J14" s="16"/>
      <c r="K14" s="16"/>
      <c r="L14" s="16"/>
      <c r="M14" s="16"/>
      <c r="N14" s="16"/>
    </row>
    <row r="15" spans="1:15" ht="15" customHeight="1" x14ac:dyDescent="0.2">
      <c r="A15" s="58"/>
      <c r="D15" s="16"/>
      <c r="E15" s="16"/>
      <c r="F15" s="18"/>
      <c r="G15" s="16"/>
      <c r="H15" s="16"/>
      <c r="I15" s="16"/>
      <c r="J15" s="16"/>
      <c r="K15" s="16"/>
      <c r="L15" s="16"/>
      <c r="M15" s="16"/>
      <c r="N15" s="16"/>
    </row>
    <row r="16" spans="1:15" ht="15" customHeight="1" x14ac:dyDescent="0.2">
      <c r="H16" s="13"/>
      <c r="I16" s="13"/>
      <c r="J16" s="13"/>
      <c r="K16" s="13"/>
      <c r="L16" s="13"/>
      <c r="M16" s="13"/>
      <c r="N16" s="13"/>
    </row>
    <row r="17" spans="1:3" ht="15" customHeight="1" x14ac:dyDescent="0.2">
      <c r="A17" s="77"/>
    </row>
    <row r="18" spans="1:3" ht="15" customHeight="1" x14ac:dyDescent="0.2">
      <c r="A18" s="58"/>
      <c r="B18" s="58"/>
      <c r="C18" s="58"/>
    </row>
    <row r="19" spans="1:3" ht="15" customHeight="1" x14ac:dyDescent="0.2">
      <c r="A19" s="58"/>
      <c r="B19" s="58"/>
      <c r="C19" s="58"/>
    </row>
    <row r="20" spans="1:3" ht="15" customHeight="1" x14ac:dyDescent="0.2">
      <c r="A20" s="58"/>
      <c r="B20" s="58"/>
    </row>
  </sheetData>
  <sheetProtection password="B056" sheet="1" objects="1" scenarios="1"/>
  <mergeCells count="9">
    <mergeCell ref="A10:G10"/>
    <mergeCell ref="G2:G3"/>
    <mergeCell ref="H2:N2"/>
    <mergeCell ref="A2:A3"/>
    <mergeCell ref="B2:B3"/>
    <mergeCell ref="C2:C3"/>
    <mergeCell ref="F2:F3"/>
    <mergeCell ref="D2:D3"/>
    <mergeCell ref="E2:E3"/>
  </mergeCells>
  <dataValidations count="1">
    <dataValidation type="list" allowBlank="1" showInputMessage="1" showErrorMessage="1" sqref="C4:C9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Dados</vt:lpstr>
      <vt:lpstr>FE-Combustão</vt:lpstr>
      <vt:lpstr>FE-Maq e Equip</vt:lpstr>
      <vt:lpstr>FE-Transferências</vt:lpstr>
      <vt:lpstr>FE-Vias</vt:lpstr>
      <vt:lpstr>Emissão Chaminé_Forno</vt:lpstr>
      <vt:lpstr>Emissão Transferências</vt:lpstr>
      <vt:lpstr>Emissão Jateamento</vt:lpstr>
      <vt:lpstr>Emissão Maq e Equip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2019-06-06T19:24:41Z</dcterms:modified>
</cp:coreProperties>
</file>