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mtec\"/>
    </mc:Choice>
  </mc:AlternateContent>
  <bookViews>
    <workbookView xWindow="0" yWindow="0" windowWidth="24000" windowHeight="9435" tabRatio="873" firstSheet="1" activeTab="11"/>
  </bookViews>
  <sheets>
    <sheet name="FE-Calcinação" sheetId="15" r:id="rId1"/>
    <sheet name="FE-Transfer" sheetId="11" r:id="rId2"/>
    <sheet name="FE-Vias" sheetId="7" r:id="rId3"/>
    <sheet name="FE-Maq Equip" sheetId="6" r:id="rId4"/>
    <sheet name="Controles" sheetId="18" r:id="rId5"/>
    <sheet name="Monitoramento" sheetId="3" r:id="rId6"/>
    <sheet name="Dados" sheetId="1" r:id="rId7"/>
    <sheet name="Emissão Chaminés" sheetId="13" r:id="rId8"/>
    <sheet name="Emissão Maq e Equip" sheetId="5" r:id="rId9"/>
    <sheet name="Emissão Transferências" sheetId="10" r:id="rId10"/>
    <sheet name="Emissão Vias " sheetId="8" r:id="rId11"/>
    <sheet name="Resumo" sheetId="14" r:id="rId12"/>
  </sheets>
  <definedNames>
    <definedName name="FE_Equip">'FE-Maq Equip'!$B$3:$I$25</definedName>
    <definedName name="Pot_Equip">'FE-Maq Equip'!$B$3:$B$25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5" i="14"/>
  <c r="P18" i="5"/>
  <c r="AA6" i="8" l="1"/>
  <c r="N18" i="5"/>
  <c r="G17" i="10" l="1"/>
  <c r="D35" i="10" l="1"/>
  <c r="D34" i="10"/>
  <c r="H19" i="13"/>
  <c r="H18" i="13"/>
  <c r="H17" i="13"/>
  <c r="H16" i="13"/>
  <c r="H15" i="13"/>
  <c r="H14" i="13"/>
  <c r="H13" i="13"/>
  <c r="H12" i="13"/>
  <c r="H11" i="13"/>
  <c r="H9" i="13"/>
  <c r="H8" i="13"/>
  <c r="H7" i="13"/>
  <c r="G19" i="13"/>
  <c r="G18" i="13"/>
  <c r="G17" i="13"/>
  <c r="G16" i="13"/>
  <c r="G15" i="13"/>
  <c r="G14" i="13"/>
  <c r="G13" i="13"/>
  <c r="E11" i="3"/>
  <c r="G12" i="13"/>
  <c r="G11" i="13"/>
  <c r="E9" i="3"/>
  <c r="G9" i="13"/>
  <c r="G8" i="13"/>
  <c r="G7" i="13"/>
  <c r="E6" i="3"/>
  <c r="C18" i="3"/>
  <c r="F17" i="3"/>
  <c r="C16" i="3"/>
  <c r="E15" i="3"/>
  <c r="C15" i="3"/>
  <c r="F14" i="3"/>
  <c r="D14" i="3"/>
  <c r="E13" i="3"/>
  <c r="C13" i="3"/>
  <c r="E12" i="3"/>
  <c r="B12" i="3"/>
  <c r="D10" i="3"/>
  <c r="F8" i="3"/>
  <c r="B8" i="3"/>
  <c r="F7" i="3"/>
  <c r="B7" i="3"/>
  <c r="O27" i="3" l="1"/>
  <c r="B6" i="3"/>
  <c r="C13" i="1" l="1"/>
  <c r="B2" i="13" l="1"/>
  <c r="P18" i="13" s="1"/>
  <c r="C4" i="15"/>
  <c r="P19" i="13" l="1"/>
  <c r="P20" i="13" s="1"/>
  <c r="H3" i="14" s="1"/>
  <c r="G33" i="10"/>
  <c r="G34" i="10" s="1"/>
  <c r="G35" i="10" s="1"/>
  <c r="G14" i="10"/>
  <c r="G10" i="10"/>
  <c r="G8" i="10"/>
  <c r="J35" i="10"/>
  <c r="J34" i="10"/>
  <c r="D33" i="10"/>
  <c r="K33" i="10" s="1"/>
  <c r="D32" i="10"/>
  <c r="J32" i="10" s="1"/>
  <c r="D31" i="10"/>
  <c r="J31" i="10" s="1"/>
  <c r="D30" i="10"/>
  <c r="J30" i="10" s="1"/>
  <c r="G18" i="10"/>
  <c r="G19" i="10" s="1"/>
  <c r="G30" i="10"/>
  <c r="G31" i="10" s="1"/>
  <c r="G32" i="10" s="1"/>
  <c r="J21" i="10"/>
  <c r="K21" i="10"/>
  <c r="L21" i="10"/>
  <c r="J22" i="10"/>
  <c r="K22" i="10"/>
  <c r="L22" i="10"/>
  <c r="J23" i="10"/>
  <c r="K23" i="10"/>
  <c r="L23" i="10"/>
  <c r="J27" i="10"/>
  <c r="K27" i="10"/>
  <c r="L27" i="10"/>
  <c r="J28" i="10"/>
  <c r="K28" i="10"/>
  <c r="L28" i="10"/>
  <c r="J29" i="10"/>
  <c r="K29" i="10"/>
  <c r="L29" i="10"/>
  <c r="D26" i="10"/>
  <c r="L26" i="10" s="1"/>
  <c r="D25" i="10"/>
  <c r="J25" i="10" s="1"/>
  <c r="D24" i="10"/>
  <c r="J24" i="10" s="1"/>
  <c r="D20" i="10"/>
  <c r="J20" i="10" s="1"/>
  <c r="D19" i="10"/>
  <c r="L19" i="10" s="1"/>
  <c r="D18" i="10"/>
  <c r="K18" i="10" s="1"/>
  <c r="G27" i="10"/>
  <c r="G28" i="10" s="1"/>
  <c r="G24" i="10"/>
  <c r="G25" i="10" s="1"/>
  <c r="G26" i="10" s="1"/>
  <c r="G21" i="10"/>
  <c r="G22" i="10" s="1"/>
  <c r="G23" i="10" s="1"/>
  <c r="M23" i="10" s="1"/>
  <c r="D17" i="10"/>
  <c r="J17" i="10" s="1"/>
  <c r="G15" i="10"/>
  <c r="G16" i="10" s="1"/>
  <c r="D14" i="10"/>
  <c r="L14" i="10" s="1"/>
  <c r="D16" i="10"/>
  <c r="J16" i="10" s="1"/>
  <c r="D15" i="10"/>
  <c r="L15" i="10" s="1"/>
  <c r="D12" i="10"/>
  <c r="L12" i="10" s="1"/>
  <c r="D13" i="10"/>
  <c r="J13" i="10" s="1"/>
  <c r="D11" i="10"/>
  <c r="L11" i="10" s="1"/>
  <c r="D10" i="10"/>
  <c r="J10" i="10" s="1"/>
  <c r="D9" i="10"/>
  <c r="K9" i="10" s="1"/>
  <c r="D8" i="10"/>
  <c r="L8" i="10" s="1"/>
  <c r="D7" i="10"/>
  <c r="J33" i="10" l="1"/>
  <c r="M33" i="10" s="1"/>
  <c r="L32" i="10"/>
  <c r="J26" i="10"/>
  <c r="N21" i="10"/>
  <c r="M30" i="10"/>
  <c r="L31" i="10"/>
  <c r="M25" i="10"/>
  <c r="N33" i="10"/>
  <c r="M34" i="10"/>
  <c r="M35" i="10"/>
  <c r="M31" i="10"/>
  <c r="M32" i="10"/>
  <c r="O31" i="10"/>
  <c r="J18" i="10"/>
  <c r="O32" i="10"/>
  <c r="O26" i="10"/>
  <c r="N27" i="10"/>
  <c r="L25" i="10"/>
  <c r="N23" i="10"/>
  <c r="M21" i="10"/>
  <c r="L17" i="10"/>
  <c r="O17" i="10" s="1"/>
  <c r="L35" i="10"/>
  <c r="O35" i="10" s="1"/>
  <c r="L34" i="10"/>
  <c r="O34" i="10" s="1"/>
  <c r="K32" i="10"/>
  <c r="N32" i="10" s="1"/>
  <c r="K31" i="10"/>
  <c r="N31" i="10" s="1"/>
  <c r="L30" i="10"/>
  <c r="O30" i="10" s="1"/>
  <c r="M27" i="10"/>
  <c r="K25" i="10"/>
  <c r="N25" i="10" s="1"/>
  <c r="K19" i="10"/>
  <c r="K35" i="10"/>
  <c r="N35" i="10" s="1"/>
  <c r="K34" i="10"/>
  <c r="N34" i="10" s="1"/>
  <c r="L33" i="10"/>
  <c r="O33" i="10" s="1"/>
  <c r="K30" i="10"/>
  <c r="N30" i="10" s="1"/>
  <c r="M17" i="10"/>
  <c r="M24" i="10"/>
  <c r="K26" i="10"/>
  <c r="L24" i="10"/>
  <c r="O24" i="10" s="1"/>
  <c r="O21" i="10"/>
  <c r="J19" i="10"/>
  <c r="G29" i="10"/>
  <c r="N29" i="10" s="1"/>
  <c r="O28" i="10"/>
  <c r="O14" i="10"/>
  <c r="M28" i="10"/>
  <c r="N26" i="10"/>
  <c r="O25" i="10"/>
  <c r="O22" i="10"/>
  <c r="L20" i="10"/>
  <c r="K14" i="10"/>
  <c r="N14" i="10" s="1"/>
  <c r="M26" i="10"/>
  <c r="K24" i="10"/>
  <c r="N24" i="10" s="1"/>
  <c r="O23" i="10"/>
  <c r="K20" i="10"/>
  <c r="K17" i="10"/>
  <c r="N17" i="10" s="1"/>
  <c r="K12" i="10"/>
  <c r="O15" i="10"/>
  <c r="K15" i="10"/>
  <c r="N15" i="10" s="1"/>
  <c r="N22" i="10"/>
  <c r="L18" i="10"/>
  <c r="J11" i="10"/>
  <c r="J15" i="10"/>
  <c r="M15" i="10" s="1"/>
  <c r="N28" i="10"/>
  <c r="O27" i="10"/>
  <c r="M22" i="10"/>
  <c r="G20" i="10"/>
  <c r="O20" i="10" s="1"/>
  <c r="N19" i="10"/>
  <c r="M19" i="10"/>
  <c r="O19" i="10"/>
  <c r="M18" i="10"/>
  <c r="O18" i="10"/>
  <c r="N18" i="10"/>
  <c r="K11" i="10"/>
  <c r="M16" i="10"/>
  <c r="L10" i="10"/>
  <c r="J14" i="10"/>
  <c r="M14" i="10" s="1"/>
  <c r="J9" i="10"/>
  <c r="L13" i="10"/>
  <c r="J12" i="10"/>
  <c r="K13" i="10"/>
  <c r="K10" i="10"/>
  <c r="L9" i="10"/>
  <c r="K16" i="10"/>
  <c r="N16" i="10" s="1"/>
  <c r="K8" i="10"/>
  <c r="J8" i="10"/>
  <c r="L16" i="10"/>
  <c r="O16" i="10" s="1"/>
  <c r="M10" i="10"/>
  <c r="O8" i="10"/>
  <c r="M20" i="10" l="1"/>
  <c r="N20" i="10"/>
  <c r="O29" i="10"/>
  <c r="M29" i="10"/>
  <c r="N8" i="10"/>
  <c r="M8" i="10"/>
  <c r="O10" i="10"/>
  <c r="N10" i="10"/>
  <c r="J7" i="10"/>
  <c r="K7" i="10"/>
  <c r="L7" i="10"/>
  <c r="G10" i="13" l="1"/>
  <c r="M10" i="13" l="1"/>
  <c r="O10" i="13" s="1"/>
  <c r="H10" i="13"/>
  <c r="O14" i="3"/>
  <c r="X14" i="3"/>
  <c r="AG14" i="3"/>
  <c r="AP14" i="3"/>
  <c r="AY14" i="3"/>
  <c r="N10" i="13" l="1"/>
  <c r="B1" i="10"/>
  <c r="O4" i="8" l="1"/>
  <c r="F5" i="8" l="1"/>
  <c r="G5" i="8" s="1"/>
  <c r="F4" i="8"/>
  <c r="G4" i="8" s="1"/>
  <c r="O5" i="8" l="1"/>
  <c r="P5" i="8"/>
  <c r="Q5" i="8"/>
  <c r="R5" i="8"/>
  <c r="S5" i="8"/>
  <c r="T5" i="8"/>
  <c r="U5" i="8"/>
  <c r="U4" i="8"/>
  <c r="R4" i="8"/>
  <c r="Q4" i="8"/>
  <c r="P4" i="8"/>
  <c r="T4" i="8"/>
  <c r="S4" i="8"/>
  <c r="I39" i="1"/>
  <c r="H16" i="7"/>
  <c r="L4" i="8" s="1"/>
  <c r="K15" i="7"/>
  <c r="K14" i="7"/>
  <c r="K13" i="7"/>
  <c r="K12" i="7"/>
  <c r="K11" i="7"/>
  <c r="K10" i="7"/>
  <c r="K9" i="7"/>
  <c r="K8" i="7"/>
  <c r="K7" i="7"/>
  <c r="K6" i="7"/>
  <c r="K5" i="7"/>
  <c r="K4" i="7"/>
  <c r="M5" i="8" l="1"/>
  <c r="M4" i="8"/>
  <c r="N5" i="8"/>
  <c r="L5" i="8"/>
  <c r="V5" i="8" s="1"/>
  <c r="N4" i="8"/>
  <c r="W4" i="8"/>
  <c r="Z5" i="8"/>
  <c r="Y5" i="8"/>
  <c r="AB5" i="8"/>
  <c r="X5" i="8"/>
  <c r="Z4" i="8"/>
  <c r="Z6" i="8" s="1"/>
  <c r="Y4" i="8"/>
  <c r="Y6" i="8" s="1"/>
  <c r="E7" i="14" s="1"/>
  <c r="AB4" i="8"/>
  <c r="X4" i="8"/>
  <c r="X6" i="8" s="1"/>
  <c r="D7" i="14" s="1"/>
  <c r="AA5" i="8"/>
  <c r="V4" i="8"/>
  <c r="AA4" i="8"/>
  <c r="W5" i="8"/>
  <c r="F7" i="14" l="1"/>
  <c r="G7" i="14"/>
  <c r="W6" i="8"/>
  <c r="C7" i="14" s="1"/>
  <c r="AB6" i="8"/>
  <c r="H7" i="14" s="1"/>
  <c r="V6" i="8"/>
  <c r="B7" i="14" s="1"/>
  <c r="I17" i="5" l="1"/>
  <c r="J17" i="5"/>
  <c r="K17" i="5"/>
  <c r="L17" i="5"/>
  <c r="M17" i="5"/>
  <c r="C13" i="5"/>
  <c r="C12" i="5"/>
  <c r="H6" i="5"/>
  <c r="H7" i="5"/>
  <c r="H8" i="5"/>
  <c r="H9" i="5"/>
  <c r="H10" i="5"/>
  <c r="H11" i="5"/>
  <c r="H12" i="5"/>
  <c r="H13" i="5"/>
  <c r="H14" i="5"/>
  <c r="H15" i="5"/>
  <c r="H16" i="5"/>
  <c r="H17" i="5"/>
  <c r="H5" i="5"/>
  <c r="G17" i="5"/>
  <c r="G6" i="5"/>
  <c r="G7" i="5"/>
  <c r="G8" i="5"/>
  <c r="G9" i="5"/>
  <c r="G10" i="5"/>
  <c r="G11" i="5"/>
  <c r="G12" i="5"/>
  <c r="G13" i="5"/>
  <c r="G14" i="5"/>
  <c r="G15" i="5"/>
  <c r="G16" i="5"/>
  <c r="G5" i="5"/>
  <c r="C10" i="5"/>
  <c r="C9" i="5"/>
  <c r="C8" i="5"/>
  <c r="B6" i="5"/>
  <c r="B7" i="5"/>
  <c r="B8" i="5"/>
  <c r="B9" i="5"/>
  <c r="B10" i="5"/>
  <c r="B11" i="5"/>
  <c r="B12" i="5"/>
  <c r="B13" i="5"/>
  <c r="B14" i="5"/>
  <c r="B15" i="5"/>
  <c r="B16" i="5"/>
  <c r="B17" i="5"/>
  <c r="A17" i="5"/>
  <c r="A6" i="5"/>
  <c r="A7" i="5"/>
  <c r="A8" i="5"/>
  <c r="A9" i="5"/>
  <c r="A10" i="5"/>
  <c r="A11" i="5"/>
  <c r="A12" i="5"/>
  <c r="A13" i="5"/>
  <c r="A14" i="5"/>
  <c r="A15" i="5"/>
  <c r="A16" i="5"/>
  <c r="B5" i="5"/>
  <c r="A5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Q16" i="5" l="1"/>
  <c r="T17" i="5"/>
  <c r="N7" i="5"/>
  <c r="P7" i="5" s="1"/>
  <c r="T7" i="5"/>
  <c r="S17" i="5"/>
  <c r="R17" i="5"/>
  <c r="Q17" i="5"/>
  <c r="N17" i="5"/>
  <c r="O17" i="5" s="1"/>
  <c r="Q12" i="5"/>
  <c r="T8" i="5"/>
  <c r="N11" i="5"/>
  <c r="P11" i="5" s="1"/>
  <c r="T14" i="5"/>
  <c r="Q14" i="5"/>
  <c r="T11" i="5"/>
  <c r="N8" i="5"/>
  <c r="O8" i="5" s="1"/>
  <c r="S12" i="5"/>
  <c r="R16" i="5"/>
  <c r="N12" i="5"/>
  <c r="O12" i="5" s="1"/>
  <c r="S16" i="5"/>
  <c r="R8" i="5"/>
  <c r="N16" i="5"/>
  <c r="O16" i="5" s="1"/>
  <c r="S8" i="5"/>
  <c r="R9" i="5"/>
  <c r="R12" i="5"/>
  <c r="R15" i="5"/>
  <c r="Q15" i="5"/>
  <c r="N15" i="5"/>
  <c r="T15" i="5"/>
  <c r="Q5" i="5"/>
  <c r="R7" i="5"/>
  <c r="Q7" i="5"/>
  <c r="S7" i="5"/>
  <c r="N9" i="5"/>
  <c r="S15" i="5"/>
  <c r="N5" i="5"/>
  <c r="R5" i="5"/>
  <c r="Q9" i="5"/>
  <c r="R11" i="5"/>
  <c r="Q11" i="5"/>
  <c r="S11" i="5"/>
  <c r="R14" i="5"/>
  <c r="N14" i="5"/>
  <c r="S9" i="5"/>
  <c r="T12" i="5"/>
  <c r="T16" i="5"/>
  <c r="T5" i="5"/>
  <c r="Q8" i="5"/>
  <c r="T9" i="5"/>
  <c r="T13" i="5"/>
  <c r="S14" i="5"/>
  <c r="T10" i="5"/>
  <c r="S5" i="5"/>
  <c r="O7" i="5" l="1"/>
  <c r="P17" i="5"/>
  <c r="P8" i="5"/>
  <c r="P5" i="5"/>
  <c r="O5" i="5"/>
  <c r="P16" i="5"/>
  <c r="O11" i="5"/>
  <c r="R13" i="5"/>
  <c r="P12" i="5"/>
  <c r="P14" i="5"/>
  <c r="O14" i="5"/>
  <c r="R6" i="5"/>
  <c r="N6" i="5"/>
  <c r="Q10" i="5"/>
  <c r="S10" i="5"/>
  <c r="P15" i="5"/>
  <c r="O15" i="5"/>
  <c r="Q13" i="5"/>
  <c r="S13" i="5"/>
  <c r="N13" i="5"/>
  <c r="Q6" i="5"/>
  <c r="P9" i="5"/>
  <c r="O9" i="5"/>
  <c r="T6" i="5"/>
  <c r="T18" i="5" s="1"/>
  <c r="H5" i="14" s="1"/>
  <c r="H8" i="14" s="1"/>
  <c r="S6" i="5"/>
  <c r="R10" i="5"/>
  <c r="N10" i="5"/>
  <c r="S18" i="5" l="1"/>
  <c r="G5" i="14" s="1"/>
  <c r="G8" i="14" s="1"/>
  <c r="Q18" i="5"/>
  <c r="E5" i="14" s="1"/>
  <c r="E8" i="14" s="1"/>
  <c r="R18" i="5"/>
  <c r="F5" i="14" s="1"/>
  <c r="F8" i="14" s="1"/>
  <c r="O6" i="5"/>
  <c r="P6" i="5"/>
  <c r="O10" i="5"/>
  <c r="P10" i="5"/>
  <c r="P13" i="5"/>
  <c r="O13" i="5"/>
  <c r="O18" i="5" l="1"/>
  <c r="C5" i="14" s="1"/>
  <c r="D5" i="14"/>
  <c r="AY56" i="3" l="1"/>
  <c r="AY55" i="3"/>
  <c r="AY53" i="3"/>
  <c r="AY52" i="3"/>
  <c r="AY51" i="3"/>
  <c r="AY50" i="3"/>
  <c r="AY42" i="3"/>
  <c r="AY41" i="3"/>
  <c r="AY39" i="3"/>
  <c r="AY38" i="3"/>
  <c r="AY37" i="3"/>
  <c r="AY36" i="3"/>
  <c r="AY28" i="3"/>
  <c r="AY27" i="3"/>
  <c r="AY25" i="3"/>
  <c r="AY24" i="3"/>
  <c r="AY23" i="3"/>
  <c r="AY22" i="3"/>
  <c r="AY13" i="3"/>
  <c r="AY11" i="3"/>
  <c r="AY10" i="3"/>
  <c r="AY9" i="3"/>
  <c r="AY8" i="3"/>
  <c r="AP84" i="3"/>
  <c r="AP83" i="3"/>
  <c r="AP81" i="3"/>
  <c r="AP80" i="3"/>
  <c r="AP79" i="3"/>
  <c r="AP78" i="3"/>
  <c r="AP70" i="3"/>
  <c r="G11" i="3" s="1"/>
  <c r="M13" i="13" s="1"/>
  <c r="AP69" i="3"/>
  <c r="AP67" i="3"/>
  <c r="AP66" i="3"/>
  <c r="AP65" i="3"/>
  <c r="AP64" i="3"/>
  <c r="AP56" i="3"/>
  <c r="G9" i="3" s="1"/>
  <c r="M11" i="13" s="1"/>
  <c r="AP55" i="3"/>
  <c r="AP53" i="3"/>
  <c r="AP52" i="3"/>
  <c r="AP51" i="3"/>
  <c r="AP50" i="3"/>
  <c r="AP42" i="3"/>
  <c r="AP41" i="3"/>
  <c r="AP39" i="3"/>
  <c r="AP38" i="3"/>
  <c r="AP37" i="3"/>
  <c r="AP36" i="3"/>
  <c r="AP28" i="3"/>
  <c r="AP27" i="3"/>
  <c r="AP25" i="3"/>
  <c r="AP24" i="3"/>
  <c r="AP23" i="3"/>
  <c r="AP22" i="3"/>
  <c r="AP13" i="3"/>
  <c r="AP11" i="3"/>
  <c r="AP10" i="3"/>
  <c r="AP9" i="3"/>
  <c r="AP8" i="3"/>
  <c r="AG56" i="3"/>
  <c r="AG55" i="3"/>
  <c r="AG53" i="3"/>
  <c r="AG52" i="3"/>
  <c r="AG51" i="3"/>
  <c r="AG50" i="3"/>
  <c r="AG42" i="3"/>
  <c r="G18" i="3" s="1"/>
  <c r="AG41" i="3"/>
  <c r="AG39" i="3"/>
  <c r="AG38" i="3"/>
  <c r="AG37" i="3"/>
  <c r="AG36" i="3"/>
  <c r="AG28" i="3"/>
  <c r="G16" i="3" s="1"/>
  <c r="M18" i="13" s="1"/>
  <c r="N18" i="13" s="1"/>
  <c r="AG27" i="3"/>
  <c r="AG25" i="3"/>
  <c r="AG24" i="3"/>
  <c r="AG23" i="3"/>
  <c r="AG22" i="3"/>
  <c r="AG13" i="3"/>
  <c r="AG11" i="3"/>
  <c r="AG10" i="3"/>
  <c r="AG9" i="3"/>
  <c r="AG8" i="3"/>
  <c r="X56" i="3"/>
  <c r="X55" i="3"/>
  <c r="X53" i="3"/>
  <c r="X52" i="3"/>
  <c r="X51" i="3"/>
  <c r="X50" i="3"/>
  <c r="X42" i="3"/>
  <c r="X41" i="3"/>
  <c r="X39" i="3"/>
  <c r="X38" i="3"/>
  <c r="X37" i="3"/>
  <c r="X36" i="3"/>
  <c r="X28" i="3"/>
  <c r="X27" i="3"/>
  <c r="X25" i="3"/>
  <c r="X24" i="3"/>
  <c r="X23" i="3"/>
  <c r="X22" i="3"/>
  <c r="X13" i="3"/>
  <c r="X11" i="3"/>
  <c r="X10" i="3"/>
  <c r="X9" i="3"/>
  <c r="X8" i="3"/>
  <c r="O13" i="13" l="1"/>
  <c r="N13" i="13"/>
  <c r="O18" i="13"/>
  <c r="O11" i="13"/>
  <c r="N11" i="13"/>
  <c r="G12" i="3"/>
  <c r="M14" i="13" s="1"/>
  <c r="G13" i="3"/>
  <c r="M15" i="13" s="1"/>
  <c r="G17" i="3"/>
  <c r="M19" i="13" s="1"/>
  <c r="G8" i="3"/>
  <c r="M9" i="13" s="1"/>
  <c r="G6" i="3"/>
  <c r="M7" i="13" s="1"/>
  <c r="G7" i="3"/>
  <c r="M8" i="13" s="1"/>
  <c r="G15" i="3"/>
  <c r="M17" i="13" s="1"/>
  <c r="O28" i="3"/>
  <c r="G14" i="3" s="1"/>
  <c r="M16" i="13" s="1"/>
  <c r="O25" i="3"/>
  <c r="O24" i="3"/>
  <c r="O23" i="3"/>
  <c r="O22" i="3"/>
  <c r="G10" i="3"/>
  <c r="M12" i="13" s="1"/>
  <c r="O13" i="3"/>
  <c r="O11" i="3"/>
  <c r="O10" i="3"/>
  <c r="O9" i="3"/>
  <c r="O8" i="3"/>
  <c r="M20" i="13" l="1"/>
  <c r="B3" i="14" s="1"/>
  <c r="N8" i="13"/>
  <c r="O8" i="13"/>
  <c r="N7" i="13"/>
  <c r="O7" i="13"/>
  <c r="N14" i="13"/>
  <c r="O14" i="13"/>
  <c r="N16" i="13"/>
  <c r="O16" i="13"/>
  <c r="N12" i="13"/>
  <c r="O12" i="13"/>
  <c r="N15" i="13"/>
  <c r="O15" i="13"/>
  <c r="O9" i="13"/>
  <c r="N9" i="13"/>
  <c r="O17" i="13"/>
  <c r="N17" i="13"/>
  <c r="N19" i="13"/>
  <c r="O19" i="13"/>
  <c r="C39" i="1"/>
  <c r="D39" i="1"/>
  <c r="E39" i="1"/>
  <c r="F39" i="1"/>
  <c r="G39" i="1"/>
  <c r="H39" i="1"/>
  <c r="J39" i="1"/>
  <c r="B39" i="1"/>
  <c r="G11" i="10" l="1"/>
  <c r="G9" i="10"/>
  <c r="G7" i="10"/>
  <c r="N20" i="13"/>
  <c r="C3" i="14" s="1"/>
  <c r="O20" i="13"/>
  <c r="D3" i="14" s="1"/>
  <c r="O7" i="10" l="1"/>
  <c r="N7" i="10"/>
  <c r="M7" i="10"/>
  <c r="M9" i="10"/>
  <c r="N9" i="10"/>
  <c r="O9" i="10"/>
  <c r="G13" i="10"/>
  <c r="O11" i="10"/>
  <c r="G12" i="10"/>
  <c r="N11" i="10"/>
  <c r="M11" i="10"/>
  <c r="M13" i="10" l="1"/>
  <c r="O13" i="10"/>
  <c r="N13" i="10"/>
  <c r="N12" i="10"/>
  <c r="N36" i="10" s="1"/>
  <c r="C4" i="14" s="1"/>
  <c r="C8" i="14" s="1"/>
  <c r="O12" i="10"/>
  <c r="M12" i="10"/>
  <c r="M36" i="10" s="1"/>
  <c r="B4" i="14" s="1"/>
  <c r="O36" i="10" l="1"/>
  <c r="D4" i="14" s="1"/>
  <c r="D8" i="14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sz val="9"/>
            <color indexed="81"/>
            <rFont val="Segoe UI"/>
            <family val="2"/>
          </rPr>
          <t>http://www.npi.gov.au/system/files/resources/7e04163a-12ba-6864-d19a-f57d960aae58/files/mining.pdf</t>
        </r>
      </text>
    </comment>
  </commentList>
</comments>
</file>

<file path=xl/comments5.xml><?xml version="1.0" encoding="utf-8"?>
<comments xmlns="http://schemas.openxmlformats.org/spreadsheetml/2006/main">
  <authors>
    <author>Gabriel Aarão Gonçalves</author>
  </authors>
  <commentList>
    <comment ref="E82" authorId="0" shapeId="0">
      <text>
        <r>
          <rPr>
            <sz val="9"/>
            <color indexed="81"/>
            <rFont val="Segoe UI"/>
            <family val="2"/>
          </rPr>
          <t xml:space="preserve">Coordenadas enviadas pelo empreendimento no formato grau, minutos, segundos possivelmente incorretas
</t>
        </r>
      </text>
    </comment>
    <comment ref="E83" authorId="0" shapeId="0">
      <text>
        <r>
          <rPr>
            <sz val="9"/>
            <color indexed="81"/>
            <rFont val="Segoe UI"/>
            <family val="2"/>
          </rPr>
          <t xml:space="preserve">Coordenadas enviadas pelo empreendimento no formato grau, minutos, segundos possivelmente incorretas
</t>
        </r>
      </text>
    </comment>
    <comment ref="A92" authorId="0" shapeId="0">
      <text>
        <r>
          <rPr>
            <sz val="9"/>
            <color indexed="81"/>
            <rFont val="Segoe UI"/>
            <family val="2"/>
          </rPr>
          <t>Não há informação detalhada sobre a localização e o porte do cinturão verde. Portanto, essa medida de controle não foi considerada</t>
        </r>
      </text>
    </comment>
  </commentList>
</comments>
</file>

<file path=xl/comments6.xml><?xml version="1.0" encoding="utf-8"?>
<comments xmlns="http://schemas.openxmlformats.org/spreadsheetml/2006/main">
  <authors>
    <author>Gabriel Aarão Gonçalves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Setores que utilizam antracito: Fábrica de Pasta, Forno Calcinador 1 e Forno Calcinador 2
</t>
        </r>
      </text>
    </comment>
    <comment ref="B2" authorId="0" shapeId="0">
      <text>
        <r>
          <rPr>
            <sz val="9"/>
            <color indexed="81"/>
            <rFont val="Segoe UI"/>
            <family val="2"/>
          </rPr>
          <t xml:space="preserve">Antracito é utilizado nos setores Forno Calcinador (1 e 2) e na fábrica de pasta. Como não há informação sobre a quantidade de material utilizada em cada setor, foi considerado que cada setor utiliza a mesma quantidade do material
</t>
        </r>
      </text>
    </comment>
    <comment ref="K7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material.
Table B.2.2 - Categoy 4 
Process:  Mechanically Generated. 
Fonte: https://www3.epa.gov/ttn/chief/ap42/appendix/appb-2.pdf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L7" authorId="0" shapeId="0">
      <text>
        <r>
          <rPr>
            <sz val="9"/>
            <color indexed="81"/>
            <rFont val="Segoe UI"/>
            <family val="2"/>
          </rPr>
          <t xml:space="preserve">Foi considerado a distribuição de tamanho de partículas para o PM2,5, para o processo de manuseio e processamento de material.
Table B.2.2 - Categoy 4 
Process:  Mechanically Generated. 
Fonte: https://www3.epa.gov/ttn/chief/ap42/appendix/appb-2.pdf
</t>
        </r>
      </text>
    </comment>
    <comment ref="M7" authorId="0" shapeId="0">
      <text>
        <r>
          <rPr>
            <sz val="9"/>
            <color indexed="81"/>
            <rFont val="Segoe UI"/>
            <family val="2"/>
          </rPr>
          <t>Média dos dados de monitoramento dos meses de fevereiro e setembro de 2015</t>
        </r>
      </text>
    </comment>
    <comment ref="K8" authorId="0" shapeId="0">
      <text>
        <r>
          <rPr>
            <sz val="9"/>
            <color indexed="81"/>
            <rFont val="Segoe UI"/>
            <family val="2"/>
          </rPr>
          <t>Processo semelhante às atividades de manuseio e processamento de materiais. Além disso, o processo inclui a etapa de secagem, conforme consta no PCA do empreendimento, página 13. Portanto, foi considerado a distribuição de tamanho de partículas para o PM10, para o processo de manuseio e processamento de material (inclui secagem).
Table B.2.2 - Categoy 4
Process:  Mechanically Generated. 
Fonte: https://www3.epa.gov/ttn/chief/ap42/appendix/appb-2.pdf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L8" authorId="0" shapeId="0">
      <text>
        <r>
          <rPr>
            <sz val="9"/>
            <color indexed="81"/>
            <rFont val="Segoe UI"/>
            <family val="2"/>
          </rPr>
          <t>Processo semelhante às atividades de manuseio e processamento de materiais. Além disso, o processo inclui a etapa de secagem, conforme consta no PCA do empreendimento, página 13. Portanto, foi considerado a distribuição de tamanho de partículas para o PM2,5, para o processo de manuseio e processamento de material (inclui secagem).
Table B.2.2 - Categoy 4
Process:  Mechanically Generated. 
Fonte: https://www3.epa.gov/ttn/chief/ap42/appendix/appb-2.pdf</t>
        </r>
      </text>
    </comment>
    <comment ref="M8" authorId="0" shapeId="0">
      <text>
        <r>
          <rPr>
            <sz val="9"/>
            <color indexed="81"/>
            <rFont val="Segoe UI"/>
            <family val="2"/>
          </rPr>
          <t xml:space="preserve">Média dos dados de monitoramento dos meses de fevereiro e outubro de 2015
</t>
        </r>
      </text>
    </comment>
    <comment ref="K9" authorId="0" shapeId="0">
      <text>
        <r>
          <rPr>
            <sz val="9"/>
            <color indexed="81"/>
            <rFont val="Segoe UI"/>
            <family val="2"/>
          </rPr>
          <t>Foi considerada a distribuição de tamanho de partículas para o PM10 para o processo de dessulfurização com filtro de mangas, conforme apresentado em: 
Table 12.5-2 (Metric And English Units). SIZE SPECIFIC EMISSION FACTORS
Source: Hot metal desulfurization - Controlled Baghouse
Fonte: https://www3.epa.gov/ttnchie1/ap42/ch12/final/c12s05.pdf</t>
        </r>
      </text>
    </comment>
    <comment ref="L9" authorId="0" shapeId="0">
      <text>
        <r>
          <rPr>
            <sz val="9"/>
            <color indexed="81"/>
            <rFont val="Segoe UI"/>
            <family val="2"/>
          </rPr>
          <t>Foi considerada a distribuição de tamanho de partículas para o PM2,5 para o processo de dessulfurização com filtro de mangas, conforme apresentado em: 
Table 12.5-2 (Metric And English Units). SIZE SPECIFIC EMISSION FACTORS
Source: Hot metal desulfurization - Controlled Baghouse
Fonte: https://www3.epa.gov/ttnchie1/ap42/ch12/final/c12s05.pdf</t>
        </r>
      </text>
    </comment>
    <comment ref="M9" authorId="0" shapeId="0">
      <text>
        <r>
          <rPr>
            <sz val="9"/>
            <color indexed="81"/>
            <rFont val="Segoe UI"/>
            <family val="2"/>
          </rPr>
          <t xml:space="preserve">Média dos dados de monitoramento dos meses de fevereiro e outubro de 2015
</t>
        </r>
      </text>
    </comment>
    <comment ref="A10" authorId="0" shapeId="0">
      <text>
        <r>
          <rPr>
            <sz val="9"/>
            <color indexed="81"/>
            <rFont val="Segoe UI"/>
            <family val="2"/>
          </rPr>
          <t>Não há dados de monitoramento para esta fonte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 xml:space="preserve">Não há dados de monitoramento para essa fonte
</t>
        </r>
      </text>
    </comment>
    <comment ref="K10" authorId="0" shapeId="0">
      <text>
        <r>
          <rPr>
            <sz val="9"/>
            <color indexed="81"/>
            <rFont val="Segoe UI"/>
            <family val="2"/>
          </rPr>
          <t>Foi considerada a distribuição de tamanho de partículas para o PM10 para o processo de dessulfurização com filtro de mangas, conforme apresentado em: 
Table 12.5-2 (Metric And English Units). SIZE SPECIFIC EMISSION FACTORS
Source: Hot metal desulfurization - Controlled Baghouse
Fonte: https://www3.epa.gov/ttnchie1/ap42/ch12/final/c12s05.pdf</t>
        </r>
      </text>
    </comment>
    <comment ref="L10" authorId="0" shapeId="0">
      <text>
        <r>
          <rPr>
            <sz val="9"/>
            <color indexed="81"/>
            <rFont val="Segoe UI"/>
            <family val="2"/>
          </rPr>
          <t>Foi considerada a distribuição de tamanho de partículas para o PM2,5 para o processo de dessulfurização com filtro de mangas, conforme apresentado em: 
Table 12.5-2 (Metric And English Units). SIZE SPECIFIC EMISSION FACTORS
Source: Hot metal desulfurization - Controlled Baghouse
Fonte: https://www3.epa.gov/ttnchie1/ap42/ch12/final/c12s05.pdf</t>
        </r>
      </text>
    </comment>
    <comment ref="M10" authorId="0" shapeId="0">
      <text>
        <r>
          <rPr>
            <sz val="9"/>
            <color indexed="81"/>
            <rFont val="Segoe UI"/>
            <family val="2"/>
          </rPr>
          <t xml:space="preserve">Não há dados de monitoramento para a taxa de emissão. Uma vez que a vazão da chaminé foi fornecida, considerou-se uma concentração típica de saída da chaminé de 50 mg/Nm³. 
Fonte: https://www3.epa.gov/ttn/catc/cica/files/ff-pulse.pdf
</t>
        </r>
      </text>
    </comment>
    <comment ref="K11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 (inclui moagem).
Table B.2.2 - Categoy 4 
Process:  Mechanically Generated. 
Fonte: https://www3.epa.gov/ttn/chief/ap42/appendix/appb-2.pdf</t>
        </r>
      </text>
    </comment>
    <comment ref="L11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 (inclui moagem).
Table B.2.2 - Categoy 4 
Process:  Mechanically Generated. 
Fonte: https://www3.epa.gov/ttn/chief/ap42/appendix/appb-2.pdf</t>
        </r>
      </text>
    </comment>
    <comment ref="M11" authorId="0" shapeId="0">
      <text>
        <r>
          <rPr>
            <sz val="9"/>
            <color indexed="81"/>
            <rFont val="Segoe UI"/>
            <family val="2"/>
          </rPr>
          <t>Dado de monitoramento do mês de setembro de 2015</t>
        </r>
      </text>
    </comment>
    <comment ref="K12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 (inclui moagem).
Table B.2.2 - Categoy 4 
Process:  Mechanically Generated. 
Fonte: https://www3.epa.gov/ttn/chief/ap42/appendix/appb-2.pdf</t>
        </r>
      </text>
    </comment>
    <comment ref="L12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 (inclui moagem).
Table B.2.2 - Categoy 4 
Process:  Mechanically Generated. 
Fonte: https://www3.epa.gov/ttn/chief/ap42/appendix/appb-2.pdf</t>
        </r>
      </text>
    </comment>
    <comment ref="M12" authorId="0" shapeId="0">
      <text>
        <r>
          <rPr>
            <sz val="9"/>
            <color indexed="81"/>
            <rFont val="Segoe UI"/>
            <family val="2"/>
          </rPr>
          <t>Dado de monitoramento do mês de abril de 2015</t>
        </r>
      </text>
    </comment>
    <comment ref="K13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 (inclui moagem).
Table B.2.2 - Categoy 4 
Process:  Mechanically Generated. 
Fonte: https://www3.epa.gov/ttn/chief/ap42/appendix/appb-2.pdf</t>
        </r>
      </text>
    </comment>
    <comment ref="L13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 (inclui moagem).
Table B.2.2 - Categoy 4 
Process:  Mechanically Generated. 
Fonte: https://www3.epa.gov/ttn/chief/ap42/appendix/appb-2.pdf</t>
        </r>
      </text>
    </comment>
    <comment ref="M13" authorId="0" shapeId="0">
      <text>
        <r>
          <rPr>
            <sz val="9"/>
            <color indexed="81"/>
            <rFont val="Segoe UI"/>
            <family val="2"/>
          </rPr>
          <t>Dado de monitoramento do mês de setembro de 2015</t>
        </r>
      </text>
    </comment>
    <comment ref="K14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 (inclui peneiramento).
Table B.2.2 - Categoy 4 
Process:  Mechanically Generated. 
Fonte: https://www3.epa.gov/ttn/chief/ap42/appendix/appb-2.pdf</t>
        </r>
      </text>
    </comment>
    <comment ref="L14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 (inclui peneiramento).
Table B.2.2 - Categoy 4 
Process:  Mechanically Generated. 
Fonte: https://www3.epa.gov/ttn/chief/ap42/appendix/appb-2.pdf</t>
        </r>
      </text>
    </comment>
    <comment ref="M14" authorId="0" shapeId="0">
      <text>
        <r>
          <rPr>
            <sz val="9"/>
            <color indexed="81"/>
            <rFont val="Segoe UI"/>
            <family val="2"/>
          </rPr>
          <t xml:space="preserve">Média dos dados de monitoramento dos meses de fevereiro e setembro de 2015
</t>
        </r>
      </text>
    </comment>
    <comment ref="K15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 (inclui secagem).
Table B.2.2 - Categoy 4 
Process:  Mechanically Generated. 
Fonte: https://www3.epa.gov/ttn/chief/ap42/appendix/appb-2.pdf</t>
        </r>
      </text>
    </comment>
    <comment ref="L15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 (inclui secagem).
Table B.2.2 - Categoy 4 
Process:  Mechanically Generated. 
Fonte: https://www3.epa.gov/ttn/chief/ap42/appendix/appb-2.pdf</t>
        </r>
      </text>
    </comment>
    <comment ref="M15" authorId="0" shapeId="0">
      <text>
        <r>
          <rPr>
            <sz val="9"/>
            <color indexed="81"/>
            <rFont val="Segoe UI"/>
            <family val="2"/>
          </rPr>
          <t>Média dos dados de monitoramento dos meses de março e setembro de 2015</t>
        </r>
      </text>
    </comment>
    <comment ref="K16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e processamento de material.
Table B.2.2 - Categoy 4 
Process:  Mechanically Generated. 
Fonte: https://www3.epa.gov/ttn/chief/ap42/appendix/appb-2.pdf</t>
        </r>
      </text>
    </comment>
    <comment ref="L16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material.
Table B.2.2 - Categoy 4 
Process:  Mechanically Generated. 
Fonte: https://www3.epa.gov/ttn/chief/ap42/appendix/appb-2.pdf</t>
        </r>
      </text>
    </comment>
    <comment ref="M16" authorId="0" shapeId="0">
      <text>
        <r>
          <rPr>
            <sz val="9"/>
            <color indexed="81"/>
            <rFont val="Segoe UI"/>
            <family val="2"/>
          </rPr>
          <t xml:space="preserve">Média dos dados de monitoramento dos meses de abril e outubro de 2015
</t>
        </r>
      </text>
    </comment>
    <comment ref="K17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manuseio de material e processamento de material.
Table B.2.2 - Categoy 4 
Process:  Mechanically Generated. 
Fonte: https://www3.epa.gov/ttn/chief/ap42/appendix/appb-2.pdf</t>
        </r>
      </text>
    </comment>
    <comment ref="L17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manuseio e processamento de material.
Table B.2.2 - Categoy 4 
Process:  Mechanically Generated. 
Fonte: https://www3.epa.gov/ttn/chief/ap42/appendix/appb-2.pdf</t>
        </r>
      </text>
    </comment>
    <comment ref="M17" authorId="0" shapeId="0">
      <text>
        <r>
          <rPr>
            <sz val="9"/>
            <color indexed="81"/>
            <rFont val="Segoe UI"/>
            <family val="2"/>
          </rPr>
          <t>Média dos dados de monitoramento dos meses de março e setembro de 2015</t>
        </r>
      </text>
    </comment>
    <comment ref="A18" authorId="0" shapeId="0">
      <text>
        <r>
          <rPr>
            <sz val="9"/>
            <color indexed="81"/>
            <rFont val="Segoe UI"/>
            <family val="2"/>
          </rPr>
          <t xml:space="preserve">Nome da fonte fornecida pelo empreendimento diferente do nome da fonte apresentada no relatório de monitoramento. Portanto, foi considerada a fonte denominada "Chaminé do Filtro de Mangas 01 (forno 01)" pelo empreendimento correspondente à fonte denominada "Chaminé do Filtro de Mangas Moinho de Barras Silo 01" 
</t>
        </r>
      </text>
    </comment>
    <comment ref="D18" authorId="0" shapeId="0">
      <text>
        <r>
          <rPr>
            <sz val="9"/>
            <color indexed="81"/>
            <rFont val="Segoe UI"/>
            <family val="2"/>
          </rPr>
          <t xml:space="preserve">Coordenadas fora da zona do empreendimento. Portanto, foi considerada as coordenadas apresentadas no relatório de monitoramento
</t>
        </r>
      </text>
    </comment>
    <comment ref="E18" authorId="0" shapeId="0">
      <text>
        <r>
          <rPr>
            <sz val="9"/>
            <color indexed="81"/>
            <rFont val="Segoe UI"/>
            <family val="2"/>
          </rPr>
          <t>Coordenadas fora da zona do empreendimento. Portanto, foi considerada as coordenadas apresentadas no relatório de monitoramento</t>
        </r>
      </text>
    </comment>
    <comment ref="K18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calcinação.
Table B.2.2 - Category 5.
Process: Calcining and Other Heat Reaction Processes.
Fonte: https://www3.epa.gov/ttn/chief/ap42/appendix/appb-2.pdf</t>
        </r>
      </text>
    </comment>
    <comment ref="L18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calcinação.
Table B.2.2 - Category 5.
Process: Calcining and Other Heat Reaction Processes.
Fonte: https://www3.epa.gov/ttn/chief/ap42/appendix/appb-2.pdf</t>
        </r>
      </text>
    </comment>
    <comment ref="M18" authorId="0" shapeId="0">
      <text>
        <r>
          <rPr>
            <sz val="9"/>
            <color indexed="81"/>
            <rFont val="Segoe UI"/>
            <family val="2"/>
          </rPr>
          <t xml:space="preserve">Dado de monitoramento do mês de março de 2015
</t>
        </r>
      </text>
    </comment>
    <comment ref="A19" authorId="0" shapeId="0">
      <text>
        <r>
          <rPr>
            <sz val="9"/>
            <color indexed="81"/>
            <rFont val="Segoe UI"/>
            <family val="2"/>
          </rPr>
          <t xml:space="preserve">Nome da fonte fornecida pelo empreendimento diferente do nome da fonte apresentada no relatório de monitoramento. Portanto, foi considerada a fonte denominada "Chaminé do Filtro de Mangas 01 (forno 02)" pelo empreendimento correspondente à fonte denominada "Chaminé do Filtro de Mangas Moinho de Barras Silo 02" 
</t>
        </r>
      </text>
    </comment>
    <comment ref="D19" authorId="0" shapeId="0">
      <text>
        <r>
          <rPr>
            <sz val="9"/>
            <color indexed="81"/>
            <rFont val="Segoe UI"/>
            <family val="2"/>
          </rPr>
          <t xml:space="preserve">Coordenadas fora da zona do empreendimento. Portanto, foi considerada as coordenadas apresentadas no relatório de monitoramento
</t>
        </r>
      </text>
    </comment>
    <comment ref="E19" authorId="0" shapeId="0">
      <text>
        <r>
          <rPr>
            <sz val="9"/>
            <color indexed="81"/>
            <rFont val="Segoe UI"/>
            <family val="2"/>
          </rPr>
          <t>Coordenadas fora da zona do empreendimento. Portanto, foi considerada as coordenadas apresentadas no relatório de monitoramento</t>
        </r>
      </text>
    </comment>
    <comment ref="K19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PM10, para o processo de calcinação.
Table B.2.2 - Category 5.
Process: Calcining and Other Heat Reaction Processes.
Fonte: https://www3.epa.gov/ttn/chief/ap42/appendix/appb-2.pdf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9" authorId="0" shapeId="0">
      <text>
        <r>
          <rPr>
            <sz val="9"/>
            <color indexed="81"/>
            <rFont val="Segoe UI"/>
            <family val="2"/>
          </rPr>
          <t>Foi considerado a distribuição de tamanho de partículas para o PM2,5, para o processo de calcinação.
Table B.2.2 - Category 5.
Process: Calcining and Other Heat Reaction Processes.
Fonte: https://www3.epa.gov/ttn/chief/ap42/appendix/appb-2.pdf</t>
        </r>
      </text>
    </comment>
    <comment ref="M19" authorId="0" shapeId="0">
      <text>
        <r>
          <rPr>
            <sz val="9"/>
            <color indexed="81"/>
            <rFont val="Segoe UI"/>
            <family val="2"/>
          </rPr>
          <t>Dado de monitoramento do mês de outubro de 2015</t>
        </r>
      </text>
    </comment>
  </commentList>
</comments>
</file>

<file path=xl/comments7.xml><?xml version="1.0" encoding="utf-8"?>
<comments xmlns="http://schemas.openxmlformats.org/spreadsheetml/2006/main">
  <authors>
    <author>Gabriel Aarão Gonçalves</author>
    <author>Andrielly Moutinho Knupp</author>
  </authors>
  <commentList>
    <comment ref="E3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K4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M4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O4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P4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R4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T4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Informação da potência do modelo Volvo L60F obtida em catálogo online disponível em:
https://www.volvoce.com/brasil/pt-br/products/wheel-loaders/large/l60f/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 xml:space="preserve">Potência não informada pelo empreendimento e catálogos do equipamento também não foram encontrados. Portanto, foi considerada a potência do modelo Volvo L60F utilizado pelo empreendimento
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 xml:space="preserve">Potência não informada pelo empreendimento e catálogos do equipamento também não foram encontrados. Portanto, foi considerada a potência do modelo Volvo L60F utilizado pelo empreendimento
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Informação da potência do modelo 416 E obtida em catálogo online disponível em:
https://www.cat.com/pt_BR/products/new/equipment/backhoe-loaders/center-pivot/13889452.html
O valor da potência foi convertido de kW para hp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Informação da potência do modelo MC110 B obtida em catálogo online disponível em:
https://www.volvoce.com/-/media/volvoce/global/global-site/product-archive/documents/01-skid-steer-loaders/02-volvo/all-common/v-mc60btomc110b-83c4321910-2010-01.pdf?v=Sfg5Pw
O valor da potência foi convertido de kW para hp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Informação da potência do modelo MC110 B obtida em catálogo online disponível em:
https://www.volvoce.com/-/media/volvoce/global/global-site/product-archive/documents/01-skid-steer-loaders/02-volvo/all-common/v-mc60btomc110b-83c4321910-2010-01.pdf?v=Sfg5Pw
O valor da potência foi convertido de kW para hp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 xml:space="preserve">Informação da potência do modelo GP050VX obtida em catálogo online disponível em:
https://www.yale.com/uploadedFiles/Yale/Content/Brazil/Product_Range/GP040-060%20e%20070VX.pdf
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Yale
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Yale
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Clark, modelo GTS25/30/33
Fonte: https://clark-empilhadeiras.com.br/produto/gts-25-30-33/
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Clark, modelo GTS25/30/33
Fonte: https://clark-empilhadeiras.com.br/produto/gts-25-30-33/
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Clark, modelo GTS25/30/33
Fonte: https://clark-empilhadeiras.com.br/produto/gts-25-30-33/
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 xml:space="preserve">Modelo do equipamento não informado. Portanto, foi considerado o valor da potência de um equipamento da mesma marca: Clark, modelo GTS25/30/33
Fonte: https://clark-empilhadeiras.com.br/produto/gts-25-30-33/
</t>
        </r>
      </text>
    </comment>
  </commentList>
</comments>
</file>

<file path=xl/comments8.xml><?xml version="1.0" encoding="utf-8"?>
<comments xmlns="http://schemas.openxmlformats.org/spreadsheetml/2006/main">
  <authors>
    <author>Gabriel Aarão Gonçalves</author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Velocidade média do ano de 2015 da Estação Aeroporto
</t>
        </r>
      </text>
    </comment>
    <comment ref="H7" authorId="0" shapeId="0">
      <text>
        <r>
          <rPr>
            <sz val="9"/>
            <color indexed="81"/>
            <rFont val="Segoe UI"/>
            <family val="2"/>
          </rPr>
          <t>Coordenada central do Pátio</t>
        </r>
      </text>
    </comment>
    <comment ref="I7" authorId="0" shapeId="0">
      <text>
        <r>
          <rPr>
            <sz val="9"/>
            <color indexed="81"/>
            <rFont val="Segoe UI"/>
            <family val="2"/>
          </rPr>
          <t xml:space="preserve">Coordenada central do Pátio
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Antracito é utilizado nos setores Forno Calcinador (1 e 2) e na fábrica de pasta. Como não há informação sobre a quantidade de material utilizada em cada setor, foi considerado que cada setor utiliza a mesma quantidade do material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>Coordenada central do Pátio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Coordenada central do Pátio
</t>
        </r>
      </text>
    </comment>
    <comment ref="H9" authorId="0" shapeId="0">
      <text>
        <r>
          <rPr>
            <sz val="9"/>
            <color indexed="81"/>
            <rFont val="Segoe UI"/>
            <family val="2"/>
          </rPr>
          <t>Coordenada central do Pátio</t>
        </r>
      </text>
    </comment>
    <comment ref="I9" authorId="0" shapeId="0">
      <text>
        <r>
          <rPr>
            <sz val="9"/>
            <color indexed="81"/>
            <rFont val="Segoe UI"/>
            <family val="2"/>
          </rPr>
          <t xml:space="preserve">Coordenada central do Pátio
</t>
        </r>
      </text>
    </comment>
    <comment ref="H10" authorId="0" shapeId="0">
      <text>
        <r>
          <rPr>
            <sz val="9"/>
            <color indexed="81"/>
            <rFont val="Segoe UI"/>
            <family val="2"/>
          </rPr>
          <t>Coordenada central do Pátio</t>
        </r>
      </text>
    </comment>
    <comment ref="I10" authorId="0" shapeId="0">
      <text>
        <r>
          <rPr>
            <sz val="9"/>
            <color indexed="81"/>
            <rFont val="Segoe UI"/>
            <family val="2"/>
          </rPr>
          <t xml:space="preserve">Coordenada central do Pátio
</t>
        </r>
      </text>
    </comment>
    <comment ref="F11" authorId="0" shapeId="0">
      <text>
        <r>
          <rPr>
            <sz val="9"/>
            <color indexed="81"/>
            <rFont val="Segoe UI"/>
            <family val="2"/>
          </rPr>
          <t>Fonte: NPI (2012)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Finos de carbono é utilizado nos setores Peneiramento Finos de Carbono e Fábrica de Pasta. Como não há informação sobre a quantidade de material utilizada em cada setor, foi considerado que o setor moinho de barras e o setor Fábrica de Pasta utilizam a mesma quantidade de Finos de Carbono</t>
        </r>
      </text>
    </comment>
    <comment ref="D14" authorId="0" shapeId="0">
      <text>
        <r>
          <rPr>
            <sz val="9"/>
            <color indexed="81"/>
            <rFont val="Segoe UI"/>
            <family val="2"/>
          </rPr>
          <t>Foi considerada a umidade do carvão, pois o carvão é um composto rico em carbono.</t>
        </r>
      </text>
    </comment>
    <comment ref="G15" authorId="0" shapeId="0">
      <text>
        <r>
          <rPr>
            <sz val="9"/>
            <color indexed="81"/>
            <rFont val="Segoe UI"/>
            <family val="2"/>
          </rPr>
          <t>Considerado que a quantidade de material consumida é igual à quantidade produzida, pois não foi informada a quantidade de sucata recebida em 2015</t>
        </r>
      </text>
    </comment>
    <comment ref="G16" authorId="1" shapeId="0">
      <text>
        <r>
          <rPr>
            <sz val="9"/>
            <color indexed="81"/>
            <rFont val="Segoe UI"/>
            <family val="2"/>
          </rPr>
          <t>Considerado que a quantidade de material consumida é igual à quantidade produzida, pois não foi informada a quantidade de sucata recebida em 2015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Compostos de alta reatividade, tais como o carbureto de cálcio e o magnésio. O calcário também é utilizado nesse setor.
Esses materiais são utilizados no setor de dessulfuração.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Antracito é utilizado nos setores Forno Calcinador (1 e 2) e na fábrica de pasta. Como não há informação sobre a quantidade de material utilizada em cada setor, foi considerado que cada setor utiliza a mesma quantidade do material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 xml:space="preserve">Coque de Petróleo é utilizado nos setores Forno Calcinador (1 e 2). Como não há informação sobre a quantidade de material utilizada em cada setor, foi considerado que cada setor utiliza a mesma quantidade do material
</t>
        </r>
      </text>
    </comment>
    <comment ref="D21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D22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D23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Antracito é utilizado nos setores Forno Calcinador (1 e 2) e na fábrica de pasta. Como não há informação sobre a quantidade de material utilizada em cada setor, foi considerado que cada setor utiliza a mesma quantidade do material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 xml:space="preserve">Coque de Petróleo é utilizado nos setores Forno Calcinador (1 e 2). Como não há informação sobre a quantidade de material utilizada em cada setor, foi considerado que cada setor utiliza a mesma quantidade do material
</t>
        </r>
      </text>
    </comment>
    <comment ref="D27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D28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D29" authorId="0" shapeId="0">
      <text>
        <r>
          <rPr>
            <sz val="9"/>
            <color indexed="81"/>
            <rFont val="Segoe UI"/>
            <family val="2"/>
          </rPr>
          <t xml:space="preserve">Foi considerado o teor de umidade máximo para o Coque de Petróleo.
Fonte: http://www.br.com.br/pc/produtos-e-servicos/para-industrias/coqueverdedepetroleo
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Antracito é utilizado nos setores Forno Calcinador (1 e 2) e na fábrica de pasta. Como não há informação sobre a quantidade de material utilizada em cada setor, foi considerado que cada setor utiliza a mesma quantidade do material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Finos de carbono é utilizado nos setores Peneiramento Finos de Carbono e Fábrica de Pasta. Como não há informação sobre a quantidade de material utilizada em cada setor, foi considerado que o setor moinho de barras e o setor Fábrica de Pasta utilizam a mesma quantidade de Finos de Carbono</t>
        </r>
      </text>
    </comment>
    <comment ref="D33" authorId="0" shapeId="0">
      <text>
        <r>
          <rPr>
            <sz val="9"/>
            <color indexed="81"/>
            <rFont val="Segoe UI"/>
            <family val="2"/>
          </rPr>
          <t xml:space="preserve">Foi considerada a umidade do carvão, pois o carvão é um composto rico em carbono.
</t>
        </r>
      </text>
    </comment>
    <comment ref="D34" authorId="0" shapeId="0">
      <text>
        <r>
          <rPr>
            <sz val="9"/>
            <color indexed="81"/>
            <rFont val="Segoe UI"/>
            <family val="2"/>
          </rPr>
          <t xml:space="preserve">Foi considerada a umidade do carvão, pois o carvão é um composto rico em carbono.
</t>
        </r>
      </text>
    </comment>
    <comment ref="D35" authorId="0" shapeId="0">
      <text>
        <r>
          <rPr>
            <sz val="9"/>
            <color indexed="81"/>
            <rFont val="Segoe UI"/>
            <family val="2"/>
          </rPr>
          <t xml:space="preserve">Foi considerada a umidade do carvão, pois o carvão é um composto rico em carbono.
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  <author>Vanessa Brusco Filete</author>
    <author>Gabriel Aarão Gonçalves</author>
  </authors>
  <commentList>
    <comment ref="H2" authorId="0" shapeId="0">
      <text>
        <r>
          <rPr>
            <sz val="9"/>
            <color indexed="81"/>
            <rFont val="Segoe UI"/>
            <family val="2"/>
          </rPr>
          <t>USEPA (2006) - Unpaved Roads. Table 13.2.2-1 - Iron and Steel Production. Utilizado o teor de silte para o processo que mais se assemelha à atividade da empresa</t>
        </r>
      </text>
    </comment>
    <comment ref="I2" authorId="0" shapeId="0">
      <text>
        <r>
          <rPr>
            <sz val="9"/>
            <color indexed="81"/>
            <rFont val="Segoe UI"/>
            <family val="2"/>
          </rPr>
          <t xml:space="preserve">Informações técnicas do caminhão não fornecidas pelo empreendimento. Portanto, foi considerado o caminhão Ford Cargo 3133 (6x4) -Baseado na ficha técnica do modelo considerado.
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Informado pela empresa que ocorre umectação das vias diariamente.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U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4" authorId="2" shapeId="0">
      <text>
        <r>
          <rPr>
            <sz val="9"/>
            <color indexed="81"/>
            <rFont val="Segoe UI"/>
            <family val="2"/>
          </rPr>
          <t xml:space="preserve">Foi considerado que para o número total de movimentação diária de caminhões ocorre uma movimentação de igual número de caminhões em cada trecho de via
</t>
        </r>
      </text>
    </comment>
    <comment ref="G4" authorId="2" shapeId="0">
      <text>
        <r>
          <rPr>
            <sz val="9"/>
            <color indexed="81"/>
            <rFont val="Segoe UI"/>
            <family val="2"/>
          </rPr>
          <t xml:space="preserve">Valor multiplicado por 2 pois considera o percurso de ida e volta de cada caminhão
</t>
        </r>
      </text>
    </comment>
    <comment ref="F5" authorId="2" shapeId="0">
      <text>
        <r>
          <rPr>
            <sz val="9"/>
            <color indexed="81"/>
            <rFont val="Segoe UI"/>
            <family val="2"/>
          </rPr>
          <t xml:space="preserve">Foi considerado que para o número total de movimentação diária de caminhões ocorre uma movimentação de igual número de caminhões em cada trecho de via
</t>
        </r>
      </text>
    </comment>
    <comment ref="G5" authorId="2" shapeId="0">
      <text>
        <r>
          <rPr>
            <sz val="9"/>
            <color indexed="81"/>
            <rFont val="Segoe UI"/>
            <family val="2"/>
          </rPr>
          <t>Valor multiplicado por 2 pois considera o percurso de ida e volta de cada caminhão</t>
        </r>
      </text>
    </comment>
  </commentList>
</comments>
</file>

<file path=xl/sharedStrings.xml><?xml version="1.0" encoding="utf-8"?>
<sst xmlns="http://schemas.openxmlformats.org/spreadsheetml/2006/main" count="1081" uniqueCount="445">
  <si>
    <t>-</t>
  </si>
  <si>
    <t>Processo Produtivo</t>
  </si>
  <si>
    <t>Total</t>
  </si>
  <si>
    <t>Movimentação de Materiais</t>
  </si>
  <si>
    <t>Número médio diário</t>
  </si>
  <si>
    <t>Local</t>
  </si>
  <si>
    <t>Pilhas de Pátio Aberto</t>
  </si>
  <si>
    <t>Moagem e Peneiramento de Carburantes</t>
  </si>
  <si>
    <t>Planta</t>
  </si>
  <si>
    <t>Peneiramento de Finos de Carbono</t>
  </si>
  <si>
    <t>Britagem primária de Sucatas à Base de Carbono</t>
  </si>
  <si>
    <t>Calcinação Elétrica</t>
  </si>
  <si>
    <t>Secagens Diversas</t>
  </si>
  <si>
    <t>Fabricação de Dessulfurantes</t>
  </si>
  <si>
    <t>Fabricação de Pasta Eletrolítica</t>
  </si>
  <si>
    <t>Tipo</t>
  </si>
  <si>
    <t>Produção (t/mês)</t>
  </si>
  <si>
    <t>Relação de Matéria Prima</t>
  </si>
  <si>
    <t>Material</t>
  </si>
  <si>
    <t>Quantidade recebida (t/ano)</t>
  </si>
  <si>
    <t>Finos de Carbono</t>
  </si>
  <si>
    <t>Coque de Petróleo Verde</t>
  </si>
  <si>
    <t>Antracito Cru Bruto</t>
  </si>
  <si>
    <t>Magnésio</t>
  </si>
  <si>
    <t>Calcário</t>
  </si>
  <si>
    <t>Carbureto de Cálcio</t>
  </si>
  <si>
    <t>Máquinas e Equipamentos</t>
  </si>
  <si>
    <t>Equipamento</t>
  </si>
  <si>
    <t>Pá Carregadeira</t>
  </si>
  <si>
    <t>Retroescavadeira</t>
  </si>
  <si>
    <t>Mini Carregadeira</t>
  </si>
  <si>
    <t>Empilhadeira</t>
  </si>
  <si>
    <t>L60F Volvo</t>
  </si>
  <si>
    <t>ZL938-03</t>
  </si>
  <si>
    <t>ZL938-047</t>
  </si>
  <si>
    <t>416 E</t>
  </si>
  <si>
    <t>MC110 B 01</t>
  </si>
  <si>
    <t>MC110 B 03</t>
  </si>
  <si>
    <t>Yale Mod GP050VX</t>
  </si>
  <si>
    <t>Yale 01</t>
  </si>
  <si>
    <t>Yale 02</t>
  </si>
  <si>
    <t>Clark 02</t>
  </si>
  <si>
    <t>Clark 03</t>
  </si>
  <si>
    <t>Clark 06</t>
  </si>
  <si>
    <t>Clark 08</t>
  </si>
  <si>
    <t>Quantidade</t>
  </si>
  <si>
    <t>Horas Trabalhadas (h/dia)</t>
  </si>
  <si>
    <t>Modelo</t>
  </si>
  <si>
    <t>Tráfego de Veículos Pesados</t>
  </si>
  <si>
    <t>Caminhão</t>
  </si>
  <si>
    <t>Quantidade mínima diária</t>
  </si>
  <si>
    <t>Dados Operacionais das Chaminés</t>
  </si>
  <si>
    <t>Chaminé</t>
  </si>
  <si>
    <t>Chaminé do Filtro de Mangas 01 pasta</t>
  </si>
  <si>
    <t>Chaminé do Filtro de Mangas 02 (secagem)</t>
  </si>
  <si>
    <t>Chaminé do Filtro de Mangas 01 (externo)</t>
  </si>
  <si>
    <t>Chaminé do Filtro de Mangas 02 (externo)</t>
  </si>
  <si>
    <t>Chaminé do Filtro de Mangas 01 (interno)</t>
  </si>
  <si>
    <t>Chaminé do Filtro de Mangas 01 injeção</t>
  </si>
  <si>
    <t>Chaminé do Filtro de Mangas 02 secagem</t>
  </si>
  <si>
    <t>Chaminé do Filtro de Mangas 01 britagem primária</t>
  </si>
  <si>
    <t>Chaminé do Filtro de Mangas 02 britagem primária</t>
  </si>
  <si>
    <t>Chaminé do Filtro de Mangas 01 (forno 01)</t>
  </si>
  <si>
    <t>Chaminé do Filtro de Mangas 01 (forno 02)</t>
  </si>
  <si>
    <t>Unidade Operacional</t>
  </si>
  <si>
    <t>Moinho de Barras</t>
  </si>
  <si>
    <t>Fabrica de Pasta</t>
  </si>
  <si>
    <t>Dessulfurante</t>
  </si>
  <si>
    <t>Moagem</t>
  </si>
  <si>
    <t>Injeção e Peneiramento</t>
  </si>
  <si>
    <t>Secador Rotativo</t>
  </si>
  <si>
    <t>Britagem</t>
  </si>
  <si>
    <t>Forno Calcinador</t>
  </si>
  <si>
    <t>Combustível Utilizado</t>
  </si>
  <si>
    <t>Lat (º)</t>
  </si>
  <si>
    <t>Long (º)</t>
  </si>
  <si>
    <t>Horário de Funcionamento
 (h/dia)</t>
  </si>
  <si>
    <t>Diâmetro (m)</t>
  </si>
  <si>
    <t>Vazão (Nm³/h)</t>
  </si>
  <si>
    <t>Temperatura (ºC)</t>
  </si>
  <si>
    <t>Altura (m)</t>
  </si>
  <si>
    <t>Sistemas de Controle</t>
  </si>
  <si>
    <t xml:space="preserve">Umectação </t>
  </si>
  <si>
    <t>Varrição</t>
  </si>
  <si>
    <t>Frequência</t>
  </si>
  <si>
    <t>Diária</t>
  </si>
  <si>
    <t>Vias de circulação, pilhas e pátio</t>
  </si>
  <si>
    <t>Supresor de Poeira bioaglopar (Aglomerante de Partículas)</t>
  </si>
  <si>
    <t>Pilhas de Estocagem</t>
  </si>
  <si>
    <t>Cinturão Verde</t>
  </si>
  <si>
    <t>Entorno do Empreendimento</t>
  </si>
  <si>
    <t>Telas</t>
  </si>
  <si>
    <t>Entorno dos galpões de Armazenagem de Materiais</t>
  </si>
  <si>
    <t>Chaminé do Filtro de Mangas Externo Moagem e Peneiramento 01 (Finos de Carvão)</t>
  </si>
  <si>
    <t>Chaminé do Filtro de Mangas 01 (Planta da Britagem Primária)</t>
  </si>
  <si>
    <t>Monitoramento de Emissões Atmosféricas - abril/2015</t>
  </si>
  <si>
    <t xml:space="preserve">Parâmetros </t>
  </si>
  <si>
    <t>Amostragem</t>
  </si>
  <si>
    <t>Média</t>
  </si>
  <si>
    <t>Unidade</t>
  </si>
  <si>
    <t>Dados de Medição</t>
  </si>
  <si>
    <t>Velocidade do Gás</t>
  </si>
  <si>
    <t>m/s</t>
  </si>
  <si>
    <t>Vazão nas Condições da Chaminé</t>
  </si>
  <si>
    <t>m³/h</t>
  </si>
  <si>
    <t>Vazão Normal Base Seca (Qnbs)</t>
  </si>
  <si>
    <t>Nm³/h</t>
  </si>
  <si>
    <t>Poluentes</t>
  </si>
  <si>
    <t>mg/Nm³</t>
  </si>
  <si>
    <t>Taxa de Emissão</t>
  </si>
  <si>
    <t>kg/h</t>
  </si>
  <si>
    <t>Material Particulado</t>
  </si>
  <si>
    <t>Concentração</t>
  </si>
  <si>
    <t>Temperatura absoluta média do gás na chaminé</t>
  </si>
  <si>
    <t>K</t>
  </si>
  <si>
    <t>Monitoramento de Emissões Atmosféricas - fevereiro/2015</t>
  </si>
  <si>
    <t>Chaminé do Filtro de Mangas Escória Sintética Britagem</t>
  </si>
  <si>
    <t>Chaminé do Filtro de Mangas Moagem e Peneiramento 02 (Finos de Carbono)</t>
  </si>
  <si>
    <t>Chaminé do Filtro de Mangas da Injeção</t>
  </si>
  <si>
    <t>Chaminé do Filtro de Mangas de Pasta Eletródica</t>
  </si>
  <si>
    <t>Monitoramento de Emissões Atmosféricas - março/2015</t>
  </si>
  <si>
    <t>Chaminé do Filtro de Mangas Planta Secagem Diversa</t>
  </si>
  <si>
    <t>Chaminé do Filtro de Mangas Moinho de Barras Silo 01</t>
  </si>
  <si>
    <t>Chaminé do Filtro de Mangas Moagem e Peneiramento Fino do Carvão (Interno)</t>
  </si>
  <si>
    <t>Chaminé do Filtro de Mangas 02 Britagem Primária</t>
  </si>
  <si>
    <t>Monitoramento de Emissões Atmosféricas - Setembro/2015</t>
  </si>
  <si>
    <t>Chaminé do Filtro de Mangas 02 (Planta da Britagem Primária)</t>
  </si>
  <si>
    <t>Chaminé do Filtro de Mangas Moagem e Peneiramento 01 (Finos de Carbono)</t>
  </si>
  <si>
    <t>Chaminé do Filtro de Mangas Interno Moagem e Peneiramento (Finos de Carvão)</t>
  </si>
  <si>
    <t>Chaminé do Filtro de Mangas Planta de Secagem Diversas</t>
  </si>
  <si>
    <t>Monitoramento de Emissões Atmosféricas - Outubro/2015</t>
  </si>
  <si>
    <t>Chaminé do Filtro de Mangas Moinhos de Barras Silo 02</t>
  </si>
  <si>
    <t>Chaminé do Filtro de Mangas da Fábrica de Pasta Eletródica</t>
  </si>
  <si>
    <t>Chaminé do Filtro de Mangas 01 Britagem Primária</t>
  </si>
  <si>
    <t>Taxa de Emissão (kg/h)</t>
  </si>
  <si>
    <t>Chaminé do Filtro de Mangas Moinho de Barras Silo 02</t>
  </si>
  <si>
    <t>Chaminé do Filtro de Mangas 01 (Britagem Primária)</t>
  </si>
  <si>
    <t>Chaminé do Filtro de Mangas 02 (Britagem Primária)</t>
  </si>
  <si>
    <t>Chaminé do Filtro de Mangas 02 (britador)</t>
  </si>
  <si>
    <t xml:space="preserve">Horário de produção (07h às 17h): </t>
  </si>
  <si>
    <t>Referência: AQMD (2016) - http://www.aqmd.gov/home/regulations/ceqa/air-quality-analysis-handbook/off-road-mobile-source-emission-factors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</si>
  <si>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</si>
  <si>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</si>
  <si>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</si>
  <si>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</si>
  <si>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</si>
  <si>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</si>
  <si>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</si>
  <si>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</si>
  <si>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</si>
  <si>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</si>
  <si>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</si>
  <si>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</si>
  <si>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</si>
  <si>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</si>
  <si>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</si>
  <si>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</si>
  <si>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</si>
  <si>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</si>
  <si>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>Tractors/Loaders/Backhoes
(Trator/Carregadeira/Retroescavadeira)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</si>
  <si>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</si>
  <si>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</si>
  <si>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</si>
  <si>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</si>
  <si>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</si>
  <si>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</si>
  <si>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</si>
  <si>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Equação Geral:</t>
  </si>
  <si>
    <t>Onde:
E - emissão (lb/dia)
n - número de equipamentos de cada categoria
H - número de horas diárias de operação do equipamento
EF - fator de emissão (lb/h)</t>
  </si>
  <si>
    <t>Forklifts
(Empilhadeira)</t>
  </si>
  <si>
    <t>Forklifts - 50</t>
  </si>
  <si>
    <t>Forklifts - 120</t>
  </si>
  <si>
    <t>Forklifts - 175</t>
  </si>
  <si>
    <t>Forklifts - 250</t>
  </si>
  <si>
    <t>Forklifts - 500</t>
  </si>
  <si>
    <t>Skid Steer Loaders - 25</t>
  </si>
  <si>
    <t>Skid Steer Loaders - 50</t>
  </si>
  <si>
    <t>Skid Steer Loaders - 120</t>
  </si>
  <si>
    <t>Skid Steer Loaders
(Mini Carregadeira)</t>
  </si>
  <si>
    <t>Fonte Emissora</t>
  </si>
  <si>
    <t>Potência [hp]</t>
  </si>
  <si>
    <t>Equipamento [hp]</t>
  </si>
  <si>
    <t>Horas/dia</t>
  </si>
  <si>
    <t>Fator de Emissão [kg/h]</t>
  </si>
  <si>
    <t>Taxa de Emissão [kg/h]</t>
  </si>
  <si>
    <t>PM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</si>
  <si>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</si>
  <si>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</si>
  <si>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</si>
  <si>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</si>
  <si>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</si>
  <si>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Fonte: Informações enviadas pelo empreendimento através dos Ofícios IEMA N° 036/2017</t>
  </si>
  <si>
    <t>Fonte: USEPA (2006) https://www3.epa.gov/ttn/chief/ap42/ch13/final/c13s0202.pdf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</si>
  <si>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</si>
  <si>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</si>
  <si>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</si>
  <si>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</si>
  <si>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</si>
  <si>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</si>
  <si>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</si>
  <si>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</si>
  <si>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</si>
  <si>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</si>
  <si>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</si>
  <si>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</si>
  <si>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</si>
  <si>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</si>
  <si>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</si>
  <si>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</si>
  <si>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</si>
  <si>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</si>
  <si>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</si>
  <si>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</si>
  <si>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</si>
  <si>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</si>
  <si>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</si>
  <si>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</si>
  <si>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</si>
  <si>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Equation</t>
  </si>
  <si>
    <t>Ago</t>
  </si>
  <si>
    <t>Set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</si>
  <si>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</si>
  <si>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</si>
  <si>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</si>
  <si>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</si>
  <si>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</si>
  <si>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</si>
  <si>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</si>
  <si>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</si>
  <si>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</si>
  <si>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</si>
  <si>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</si>
  <si>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</si>
  <si>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</si>
  <si>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</si>
  <si>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</si>
  <si>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Controle</t>
  </si>
  <si>
    <t>Via Trecho 1</t>
  </si>
  <si>
    <t>Não Pavimentada</t>
  </si>
  <si>
    <t>Umectação</t>
  </si>
  <si>
    <t>Via Trecho 2</t>
  </si>
  <si>
    <t>Mês (Ano 2015)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</si>
  <si>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</si>
  <si>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</si>
  <si>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</si>
  <si>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</si>
  <si>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</si>
  <si>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</si>
  <si>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</si>
  <si>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</si>
  <si>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</si>
  <si>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</si>
  <si>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</si>
  <si>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</si>
  <si>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 vez/semana</t>
  </si>
  <si>
    <t>Setor</t>
  </si>
  <si>
    <t>Planta de Peneiramento de Finos de Carbono</t>
  </si>
  <si>
    <t>TR - Caminhão / Silo</t>
  </si>
  <si>
    <t>Planta de Britagem Primária de Sucatas à Base de Carbono</t>
  </si>
  <si>
    <t>TR - Moega Vibratória 1</t>
  </si>
  <si>
    <t>Filtro de Mangas</t>
  </si>
  <si>
    <t>Calcinação Elétrica 1</t>
  </si>
  <si>
    <t>Calcinação Elétrica 2</t>
  </si>
  <si>
    <t xml:space="preserve">Funcionamento (horas): </t>
  </si>
  <si>
    <t>Velocidade do Vento (m/s)</t>
  </si>
  <si>
    <t>Umidade do Material [%]</t>
  </si>
  <si>
    <t>Controle [%]</t>
  </si>
  <si>
    <t>Quantidade [t/h]</t>
  </si>
  <si>
    <t>Fator de Emissão [kg/t]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</si>
  <si>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</si>
  <si>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TOTAL</t>
  </si>
  <si>
    <t>Referências: AP-42 (USEPA, 2006) - https://www3.epa.gov/ttn/chief/ap42/ch13/final/c13s0204.pdf</t>
  </si>
  <si>
    <t>Aerodynamic Particle Size Multiplier (k) For Equation 1</t>
  </si>
  <si>
    <t xml:space="preserve">Table 13.2.4-1. TYPICAL SILT AND MOISTURE CONTENTS OF MATERIALS AT VARIOUS INDUSTRIES </t>
  </si>
  <si>
    <t>&lt; 30 µm</t>
  </si>
  <si>
    <t>&lt; 15 µm</t>
  </si>
  <si>
    <t>&lt; 10 µm</t>
  </si>
  <si>
    <t>&lt; 5 µm</t>
  </si>
  <si>
    <t>&lt; 2.5 µm</t>
  </si>
  <si>
    <t>Industry</t>
  </si>
  <si>
    <t>Silt Content (%)</t>
  </si>
  <si>
    <t>Moisture Content (%)</t>
  </si>
  <si>
    <t>Range</t>
  </si>
  <si>
    <t>Mean</t>
  </si>
  <si>
    <t>Municipal solid waste landfills</t>
  </si>
  <si>
    <t>Sand</t>
  </si>
  <si>
    <t>Slag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</si>
  <si>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</si>
  <si>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</si>
  <si>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</si>
  <si>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</si>
  <si>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</si>
  <si>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</si>
  <si>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</si>
  <si>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</si>
  <si>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</si>
  <si>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</si>
  <si>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</si>
  <si>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</si>
  <si>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Onde:
E - emissão
k - particle size multiplier (dimensionless)
U - mean wind speed, meters per second (m/s) (miles per hour [mph]) 
M - material moisture content (%)</t>
  </si>
  <si>
    <t>Misc. Fill materials</t>
  </si>
  <si>
    <t>Equipamento de Controle</t>
  </si>
  <si>
    <t>Lat [º]</t>
  </si>
  <si>
    <t>Long [º]</t>
  </si>
  <si>
    <t>D [m]</t>
  </si>
  <si>
    <t>Q [Nm³/h]</t>
  </si>
  <si>
    <t>T [ºC]</t>
  </si>
  <si>
    <t>H [m]</t>
  </si>
  <si>
    <r>
      <t>Onde:
TE - taxa de emissão (kg/h)
Q - vazão (Nm³/h)
C - concentração (mg/Nm³)
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- conversão de mg para kg</t>
    </r>
  </si>
  <si>
    <t>Fonte: Informações fornecidas pelo empreendimento à solicitação através dos Ofícios N° 036/2017</t>
  </si>
  <si>
    <t>Fontes Emissoras</t>
  </si>
  <si>
    <t>Transferências</t>
  </si>
  <si>
    <t>Erosão Eólica</t>
  </si>
  <si>
    <t>Chaminés</t>
  </si>
  <si>
    <t>Vias de tráfego</t>
  </si>
  <si>
    <t>Chaminé do Filtro de Mangas 02 (moinho de barras)</t>
  </si>
  <si>
    <t>Antracito</t>
  </si>
  <si>
    <t>Dessulfurantes</t>
  </si>
  <si>
    <t>Coque de Petróleo</t>
  </si>
  <si>
    <t>Materiales MGR C.A
(Coque denso)
(ton)</t>
  </si>
  <si>
    <t>Alumar Consórcio de Alumínio do Maranhão
(Coque denso)
(ton)</t>
  </si>
  <si>
    <t>Albras Alumínio Brasilerio
(Coque denso)
(ton)</t>
  </si>
  <si>
    <t>Companhia Brasileira de Alumínio Votor
(Anodo)
(ton)</t>
  </si>
  <si>
    <t>Petrobrás Distribuidora
(Coque Metaúrgico)
(ton)</t>
  </si>
  <si>
    <t>Arcelor Mittal - Cariacica
(Moinha de Coque Sol)
(ton)</t>
  </si>
  <si>
    <t>Empresa de Mineração Badin
(Sodalita)
(ton)</t>
  </si>
  <si>
    <t>Arcelor Mittal Brasil
(Coque Metalúrgico)
(ton)</t>
  </si>
  <si>
    <t>Fração Material Particulado [%]</t>
  </si>
  <si>
    <t>Iron and steel production</t>
  </si>
  <si>
    <t>Pellet ore</t>
  </si>
  <si>
    <t>1,3 - 13</t>
  </si>
  <si>
    <t xml:space="preserve">0,64 - 4,0 </t>
  </si>
  <si>
    <t>Lump ore</t>
  </si>
  <si>
    <t>2,8 - 19</t>
  </si>
  <si>
    <t>1,6 - 8,0</t>
  </si>
  <si>
    <t>Coal</t>
  </si>
  <si>
    <t>2,0 - 7,7</t>
  </si>
  <si>
    <t>2,8 - 11</t>
  </si>
  <si>
    <t>3,0 - 7,3</t>
  </si>
  <si>
    <t>0,25 - 2,0</t>
  </si>
  <si>
    <t>Flue dust</t>
  </si>
  <si>
    <t>2,7 - 23</t>
  </si>
  <si>
    <t>Coke breeze</t>
  </si>
  <si>
    <t>4,4 - 5,4</t>
  </si>
  <si>
    <t>6,4 - 9,2</t>
  </si>
  <si>
    <t>Blended ore</t>
  </si>
  <si>
    <t>Sinter</t>
  </si>
  <si>
    <t>Limestone</t>
  </si>
  <si>
    <t>0,4 - 2,3</t>
  </si>
  <si>
    <t>ND</t>
  </si>
  <si>
    <t>Stone quarrying and processing</t>
  </si>
  <si>
    <t>Crushed limestone</t>
  </si>
  <si>
    <t>1,3 - 1,9</t>
  </si>
  <si>
    <t>0,3 - 1,1</t>
  </si>
  <si>
    <t>Various limestone products</t>
  </si>
  <si>
    <t>0,8 - 14</t>
  </si>
  <si>
    <t>0,46 - 5,0</t>
  </si>
  <si>
    <t>Taconite mining and processing</t>
  </si>
  <si>
    <t>Pellets</t>
  </si>
  <si>
    <t>2,2 - 5,4</t>
  </si>
  <si>
    <t>0,05 - 2,0</t>
  </si>
  <si>
    <t>Tailings</t>
  </si>
  <si>
    <t>Western surface coal mining</t>
  </si>
  <si>
    <t>3,4 - 16</t>
  </si>
  <si>
    <t>2,8 - 20</t>
  </si>
  <si>
    <t>Overburden</t>
  </si>
  <si>
    <t>3,8 - 15</t>
  </si>
  <si>
    <t>Exposed ground</t>
  </si>
  <si>
    <t>5,1 - 21</t>
  </si>
  <si>
    <t>0,8 - 6,4</t>
  </si>
  <si>
    <t>Coal-fired power plant</t>
  </si>
  <si>
    <t>Coal (as received)</t>
  </si>
  <si>
    <t>0,6 - 4,8</t>
  </si>
  <si>
    <t>2,7 - 7,4</t>
  </si>
  <si>
    <t>Coque</t>
  </si>
  <si>
    <t>TR - Descarregamento de Material</t>
  </si>
  <si>
    <t>TR - Carregamento de Material</t>
  </si>
  <si>
    <t>Pátio de Armazenamento</t>
  </si>
  <si>
    <t>TR - Descarregamento / Moega Vibratória</t>
  </si>
  <si>
    <t>TR - Moega Vibratória / Correia 1</t>
  </si>
  <si>
    <t>TR - Correia 1 / Correia 2</t>
  </si>
  <si>
    <t>TR - Baias / Carregamento Pá Carregadeira</t>
  </si>
  <si>
    <t>Sucata à base de Carbono</t>
  </si>
  <si>
    <t xml:space="preserve">TR - Moega </t>
  </si>
  <si>
    <t>TR - Moega / Elevador (Antracito)</t>
  </si>
  <si>
    <t>TR - Elevador / Moega Superior (Antracito)</t>
  </si>
  <si>
    <t>TR - Moega Superior / Calcinador Forno 1  (Antracito)</t>
  </si>
  <si>
    <t>TR - Moega / Alimentador (Antracito)</t>
  </si>
  <si>
    <t>TR -Alimentador / Forno Calcinador (Antracito)</t>
  </si>
  <si>
    <t>TR - Moega / Elevador (Coque de Petróleo)</t>
  </si>
  <si>
    <t>TR - Elevador / Moega Superior (Coque de Petróleo)</t>
  </si>
  <si>
    <t>TR - Moega Superior / Calcinador Forno 1  (Coque de Petróleo)</t>
  </si>
  <si>
    <t>TR - Moega / Alimentador (Coque de Petróleo)</t>
  </si>
  <si>
    <t>TR -Alimentador / Moega Intermediária (Coque de Petróleo)</t>
  </si>
  <si>
    <t>TR -Alimentador / Forno Calcinador (Coque de Petróleo)</t>
  </si>
  <si>
    <t>TR - Silos / Transportador de Roscas (Antracito)</t>
  </si>
  <si>
    <t>TR - Balança - Empilhadeira / Correia  (Antracito)</t>
  </si>
  <si>
    <t>TR - Silos / Transportador de Roscas (Finos de Carbono)</t>
  </si>
  <si>
    <t>TR - Balança - Empilhadeira / Correia  (Finos de Carbono)</t>
  </si>
  <si>
    <t>Resumo das Taxas de Emissões por chaminé dos relatórios de monitoramento (utilizado na estimativa das emissões das chaminés)</t>
  </si>
  <si>
    <t>Appendix A - Uncontrolled Emission Factor Listing</t>
  </si>
  <si>
    <t>Calcinação</t>
  </si>
  <si>
    <t>VOC (lb/t processada)</t>
  </si>
  <si>
    <t>VOC (kg/t processada)</t>
  </si>
  <si>
    <t>Quantidade de Antracito em cada setor (t/h):</t>
  </si>
  <si>
    <t>Comprimento [m]</t>
  </si>
  <si>
    <t>Nº de Caminhões por Hora [h-1]</t>
  </si>
  <si>
    <t>DMT  [km/h]</t>
  </si>
  <si>
    <t>Teor de Silte [%]</t>
  </si>
  <si>
    <t>Peso Médio dos Caminhões [t]</t>
  </si>
  <si>
    <t>Eficiência de Controle [%]</t>
  </si>
  <si>
    <t>Fator de Emissão - Ressuspensão [kg/VKT]</t>
  </si>
  <si>
    <t>Fator de Emissão - Gases Escapamento [kg/km]</t>
  </si>
  <si>
    <t>TR - Alimentador / Moega Intermediária (Antracito)</t>
  </si>
  <si>
    <t>Q [m³/h]</t>
  </si>
  <si>
    <t>Chaminé F. M. 02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</si>
  <si>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</si>
  <si>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</si>
  <si>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</si>
  <si>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Dust Control Handbook for Industrial Minerals Mining and Processing (CDC, 2012)</t>
  </si>
  <si>
    <t>Huan et al. (2013)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</si>
  <si>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</si>
  <si>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</si>
  <si>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</si>
  <si>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</si>
  <si>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>Chaminé F. M. 01 pasta</t>
  </si>
  <si>
    <t>Chaminé F. M.  02 (britador)</t>
  </si>
  <si>
    <t>Chaminé F. M.  02 (secagem)</t>
  </si>
  <si>
    <t>Chaminé F. M.  01 (externo)</t>
  </si>
  <si>
    <t>Chaminé F. M.  02 (externo)</t>
  </si>
  <si>
    <t>Chaminé F. M.  01 (interno)</t>
  </si>
  <si>
    <t>Chaminé F. M.  01 injeção</t>
  </si>
  <si>
    <t>Chaminé F. M.  02 secagem</t>
  </si>
  <si>
    <t>Chaminé F. M.  01 britagem primária</t>
  </si>
  <si>
    <t>Chaminé F. M.  02 britagem primária</t>
  </si>
  <si>
    <t>Chaminé F. M.  01 (forno 01)</t>
  </si>
  <si>
    <t>Chaminé F. M.  01 (forno 02)</t>
  </si>
  <si>
    <t>Enclausuramento</t>
  </si>
  <si>
    <t>TR - Silo (Antracito)</t>
  </si>
  <si>
    <t>TR - Silo (Finos de Carbono)</t>
  </si>
  <si>
    <t>Nota: Como não foi informado o ano dos equipamentos, foi considerado, de forma conservadora, os fatores de 2007.</t>
  </si>
  <si>
    <t>Fonte: EIIP Volume II, Chapter 14 (USEPA, 2001) - https://www.epa.gov/sites/production/files/2015-08/documents/ii14_july2001.pdf</t>
  </si>
  <si>
    <t>VOC</t>
  </si>
  <si>
    <t>Nota: O empreendimento não informou as alturas das etapas de transferências no processo produtivo.</t>
  </si>
  <si>
    <t>Nota: "Erosão Eólica" foi calculada na Planilha: Erosão Eólica_Vamtec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</si>
</sst>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"/>
    <numFmt numFmtId="165" formatCode="0.0000"/>
    <numFmt numFmtId="166" formatCode="[&gt;=0.005]\ #,##0.00;[&lt;0.005]&quot;&lt;0,01&quot;"/>
    <numFmt numFmtId="167" formatCode="0.0"/>
    <numFmt numFmtId="168" formatCode="0.00000"/>
    <numFmt numFmtId="169" formatCode="0.00000000"/>
    <numFmt numFmtId="170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vertAlign val="subscript"/>
      <sz val="8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indexed="81"/>
      <name val="Segoe UI"/>
      <family val="2"/>
    </font>
    <font>
      <vertAlign val="superscript"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1" xfId="0" applyFont="1" applyBorder="1" applyAlignment="1">
      <alignment horizontal="center"/>
    </xf>
    <xf numFmtId="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" fontId="4" fillId="0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2" fillId="0" borderId="0" xfId="0" applyNumberFormat="1" applyFont="1" applyAlignment="1">
      <alignment horizontal="center" vertical="center"/>
    </xf>
    <xf numFmtId="165" fontId="2" fillId="0" borderId="6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6" borderId="20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7" fontId="2" fillId="0" borderId="5" xfId="0" applyNumberFormat="1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5" xfId="0" applyNumberFormat="1" applyFont="1" applyFill="1" applyBorder="1" applyAlignment="1">
      <alignment horizontal="center" vertical="center"/>
    </xf>
    <xf numFmtId="0" fontId="14" fillId="0" borderId="0" xfId="0" applyFont="1"/>
    <xf numFmtId="169" fontId="0" fillId="0" borderId="0" xfId="0" applyNumberFormat="1"/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6" borderId="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0" fillId="6" borderId="5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2" fontId="2" fillId="0" borderId="0" xfId="0" applyNumberFormat="1" applyFont="1"/>
    <xf numFmtId="2" fontId="0" fillId="0" borderId="0" xfId="0" applyNumberFormat="1"/>
    <xf numFmtId="165" fontId="2" fillId="0" borderId="0" xfId="0" applyNumberFormat="1" applyFont="1" applyAlignment="1">
      <alignment horizontal="center"/>
    </xf>
    <xf numFmtId="4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5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6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2" fontId="5" fillId="0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2" fillId="0" borderId="0" xfId="0" quotePrefix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4" fontId="2" fillId="4" borderId="0" xfId="0" applyNumberFormat="1" applyFont="1" applyFill="1" applyAlignment="1">
      <alignment vertical="center"/>
    </xf>
    <xf numFmtId="4" fontId="2" fillId="4" borderId="0" xfId="0" applyNumberFormat="1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4" fontId="5" fillId="0" borderId="0" xfId="0" applyNumberFormat="1" applyFont="1" applyFill="1" applyAlignment="1">
      <alignment horizontal="center" vertical="center"/>
    </xf>
    <xf numFmtId="170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6" fillId="0" borderId="0" xfId="0" applyFont="1" applyFill="1"/>
    <xf numFmtId="3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vertical="center"/>
    </xf>
    <xf numFmtId="2" fontId="14" fillId="0" borderId="0" xfId="0" applyNumberFormat="1" applyFont="1" applyFill="1" applyAlignment="1">
      <alignment horizontal="center" vertical="center"/>
    </xf>
    <xf numFmtId="4" fontId="14" fillId="0" borderId="0" xfId="0" applyNumberFormat="1" applyFont="1" applyFill="1" applyAlignment="1">
      <alignment horizontal="center" vertical="center"/>
    </xf>
    <xf numFmtId="170" fontId="14" fillId="0" borderId="0" xfId="0" applyNumberFormat="1" applyFont="1" applyFill="1" applyAlignment="1">
      <alignment horizontal="center" vertical="center"/>
    </xf>
    <xf numFmtId="11" fontId="14" fillId="0" borderId="5" xfId="0" applyNumberFormat="1" applyFont="1" applyFill="1" applyBorder="1" applyAlignment="1">
      <alignment horizontal="center" vertical="center"/>
    </xf>
    <xf numFmtId="165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68" fontId="2" fillId="0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8" fontId="2" fillId="0" borderId="5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9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9" fillId="5" borderId="2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10" fillId="6" borderId="5" xfId="0" applyNumberFormat="1" applyFont="1" applyFill="1" applyBorder="1" applyAlignment="1" applyProtection="1">
      <alignment horizontal="center" vertical="center" wrapText="1"/>
    </xf>
    <xf numFmtId="0" fontId="10" fillId="6" borderId="21" xfId="0" applyNumberFormat="1" applyFont="1" applyFill="1" applyBorder="1" applyAlignment="1" applyProtection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 applyProtection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10" fillId="6" borderId="22" xfId="0" applyNumberFormat="1" applyFont="1" applyFill="1" applyBorder="1" applyAlignment="1" applyProtection="1">
      <alignment horizontal="center" vertical="center" wrapText="1"/>
    </xf>
    <xf numFmtId="0" fontId="10" fillId="6" borderId="26" xfId="0" applyNumberFormat="1" applyFont="1" applyFill="1" applyBorder="1" applyAlignment="1" applyProtection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486025" y="1924050"/>
          <a:ext cx="1028700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27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107775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107775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138112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38112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35279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9535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6829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pic>
      <xdr:nvPicPr>
        <xdr:cNvPr id="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9038212" y="130970"/>
          <a:ext cx="5970543" cy="710803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338137</xdr:colOff>
      <xdr:row>100</xdr:row>
      <xdr:rowOff>59527</xdr:rowOff>
    </xdr:from>
    <xdr:to>
      <xdr:col>22</xdr:col>
      <xdr:colOff>345282</xdr:colOff>
      <xdr:row>101</xdr:row>
      <xdr:rowOff>71436</xdr:rowOff>
    </xdr:to>
    <xdr:sp macro="" textlink="">
      <xdr:nvSpPr>
        <xdr:cNvPr id="28" name="Retângulo 27"/>
        <xdr:cNvSpPr/>
      </xdr:nvSpPr>
      <xdr:spPr>
        <a:xfrm>
          <a:off x="10053637" y="19109527"/>
          <a:ext cx="3650458" cy="202409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22</xdr:row>
      <xdr:rowOff>128587</xdr:rowOff>
    </xdr:from>
    <xdr:ext cx="1609725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3200400" y="4986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200400" y="4986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  (𝑄 . 𝐶)/〖10〗^6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7" sqref="B7"/>
    </sheetView>
  </sheetViews>
  <sheetFormatPr defaultRowHeight="15" customHeight="1" x14ac:dyDescent="0.2"/>
  <cols>
    <col min="1" max="1" width="24.5703125" style="2" customWidth="1"/>
    <col min="2" max="2" width="22.7109375" style="97" customWidth="1"/>
    <col min="3" max="3" width="19.28515625" style="2" customWidth="1"/>
    <col min="4" max="4" width="20.28515625" style="2" customWidth="1"/>
    <col min="5" max="5" width="18.5703125" style="2" customWidth="1"/>
    <col min="6" max="6" width="33.28515625" style="2" customWidth="1"/>
    <col min="7" max="7" width="18" style="2" customWidth="1"/>
    <col min="8" max="8" width="19.28515625" style="97" customWidth="1"/>
    <col min="9" max="9" width="20.28515625" style="2" customWidth="1"/>
    <col min="10" max="10" width="18.7109375" style="97" customWidth="1"/>
    <col min="11" max="11" width="18.7109375" style="24" customWidth="1"/>
    <col min="12" max="12" width="22.42578125" style="2" customWidth="1"/>
    <col min="13" max="14" width="20.7109375" style="2" customWidth="1"/>
    <col min="15" max="16384" width="9.140625" style="2"/>
  </cols>
  <sheetData>
    <row r="1" spans="1:7" ht="15" customHeight="1" x14ac:dyDescent="0.2">
      <c r="A1" s="26" t="s">
        <v>441</v>
      </c>
      <c r="B1" s="26"/>
      <c r="C1" s="97"/>
      <c r="E1" s="26"/>
    </row>
    <row r="2" spans="1:7" ht="15" customHeight="1" x14ac:dyDescent="0.2">
      <c r="A2" s="142" t="s">
        <v>400</v>
      </c>
      <c r="B2" s="142"/>
      <c r="C2" s="142"/>
      <c r="D2" s="100"/>
    </row>
    <row r="3" spans="1:7" ht="26.25" customHeight="1" x14ac:dyDescent="0.2">
      <c r="A3" s="143" t="s">
        <v>401</v>
      </c>
      <c r="B3" s="96" t="s">
        <v>402</v>
      </c>
      <c r="C3" s="96" t="s">
        <v>403</v>
      </c>
      <c r="D3" s="101"/>
    </row>
    <row r="4" spans="1:7" ht="15" customHeight="1" x14ac:dyDescent="0.2">
      <c r="A4" s="143"/>
      <c r="B4" s="96">
        <v>0.06</v>
      </c>
      <c r="C4" s="96">
        <f>B4*0.5</f>
        <v>0.03</v>
      </c>
      <c r="D4" s="102"/>
      <c r="E4" s="100"/>
    </row>
    <row r="5" spans="1:7" ht="15" customHeight="1" x14ac:dyDescent="0.2">
      <c r="A5" s="20"/>
      <c r="B5" s="99"/>
      <c r="C5" s="99"/>
      <c r="D5" s="103"/>
      <c r="E5" s="100"/>
    </row>
    <row r="6" spans="1:7" ht="15" customHeight="1" x14ac:dyDescent="0.2">
      <c r="A6" s="20"/>
      <c r="B6" s="99"/>
      <c r="C6" s="99"/>
      <c r="D6" s="99"/>
      <c r="E6" s="100"/>
    </row>
    <row r="7" spans="1:7" ht="15" customHeight="1" x14ac:dyDescent="0.2">
      <c r="A7" s="20"/>
      <c r="B7" s="99"/>
      <c r="C7" s="99"/>
      <c r="D7" s="99"/>
      <c r="E7" s="100"/>
    </row>
    <row r="8" spans="1:7" ht="15" customHeight="1" x14ac:dyDescent="0.2">
      <c r="A8" s="20"/>
      <c r="B8" s="99"/>
      <c r="C8" s="99"/>
      <c r="D8" s="99"/>
      <c r="E8" s="100"/>
      <c r="F8" s="26"/>
      <c r="G8" s="26"/>
    </row>
    <row r="9" spans="1:7" ht="15" customHeight="1" x14ac:dyDescent="0.2">
      <c r="A9" s="20"/>
      <c r="B9" s="99"/>
      <c r="C9" s="99"/>
      <c r="D9" s="99"/>
      <c r="E9" s="100"/>
      <c r="F9" s="26"/>
      <c r="G9" s="26"/>
    </row>
    <row r="10" spans="1:7" ht="15" customHeight="1" x14ac:dyDescent="0.2">
      <c r="A10" s="20"/>
      <c r="B10" s="99"/>
      <c r="C10" s="99"/>
      <c r="D10" s="99"/>
      <c r="E10" s="100"/>
      <c r="F10" s="26"/>
      <c r="G10" s="26"/>
    </row>
    <row r="11" spans="1:7" ht="15" customHeight="1" x14ac:dyDescent="0.2">
      <c r="A11" s="20"/>
      <c r="B11" s="99"/>
      <c r="C11" s="99"/>
      <c r="D11" s="99"/>
      <c r="E11" s="100"/>
      <c r="F11" s="26"/>
      <c r="G11" s="26"/>
    </row>
  </sheetData>
  <sheetProtection password="B056" sheet="1" objects="1" scenarios="1"/>
  <mergeCells count="2">
    <mergeCell ref="A2:C2"/>
    <mergeCell ref="A3:A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8"/>
  <sheetViews>
    <sheetView topLeftCell="C14" zoomScaleNormal="100" workbookViewId="0">
      <selection activeCell="M36" sqref="M36"/>
    </sheetView>
  </sheetViews>
  <sheetFormatPr defaultRowHeight="15" customHeight="1" x14ac:dyDescent="0.25"/>
  <cols>
    <col min="1" max="1" width="45.28515625" style="26" customWidth="1"/>
    <col min="2" max="2" width="48.5703125" style="26" customWidth="1"/>
    <col min="3" max="3" width="20.28515625" style="26" customWidth="1"/>
    <col min="4" max="4" width="18.28515625" style="26" customWidth="1"/>
    <col min="5" max="5" width="27.28515625" style="26" customWidth="1"/>
    <col min="6" max="6" width="17.140625" style="26" customWidth="1"/>
    <col min="7" max="7" width="17.140625" style="59" customWidth="1"/>
    <col min="8" max="8" width="13.85546875" style="26" customWidth="1"/>
    <col min="9" max="9" width="15.140625" style="26" customWidth="1"/>
    <col min="10" max="12" width="9.140625" style="59"/>
    <col min="13" max="16384" width="9.140625" style="26"/>
  </cols>
  <sheetData>
    <row r="1" spans="1:16" ht="15" customHeight="1" x14ac:dyDescent="0.25">
      <c r="A1" s="68" t="s">
        <v>263</v>
      </c>
      <c r="B1" s="69">
        <f>Dados!B3</f>
        <v>10</v>
      </c>
      <c r="D1" s="69"/>
    </row>
    <row r="2" spans="1:16" ht="15" customHeight="1" x14ac:dyDescent="0.25">
      <c r="A2" s="26" t="s">
        <v>264</v>
      </c>
      <c r="B2" s="71">
        <v>4.2</v>
      </c>
      <c r="D2" s="70"/>
    </row>
    <row r="4" spans="1:16" ht="15" customHeight="1" x14ac:dyDescent="0.25">
      <c r="A4" s="68" t="s">
        <v>191</v>
      </c>
      <c r="B4" s="68"/>
    </row>
    <row r="5" spans="1:16" ht="15" customHeight="1" x14ac:dyDescent="0.25">
      <c r="A5" s="211" t="s">
        <v>179</v>
      </c>
      <c r="B5" s="218" t="s">
        <v>99</v>
      </c>
      <c r="C5" s="220" t="s">
        <v>18</v>
      </c>
      <c r="D5" s="221" t="s">
        <v>265</v>
      </c>
      <c r="E5" s="200" t="s">
        <v>236</v>
      </c>
      <c r="F5" s="200" t="s">
        <v>266</v>
      </c>
      <c r="G5" s="200" t="s">
        <v>267</v>
      </c>
      <c r="H5" s="199" t="s">
        <v>302</v>
      </c>
      <c r="I5" s="199" t="s">
        <v>303</v>
      </c>
      <c r="J5" s="201" t="s">
        <v>268</v>
      </c>
      <c r="K5" s="202"/>
      <c r="L5" s="202"/>
      <c r="M5" s="201" t="s">
        <v>184</v>
      </c>
      <c r="N5" s="202"/>
      <c r="O5" s="202"/>
    </row>
    <row r="6" spans="1:16" ht="15" customHeight="1" x14ac:dyDescent="0.25">
      <c r="A6" s="212"/>
      <c r="B6" s="218"/>
      <c r="C6" s="220"/>
      <c r="D6" s="221"/>
      <c r="E6" s="204"/>
      <c r="F6" s="204"/>
      <c r="G6" s="204"/>
      <c r="H6" s="199"/>
      <c r="I6" s="199"/>
      <c r="J6" s="61" t="s">
        <v>185</v>
      </c>
      <c r="K6" s="61" t="s">
        <v>189</v>
      </c>
      <c r="L6" s="61" t="s">
        <v>269</v>
      </c>
      <c r="M6" s="61" t="s">
        <v>185</v>
      </c>
      <c r="N6" s="61" t="s">
        <v>189</v>
      </c>
      <c r="O6" s="61" t="s">
        <v>269</v>
      </c>
    </row>
    <row r="7" spans="1:16" ht="15" customHeight="1" x14ac:dyDescent="0.2">
      <c r="A7" s="26" t="s">
        <v>375</v>
      </c>
      <c r="B7" s="143" t="s">
        <v>377</v>
      </c>
      <c r="C7" s="106" t="s">
        <v>374</v>
      </c>
      <c r="D7" s="72">
        <f>'FE-Transfer'!$L$10</f>
        <v>7.8</v>
      </c>
      <c r="E7" s="91" t="s">
        <v>0</v>
      </c>
      <c r="F7" s="93">
        <v>0</v>
      </c>
      <c r="G7" s="50">
        <f>(Dados!B39+Dados!C39+Dados!D39+Dados!F39+Dados!I39)/(365*24)</f>
        <v>2.7295913242009133</v>
      </c>
      <c r="H7" s="115">
        <v>-20.161493</v>
      </c>
      <c r="I7" s="115">
        <v>-40.230933</v>
      </c>
      <c r="J7" s="94">
        <f>('FE-Transfer'!$A$4*0.0016*(($B$2/2.2)^1.3)/(($D7/2)^1.4))</f>
        <v>4.0825907288800754E-4</v>
      </c>
      <c r="K7" s="94">
        <f>('FE-Transfer'!$C$4*0.0016*(($B$2/2.2)^1.3)/(($D7/2)^1.4))</f>
        <v>1.9309550744703061E-4</v>
      </c>
      <c r="L7" s="94">
        <f>('FE-Transfer'!$E$4*0.0016*(($B$2/2.2)^1.3)/(($D7/2)^1.4))</f>
        <v>2.9240176841978921E-5</v>
      </c>
      <c r="M7" s="95">
        <f t="shared" ref="M7:M32" si="0">J7*$G7*(1-F7/100)</f>
        <v>1.1143804233814138E-3</v>
      </c>
      <c r="N7" s="95">
        <f t="shared" ref="N7:N32" si="1">K7*$G7*(1-F7/100)</f>
        <v>5.2707182186958763E-4</v>
      </c>
      <c r="O7" s="95">
        <f t="shared" ref="O7:O32" si="2">L7*$G7*(1-F7/100)</f>
        <v>7.9813733025966129E-5</v>
      </c>
    </row>
    <row r="8" spans="1:16" ht="15" customHeight="1" x14ac:dyDescent="0.2">
      <c r="A8" s="26" t="s">
        <v>375</v>
      </c>
      <c r="B8" s="143"/>
      <c r="C8" s="106" t="s">
        <v>316</v>
      </c>
      <c r="D8" s="72">
        <f>'FE-Transfer'!$L$7</f>
        <v>4.8</v>
      </c>
      <c r="E8" s="91" t="s">
        <v>0</v>
      </c>
      <c r="F8" s="93">
        <v>0</v>
      </c>
      <c r="G8" s="50">
        <f>Dados!B19/(365*24)</f>
        <v>1.1415525114155252</v>
      </c>
      <c r="H8" s="115">
        <v>-20.161493</v>
      </c>
      <c r="I8" s="115">
        <v>-40.230933</v>
      </c>
      <c r="J8" s="94">
        <f>('FE-Transfer'!$A$4*0.0016*(($B$2/2.2)^1.3)/(($D8/2)^1.4))</f>
        <v>8.0562058829486459E-4</v>
      </c>
      <c r="K8" s="94">
        <f>('FE-Transfer'!$C$4*0.0016*(($B$2/2.2)^1.3)/(($D8/2)^1.4))</f>
        <v>3.8103676473405762E-4</v>
      </c>
      <c r="L8" s="94">
        <f>('FE-Transfer'!$E$4*0.0016*(($B$2/2.2)^1.3)/(($D8/2)^1.4))</f>
        <v>5.7699852945443012E-5</v>
      </c>
      <c r="M8" s="95">
        <f t="shared" si="0"/>
        <v>9.1965820581605556E-4</v>
      </c>
      <c r="N8" s="95">
        <f t="shared" si="1"/>
        <v>4.3497347572381007E-4</v>
      </c>
      <c r="O8" s="95">
        <f t="shared" si="2"/>
        <v>6.5867412038176959E-5</v>
      </c>
    </row>
    <row r="9" spans="1:16" ht="15" customHeight="1" x14ac:dyDescent="0.2">
      <c r="A9" s="26" t="s">
        <v>376</v>
      </c>
      <c r="B9" s="143"/>
      <c r="C9" s="106" t="s">
        <v>374</v>
      </c>
      <c r="D9" s="72">
        <f>'FE-Transfer'!$L$10</f>
        <v>7.8</v>
      </c>
      <c r="E9" s="91" t="s">
        <v>0</v>
      </c>
      <c r="F9" s="93">
        <v>0</v>
      </c>
      <c r="G9" s="50">
        <f>(Dados!B39+Dados!C39+Dados!D39+Dados!F39+Dados!I39)/(365*24)</f>
        <v>2.7295913242009133</v>
      </c>
      <c r="H9" s="115">
        <v>-20.161493</v>
      </c>
      <c r="I9" s="115">
        <v>-40.230933</v>
      </c>
      <c r="J9" s="94">
        <f>('FE-Transfer'!$A$4*0.0016*(($B$2/2.2)^1.3)/(($D9/2)^1.4))</f>
        <v>4.0825907288800754E-4</v>
      </c>
      <c r="K9" s="94">
        <f>('FE-Transfer'!$C$4*0.0016*(($B$2/2.2)^1.3)/(($D9/2)^1.4))</f>
        <v>1.9309550744703061E-4</v>
      </c>
      <c r="L9" s="94">
        <f>('FE-Transfer'!$E$4*0.0016*(($B$2/2.2)^1.3)/(($D9/2)^1.4))</f>
        <v>2.9240176841978921E-5</v>
      </c>
      <c r="M9" s="95">
        <f t="shared" si="0"/>
        <v>1.1143804233814138E-3</v>
      </c>
      <c r="N9" s="95">
        <f t="shared" si="1"/>
        <v>5.2707182186958763E-4</v>
      </c>
      <c r="O9" s="95">
        <f t="shared" si="2"/>
        <v>7.9813733025966129E-5</v>
      </c>
    </row>
    <row r="10" spans="1:16" ht="15" customHeight="1" x14ac:dyDescent="0.2">
      <c r="A10" s="26" t="s">
        <v>376</v>
      </c>
      <c r="B10" s="143"/>
      <c r="C10" s="106" t="s">
        <v>316</v>
      </c>
      <c r="D10" s="72">
        <f>'FE-Transfer'!$L$7</f>
        <v>4.8</v>
      </c>
      <c r="E10" s="91" t="s">
        <v>0</v>
      </c>
      <c r="F10" s="93">
        <v>0</v>
      </c>
      <c r="G10" s="50">
        <f>Dados!B19/(365*24)</f>
        <v>1.1415525114155252</v>
      </c>
      <c r="H10" s="115">
        <v>-20.161493</v>
      </c>
      <c r="I10" s="115">
        <v>-40.230933</v>
      </c>
      <c r="J10" s="94">
        <f>('FE-Transfer'!$A$4*0.0016*(($B$2/2.2)^1.3)/(($D10/2)^1.4))</f>
        <v>8.0562058829486459E-4</v>
      </c>
      <c r="K10" s="94">
        <f>('FE-Transfer'!$C$4*0.0016*(($B$2/2.2)^1.3)/(($D10/2)^1.4))</f>
        <v>3.8103676473405762E-4</v>
      </c>
      <c r="L10" s="94">
        <f>('FE-Transfer'!$E$4*0.0016*(($B$2/2.2)^1.3)/(($D10/2)^1.4))</f>
        <v>5.7699852945443012E-5</v>
      </c>
      <c r="M10" s="95">
        <f t="shared" si="0"/>
        <v>9.1965820581605556E-4</v>
      </c>
      <c r="N10" s="95">
        <f t="shared" si="1"/>
        <v>4.3497347572381007E-4</v>
      </c>
      <c r="O10" s="95">
        <f t="shared" si="2"/>
        <v>6.5867412038176959E-5</v>
      </c>
    </row>
    <row r="11" spans="1:16" ht="15" customHeight="1" x14ac:dyDescent="0.25">
      <c r="A11" s="26" t="s">
        <v>378</v>
      </c>
      <c r="B11" s="143" t="s">
        <v>7</v>
      </c>
      <c r="C11" s="106" t="s">
        <v>374</v>
      </c>
      <c r="D11" s="72">
        <f>'FE-Transfer'!$L$10</f>
        <v>7.8</v>
      </c>
      <c r="E11" s="112" t="s">
        <v>437</v>
      </c>
      <c r="F11" s="112">
        <v>70</v>
      </c>
      <c r="G11" s="50">
        <f>(Dados!B39+Dados!C39+Dados!D39+Dados!F39+Dados!I39)/(365*24)</f>
        <v>2.7295913242009133</v>
      </c>
      <c r="H11" s="115">
        <v>-20.161960000000001</v>
      </c>
      <c r="I11" s="115">
        <v>-40.230744000000001</v>
      </c>
      <c r="J11" s="94">
        <f>('FE-Transfer'!$A$4*0.0016*(($B$2/2.2)^1.3)/(($D11/2)^1.4))</f>
        <v>4.0825907288800754E-4</v>
      </c>
      <c r="K11" s="94">
        <f>('FE-Transfer'!$C$4*0.0016*(($B$2/2.2)^1.3)/(($D11/2)^1.4))</f>
        <v>1.9309550744703061E-4</v>
      </c>
      <c r="L11" s="94">
        <f>('FE-Transfer'!$E$4*0.0016*(($B$2/2.2)^1.3)/(($D11/2)^1.4))</f>
        <v>2.9240176841978921E-5</v>
      </c>
      <c r="M11" s="95">
        <f t="shared" si="0"/>
        <v>3.343141270144242E-4</v>
      </c>
      <c r="N11" s="95">
        <f t="shared" si="1"/>
        <v>1.5812154656087631E-4</v>
      </c>
      <c r="O11" s="95">
        <f t="shared" si="2"/>
        <v>2.3944119907789843E-5</v>
      </c>
    </row>
    <row r="12" spans="1:16" ht="15" customHeight="1" x14ac:dyDescent="0.25">
      <c r="A12" s="26" t="s">
        <v>379</v>
      </c>
      <c r="B12" s="143"/>
      <c r="C12" s="106" t="s">
        <v>374</v>
      </c>
      <c r="D12" s="72">
        <f>'FE-Transfer'!$L$10</f>
        <v>7.8</v>
      </c>
      <c r="E12" s="90" t="s">
        <v>0</v>
      </c>
      <c r="F12" s="90">
        <v>0</v>
      </c>
      <c r="G12" s="50">
        <f>G11</f>
        <v>2.7295913242009133</v>
      </c>
      <c r="H12" s="115">
        <v>-20.161960000000001</v>
      </c>
      <c r="I12" s="115">
        <v>-40.230744000000001</v>
      </c>
      <c r="J12" s="94">
        <f>('FE-Transfer'!$A$4*0.0016*(($B$2/2.2)^1.3)/(($D12/2)^1.4))</f>
        <v>4.0825907288800754E-4</v>
      </c>
      <c r="K12" s="94">
        <f>('FE-Transfer'!$C$4*0.0016*(($B$2/2.2)^1.3)/(($D12/2)^1.4))</f>
        <v>1.9309550744703061E-4</v>
      </c>
      <c r="L12" s="94">
        <f>('FE-Transfer'!$E$4*0.0016*(($B$2/2.2)^1.3)/(($D12/2)^1.4))</f>
        <v>2.9240176841978921E-5</v>
      </c>
      <c r="M12" s="95">
        <f t="shared" si="0"/>
        <v>1.1143804233814138E-3</v>
      </c>
      <c r="N12" s="95">
        <f t="shared" si="1"/>
        <v>5.2707182186958763E-4</v>
      </c>
      <c r="O12" s="95">
        <f t="shared" si="2"/>
        <v>7.9813733025966129E-5</v>
      </c>
    </row>
    <row r="13" spans="1:16" ht="15" customHeight="1" x14ac:dyDescent="0.2">
      <c r="A13" s="26" t="s">
        <v>380</v>
      </c>
      <c r="B13" s="143"/>
      <c r="C13" s="106" t="s">
        <v>374</v>
      </c>
      <c r="D13" s="72">
        <f>'FE-Transfer'!$L$10</f>
        <v>7.8</v>
      </c>
      <c r="E13" s="91" t="s">
        <v>0</v>
      </c>
      <c r="F13" s="93">
        <v>0</v>
      </c>
      <c r="G13" s="50">
        <f>G11</f>
        <v>2.7295913242009133</v>
      </c>
      <c r="H13" s="115">
        <v>-20.161960000000001</v>
      </c>
      <c r="I13" s="115">
        <v>-40.230744000000001</v>
      </c>
      <c r="J13" s="94">
        <f>('FE-Transfer'!$A$4*0.0016*(($B$2/2.2)^1.3)/(($D13/2)^1.4))</f>
        <v>4.0825907288800754E-4</v>
      </c>
      <c r="K13" s="94">
        <f>('FE-Transfer'!$C$4*0.0016*(($B$2/2.2)^1.3)/(($D13/2)^1.4))</f>
        <v>1.9309550744703061E-4</v>
      </c>
      <c r="L13" s="94">
        <f>('FE-Transfer'!$E$4*0.0016*(($B$2/2.2)^1.3)/(($D13/2)^1.4))</f>
        <v>2.9240176841978921E-5</v>
      </c>
      <c r="M13" s="95">
        <f t="shared" si="0"/>
        <v>1.1143804233814138E-3</v>
      </c>
      <c r="N13" s="95">
        <f t="shared" si="1"/>
        <v>5.2707182186958763E-4</v>
      </c>
      <c r="O13" s="95">
        <f t="shared" si="2"/>
        <v>7.9813733025966129E-5</v>
      </c>
    </row>
    <row r="14" spans="1:16" ht="15" customHeight="1" x14ac:dyDescent="0.2">
      <c r="A14" s="26" t="s">
        <v>257</v>
      </c>
      <c r="B14" s="90" t="s">
        <v>256</v>
      </c>
      <c r="C14" s="106" t="s">
        <v>20</v>
      </c>
      <c r="D14" s="72">
        <f>'FE-Transfer'!$L$7</f>
        <v>4.8</v>
      </c>
      <c r="E14" s="65" t="s">
        <v>0</v>
      </c>
      <c r="F14" s="93">
        <v>0</v>
      </c>
      <c r="G14" s="50">
        <f>Dados!B17/COUNTA(C14,C33)/(365*24)</f>
        <v>1.3698630136986301</v>
      </c>
      <c r="H14" s="115">
        <v>-20.161960000000001</v>
      </c>
      <c r="I14" s="115">
        <v>-40.230744000000001</v>
      </c>
      <c r="J14" s="94">
        <f>('FE-Transfer'!$A$4*0.0016*(($B$2/2.2)^1.3)/(($D14/2)^1.4))</f>
        <v>8.0562058829486459E-4</v>
      </c>
      <c r="K14" s="94">
        <f>('FE-Transfer'!$C$4*0.0016*(($B$2/2.2)^1.3)/(($D14/2)^1.4))</f>
        <v>3.8103676473405762E-4</v>
      </c>
      <c r="L14" s="94">
        <f>('FE-Transfer'!$E$4*0.0016*(($B$2/2.2)^1.3)/(($D14/2)^1.4))</f>
        <v>5.7699852945443012E-5</v>
      </c>
      <c r="M14" s="95">
        <f t="shared" si="0"/>
        <v>1.1035898469792665E-3</v>
      </c>
      <c r="N14" s="95">
        <f t="shared" si="1"/>
        <v>5.2196817086857205E-4</v>
      </c>
      <c r="O14" s="95">
        <f t="shared" si="2"/>
        <v>7.904089444581234E-5</v>
      </c>
    </row>
    <row r="15" spans="1:16" ht="15" customHeight="1" x14ac:dyDescent="0.2">
      <c r="A15" s="26" t="s">
        <v>259</v>
      </c>
      <c r="B15" s="143" t="s">
        <v>258</v>
      </c>
      <c r="C15" s="106" t="s">
        <v>382</v>
      </c>
      <c r="D15" s="72">
        <f>'FE-Transfer'!$L$7</f>
        <v>4.8</v>
      </c>
      <c r="E15" s="65" t="s">
        <v>0</v>
      </c>
      <c r="F15" s="93">
        <v>0</v>
      </c>
      <c r="G15" s="81">
        <f>Dados!C8/(30*24)</f>
        <v>0.69444444444444442</v>
      </c>
      <c r="H15" s="115">
        <v>-20.161417</v>
      </c>
      <c r="I15" s="115">
        <v>-40.231054</v>
      </c>
      <c r="J15" s="94">
        <f>('FE-Transfer'!$A$4*0.0016*(($B$2/2.2)^1.3)/(($D15/2)^1.4))</f>
        <v>8.0562058829486459E-4</v>
      </c>
      <c r="K15" s="94">
        <f>('FE-Transfer'!$C$4*0.0016*(($B$2/2.2)^1.3)/(($D15/2)^1.4))</f>
        <v>3.8103676473405762E-4</v>
      </c>
      <c r="L15" s="94">
        <f>('FE-Transfer'!$E$4*0.0016*(($B$2/2.2)^1.3)/(($D15/2)^1.4))</f>
        <v>5.7699852945443012E-5</v>
      </c>
      <c r="M15" s="95">
        <f t="shared" si="0"/>
        <v>5.5945874187143373E-4</v>
      </c>
      <c r="N15" s="95">
        <f t="shared" si="1"/>
        <v>2.6460886439865113E-4</v>
      </c>
      <c r="O15" s="95">
        <f t="shared" si="2"/>
        <v>4.0069342323224311E-5</v>
      </c>
      <c r="P15" s="37"/>
    </row>
    <row r="16" spans="1:16" ht="15" customHeight="1" x14ac:dyDescent="0.25">
      <c r="A16" s="26" t="s">
        <v>381</v>
      </c>
      <c r="B16" s="143"/>
      <c r="C16" s="106" t="s">
        <v>382</v>
      </c>
      <c r="D16" s="72">
        <f>'FE-Transfer'!$L$7</f>
        <v>4.8</v>
      </c>
      <c r="E16" s="90" t="s">
        <v>0</v>
      </c>
      <c r="F16" s="93">
        <v>0</v>
      </c>
      <c r="G16" s="81">
        <f>G15</f>
        <v>0.69444444444444442</v>
      </c>
      <c r="H16" s="115">
        <v>-20.161417</v>
      </c>
      <c r="I16" s="115">
        <v>-40.231054</v>
      </c>
      <c r="J16" s="94">
        <f>('FE-Transfer'!$A$4*0.0016*(($B$2/2.2)^1.3)/(($D16/2)^1.4))</f>
        <v>8.0562058829486459E-4</v>
      </c>
      <c r="K16" s="94">
        <f>('FE-Transfer'!$C$4*0.0016*(($B$2/2.2)^1.3)/(($D16/2)^1.4))</f>
        <v>3.8103676473405762E-4</v>
      </c>
      <c r="L16" s="94">
        <f>('FE-Transfer'!$E$4*0.0016*(($B$2/2.2)^1.3)/(($D16/2)^1.4))</f>
        <v>5.7699852945443012E-5</v>
      </c>
      <c r="M16" s="95">
        <f t="shared" si="0"/>
        <v>5.5945874187143373E-4</v>
      </c>
      <c r="N16" s="95">
        <f t="shared" si="1"/>
        <v>2.6460886439865113E-4</v>
      </c>
      <c r="O16" s="95">
        <f t="shared" si="2"/>
        <v>4.0069342323224311E-5</v>
      </c>
      <c r="P16" s="37"/>
    </row>
    <row r="17" spans="1:16" ht="15" customHeight="1" x14ac:dyDescent="0.2">
      <c r="A17" s="26" t="s">
        <v>383</v>
      </c>
      <c r="B17" s="108" t="s">
        <v>12</v>
      </c>
      <c r="C17" s="107" t="s">
        <v>317</v>
      </c>
      <c r="D17" s="90">
        <f>'FE-Transfer'!L13</f>
        <v>0.2</v>
      </c>
      <c r="E17" s="65" t="s">
        <v>0</v>
      </c>
      <c r="F17" s="90">
        <v>0</v>
      </c>
      <c r="G17" s="72">
        <f>(Dados!B22+Dados!B20+Dados!B21)/(365*24)</f>
        <v>3.7671232876712328</v>
      </c>
      <c r="H17" s="115">
        <v>-20.161138999999999</v>
      </c>
      <c r="I17" s="115">
        <v>-40.230027999999997</v>
      </c>
      <c r="J17" s="94">
        <f>('FE-Transfer'!$A$4*0.0016*(($B$2/2.2)^1.3)/(($D17/2)^1.4))</f>
        <v>6.8932859562357215E-2</v>
      </c>
      <c r="K17" s="94">
        <f>('FE-Transfer'!$C$4*0.0016*(($B$2/2.2)^1.3)/(($D17/2)^1.4))</f>
        <v>3.2603379522736523E-2</v>
      </c>
      <c r="L17" s="94">
        <f>('FE-Transfer'!$E$4*0.0016*(($B$2/2.2)^1.3)/(($D17/2)^1.4))</f>
        <v>4.9370831848715305E-3</v>
      </c>
      <c r="M17" s="95">
        <f t="shared" si="0"/>
        <v>0.25967858054312648</v>
      </c>
      <c r="N17" s="95">
        <f t="shared" si="1"/>
        <v>0.12282095025688416</v>
      </c>
      <c r="O17" s="95">
        <f t="shared" si="2"/>
        <v>1.8598601038899602E-2</v>
      </c>
      <c r="P17" s="37"/>
    </row>
    <row r="18" spans="1:16" ht="15" customHeight="1" x14ac:dyDescent="0.2">
      <c r="A18" s="26" t="s">
        <v>384</v>
      </c>
      <c r="B18" s="219" t="s">
        <v>261</v>
      </c>
      <c r="C18" s="217" t="s">
        <v>316</v>
      </c>
      <c r="D18" s="72">
        <f>'FE-Transfer'!$L$7</f>
        <v>4.8</v>
      </c>
      <c r="E18" s="91" t="s">
        <v>0</v>
      </c>
      <c r="F18" s="90">
        <v>0</v>
      </c>
      <c r="G18" s="92">
        <f>Dados!B19/COUNTA(C30,C18,C24)/(365*24)</f>
        <v>0.38051750380517507</v>
      </c>
      <c r="H18" s="115">
        <v>-20.161933000000001</v>
      </c>
      <c r="I18" s="115">
        <v>-40.229733000000003</v>
      </c>
      <c r="J18" s="94">
        <f>('FE-Transfer'!$A$4*0.0016*(($B$2/2.2)^1.3)/(($D18/2)^1.4))</f>
        <v>8.0562058829486459E-4</v>
      </c>
      <c r="K18" s="94">
        <f>('FE-Transfer'!$C$4*0.0016*(($B$2/2.2)^1.3)/(($D18/2)^1.4))</f>
        <v>3.8103676473405762E-4</v>
      </c>
      <c r="L18" s="94">
        <f>('FE-Transfer'!$E$4*0.0016*(($B$2/2.2)^1.3)/(($D18/2)^1.4))</f>
        <v>5.7699852945443012E-5</v>
      </c>
      <c r="M18" s="95">
        <f t="shared" si="0"/>
        <v>3.0655273527201854E-4</v>
      </c>
      <c r="N18" s="95">
        <f t="shared" si="1"/>
        <v>1.4499115857460337E-4</v>
      </c>
      <c r="O18" s="95">
        <f t="shared" si="2"/>
        <v>2.1955804012725652E-5</v>
      </c>
      <c r="P18" s="37"/>
    </row>
    <row r="19" spans="1:16" ht="15" customHeight="1" x14ac:dyDescent="0.2">
      <c r="A19" s="26" t="s">
        <v>385</v>
      </c>
      <c r="B19" s="219"/>
      <c r="C19" s="217"/>
      <c r="D19" s="72">
        <f>'FE-Transfer'!$L$7</f>
        <v>4.8</v>
      </c>
      <c r="E19" s="91" t="s">
        <v>0</v>
      </c>
      <c r="F19" s="90">
        <v>0</v>
      </c>
      <c r="G19" s="92">
        <f>G18</f>
        <v>0.38051750380517507</v>
      </c>
      <c r="H19" s="115">
        <v>-20.161933000000001</v>
      </c>
      <c r="I19" s="115">
        <v>-40.229733000000003</v>
      </c>
      <c r="J19" s="94">
        <f>('FE-Transfer'!$A$4*0.0016*(($B$2/2.2)^1.3)/(($D19/2)^1.4))</f>
        <v>8.0562058829486459E-4</v>
      </c>
      <c r="K19" s="94">
        <f>('FE-Transfer'!$C$4*0.0016*(($B$2/2.2)^1.3)/(($D19/2)^1.4))</f>
        <v>3.8103676473405762E-4</v>
      </c>
      <c r="L19" s="94">
        <f>('FE-Transfer'!$E$4*0.0016*(($B$2/2.2)^1.3)/(($D19/2)^1.4))</f>
        <v>5.7699852945443012E-5</v>
      </c>
      <c r="M19" s="95">
        <f t="shared" si="0"/>
        <v>3.0655273527201854E-4</v>
      </c>
      <c r="N19" s="95">
        <f t="shared" si="1"/>
        <v>1.4499115857460337E-4</v>
      </c>
      <c r="O19" s="95">
        <f t="shared" si="2"/>
        <v>2.1955804012725652E-5</v>
      </c>
      <c r="P19" s="37"/>
    </row>
    <row r="20" spans="1:16" ht="15" customHeight="1" x14ac:dyDescent="0.2">
      <c r="A20" s="26" t="s">
        <v>386</v>
      </c>
      <c r="B20" s="219"/>
      <c r="C20" s="217"/>
      <c r="D20" s="72">
        <f>'FE-Transfer'!$L$7</f>
        <v>4.8</v>
      </c>
      <c r="E20" s="91" t="s">
        <v>0</v>
      </c>
      <c r="F20" s="90">
        <v>0</v>
      </c>
      <c r="G20" s="92">
        <f>G19</f>
        <v>0.38051750380517507</v>
      </c>
      <c r="H20" s="115">
        <v>-20.161933000000001</v>
      </c>
      <c r="I20" s="115">
        <v>-40.229733000000003</v>
      </c>
      <c r="J20" s="94">
        <f>('FE-Transfer'!$A$4*0.0016*(($B$2/2.2)^1.3)/(($D20/2)^1.4))</f>
        <v>8.0562058829486459E-4</v>
      </c>
      <c r="K20" s="94">
        <f>('FE-Transfer'!$C$4*0.0016*(($B$2/2.2)^1.3)/(($D20/2)^1.4))</f>
        <v>3.8103676473405762E-4</v>
      </c>
      <c r="L20" s="94">
        <f>('FE-Transfer'!$E$4*0.0016*(($B$2/2.2)^1.3)/(($D20/2)^1.4))</f>
        <v>5.7699852945443012E-5</v>
      </c>
      <c r="M20" s="95">
        <f t="shared" si="0"/>
        <v>3.0655273527201854E-4</v>
      </c>
      <c r="N20" s="95">
        <f t="shared" si="1"/>
        <v>1.4499115857460337E-4</v>
      </c>
      <c r="O20" s="95">
        <f t="shared" si="2"/>
        <v>2.1955804012725652E-5</v>
      </c>
      <c r="P20" s="37"/>
    </row>
    <row r="21" spans="1:16" ht="15" customHeight="1" x14ac:dyDescent="0.2">
      <c r="A21" s="26" t="s">
        <v>389</v>
      </c>
      <c r="B21" s="219"/>
      <c r="C21" s="217" t="s">
        <v>318</v>
      </c>
      <c r="D21" s="65">
        <v>12</v>
      </c>
      <c r="E21" s="91" t="s">
        <v>0</v>
      </c>
      <c r="F21" s="90">
        <v>0</v>
      </c>
      <c r="G21" s="92">
        <f>Dados!B18/COUNTA(C21,C27)/(365*24)</f>
        <v>1.7123287671232876</v>
      </c>
      <c r="H21" s="115">
        <v>-20.161933000000001</v>
      </c>
      <c r="I21" s="115">
        <v>-40.229733000000003</v>
      </c>
      <c r="J21" s="94">
        <f>('FE-Transfer'!$A$4*0.0016*(($B$2/2.2)^1.3)/(($D21/2)^1.4))</f>
        <v>2.2336470252648022E-4</v>
      </c>
      <c r="K21" s="94">
        <f>('FE-Transfer'!$C$4*0.0016*(($B$2/2.2)^1.3)/(($D21/2)^1.4))</f>
        <v>1.0564546741117309E-4</v>
      </c>
      <c r="L21" s="94">
        <f>('FE-Transfer'!$E$4*0.0016*(($B$2/2.2)^1.3)/(($D21/2)^1.4))</f>
        <v>1.599774220797764E-5</v>
      </c>
      <c r="M21" s="95">
        <f t="shared" si="0"/>
        <v>3.8247380569602778E-4</v>
      </c>
      <c r="N21" s="95">
        <f t="shared" si="1"/>
        <v>1.8089977296433747E-4</v>
      </c>
      <c r="O21" s="95">
        <f t="shared" si="2"/>
        <v>2.7393394191742534E-5</v>
      </c>
      <c r="P21" s="37"/>
    </row>
    <row r="22" spans="1:16" ht="15" customHeight="1" x14ac:dyDescent="0.2">
      <c r="A22" s="26" t="s">
        <v>390</v>
      </c>
      <c r="B22" s="219"/>
      <c r="C22" s="217"/>
      <c r="D22" s="91">
        <v>12</v>
      </c>
      <c r="E22" s="91" t="s">
        <v>0</v>
      </c>
      <c r="F22" s="90">
        <v>0</v>
      </c>
      <c r="G22" s="92">
        <f>G21</f>
        <v>1.7123287671232876</v>
      </c>
      <c r="H22" s="115">
        <v>-20.161933000000001</v>
      </c>
      <c r="I22" s="115">
        <v>-40.229733000000003</v>
      </c>
      <c r="J22" s="94">
        <f>('FE-Transfer'!$A$4*0.0016*(($B$2/2.2)^1.3)/(($D22/2)^1.4))</f>
        <v>2.2336470252648022E-4</v>
      </c>
      <c r="K22" s="94">
        <f>('FE-Transfer'!$C$4*0.0016*(($B$2/2.2)^1.3)/(($D22/2)^1.4))</f>
        <v>1.0564546741117309E-4</v>
      </c>
      <c r="L22" s="94">
        <f>('FE-Transfer'!$E$4*0.0016*(($B$2/2.2)^1.3)/(($D22/2)^1.4))</f>
        <v>1.599774220797764E-5</v>
      </c>
      <c r="M22" s="95">
        <f t="shared" si="0"/>
        <v>3.8247380569602778E-4</v>
      </c>
      <c r="N22" s="95">
        <f t="shared" si="1"/>
        <v>1.8089977296433747E-4</v>
      </c>
      <c r="O22" s="95">
        <f t="shared" si="2"/>
        <v>2.7393394191742534E-5</v>
      </c>
      <c r="P22" s="37"/>
    </row>
    <row r="23" spans="1:16" ht="15" customHeight="1" x14ac:dyDescent="0.2">
      <c r="A23" s="26" t="s">
        <v>391</v>
      </c>
      <c r="B23" s="219"/>
      <c r="C23" s="217"/>
      <c r="D23" s="91">
        <v>12</v>
      </c>
      <c r="E23" s="91" t="s">
        <v>0</v>
      </c>
      <c r="F23" s="90">
        <v>0</v>
      </c>
      <c r="G23" s="92">
        <f>G22</f>
        <v>1.7123287671232876</v>
      </c>
      <c r="H23" s="115">
        <v>-20.161933000000001</v>
      </c>
      <c r="I23" s="115">
        <v>-40.229733000000003</v>
      </c>
      <c r="J23" s="94">
        <f>('FE-Transfer'!$A$4*0.0016*(($B$2/2.2)^1.3)/(($D23/2)^1.4))</f>
        <v>2.2336470252648022E-4</v>
      </c>
      <c r="K23" s="94">
        <f>('FE-Transfer'!$C$4*0.0016*(($B$2/2.2)^1.3)/(($D23/2)^1.4))</f>
        <v>1.0564546741117309E-4</v>
      </c>
      <c r="L23" s="94">
        <f>('FE-Transfer'!$E$4*0.0016*(($B$2/2.2)^1.3)/(($D23/2)^1.4))</f>
        <v>1.599774220797764E-5</v>
      </c>
      <c r="M23" s="95">
        <f t="shared" si="0"/>
        <v>3.8247380569602778E-4</v>
      </c>
      <c r="N23" s="95">
        <f t="shared" si="1"/>
        <v>1.8089977296433747E-4</v>
      </c>
      <c r="O23" s="95">
        <f t="shared" si="2"/>
        <v>2.7393394191742534E-5</v>
      </c>
      <c r="P23" s="37"/>
    </row>
    <row r="24" spans="1:16" ht="15" customHeight="1" x14ac:dyDescent="0.2">
      <c r="A24" s="26" t="s">
        <v>387</v>
      </c>
      <c r="B24" s="219" t="s">
        <v>262</v>
      </c>
      <c r="C24" s="217" t="s">
        <v>316</v>
      </c>
      <c r="D24" s="72">
        <f>'FE-Transfer'!$L$7</f>
        <v>4.8</v>
      </c>
      <c r="E24" s="91" t="s">
        <v>0</v>
      </c>
      <c r="F24" s="90">
        <v>0</v>
      </c>
      <c r="G24" s="92">
        <f>Dados!B19/COUNTA(C8,C18,C24)/(365*24)</f>
        <v>0.38051750380517507</v>
      </c>
      <c r="H24" s="115">
        <v>-20.161805999999999</v>
      </c>
      <c r="I24" s="115">
        <v>-40.229750000000003</v>
      </c>
      <c r="J24" s="94">
        <f>('FE-Transfer'!$A$4*0.0016*(($B$2/2.2)^1.3)/(($D24/2)^1.4))</f>
        <v>8.0562058829486459E-4</v>
      </c>
      <c r="K24" s="94">
        <f>('FE-Transfer'!$C$4*0.0016*(($B$2/2.2)^1.3)/(($D24/2)^1.4))</f>
        <v>3.8103676473405762E-4</v>
      </c>
      <c r="L24" s="94">
        <f>('FE-Transfer'!$E$4*0.0016*(($B$2/2.2)^1.3)/(($D24/2)^1.4))</f>
        <v>5.7699852945443012E-5</v>
      </c>
      <c r="M24" s="95">
        <f t="shared" si="0"/>
        <v>3.0655273527201854E-4</v>
      </c>
      <c r="N24" s="95">
        <f t="shared" si="1"/>
        <v>1.4499115857460337E-4</v>
      </c>
      <c r="O24" s="95">
        <f t="shared" si="2"/>
        <v>2.1955804012725652E-5</v>
      </c>
      <c r="P24" s="37"/>
    </row>
    <row r="25" spans="1:16" ht="15" customHeight="1" x14ac:dyDescent="0.2">
      <c r="A25" s="26" t="s">
        <v>413</v>
      </c>
      <c r="B25" s="219"/>
      <c r="C25" s="217"/>
      <c r="D25" s="72">
        <f>'FE-Transfer'!$L$7</f>
        <v>4.8</v>
      </c>
      <c r="E25" s="91" t="s">
        <v>0</v>
      </c>
      <c r="F25" s="90">
        <v>0</v>
      </c>
      <c r="G25" s="92">
        <f>G24</f>
        <v>0.38051750380517507</v>
      </c>
      <c r="H25" s="115">
        <v>-20.161805999999999</v>
      </c>
      <c r="I25" s="115">
        <v>-40.229750000000003</v>
      </c>
      <c r="J25" s="94">
        <f>('FE-Transfer'!$A$4*0.0016*(($B$2/2.2)^1.3)/(($D25/2)^1.4))</f>
        <v>8.0562058829486459E-4</v>
      </c>
      <c r="K25" s="94">
        <f>('FE-Transfer'!$C$4*0.0016*(($B$2/2.2)^1.3)/(($D25/2)^1.4))</f>
        <v>3.8103676473405762E-4</v>
      </c>
      <c r="L25" s="94">
        <f>('FE-Transfer'!$E$4*0.0016*(($B$2/2.2)^1.3)/(($D25/2)^1.4))</f>
        <v>5.7699852945443012E-5</v>
      </c>
      <c r="M25" s="95">
        <f t="shared" si="0"/>
        <v>3.0655273527201854E-4</v>
      </c>
      <c r="N25" s="95">
        <f t="shared" si="1"/>
        <v>1.4499115857460337E-4</v>
      </c>
      <c r="O25" s="95">
        <f t="shared" si="2"/>
        <v>2.1955804012725652E-5</v>
      </c>
      <c r="P25" s="37"/>
    </row>
    <row r="26" spans="1:16" ht="15" customHeight="1" x14ac:dyDescent="0.2">
      <c r="A26" s="26" t="s">
        <v>388</v>
      </c>
      <c r="B26" s="219"/>
      <c r="C26" s="217"/>
      <c r="D26" s="72">
        <f>'FE-Transfer'!$L$7</f>
        <v>4.8</v>
      </c>
      <c r="E26" s="91" t="s">
        <v>0</v>
      </c>
      <c r="F26" s="90">
        <v>0</v>
      </c>
      <c r="G26" s="92">
        <f>G25</f>
        <v>0.38051750380517507</v>
      </c>
      <c r="H26" s="115">
        <v>-20.161805999999999</v>
      </c>
      <c r="I26" s="115">
        <v>-40.229750000000003</v>
      </c>
      <c r="J26" s="94">
        <f>('FE-Transfer'!$A$4*0.0016*(($B$2/2.2)^1.3)/(($D26/2)^1.4))</f>
        <v>8.0562058829486459E-4</v>
      </c>
      <c r="K26" s="94">
        <f>('FE-Transfer'!$C$4*0.0016*(($B$2/2.2)^1.3)/(($D26/2)^1.4))</f>
        <v>3.8103676473405762E-4</v>
      </c>
      <c r="L26" s="94">
        <f>('FE-Transfer'!$E$4*0.0016*(($B$2/2.2)^1.3)/(($D26/2)^1.4))</f>
        <v>5.7699852945443012E-5</v>
      </c>
      <c r="M26" s="95">
        <f t="shared" si="0"/>
        <v>3.0655273527201854E-4</v>
      </c>
      <c r="N26" s="95">
        <f t="shared" si="1"/>
        <v>1.4499115857460337E-4</v>
      </c>
      <c r="O26" s="95">
        <f t="shared" si="2"/>
        <v>2.1955804012725652E-5</v>
      </c>
      <c r="P26" s="37"/>
    </row>
    <row r="27" spans="1:16" ht="15" customHeight="1" x14ac:dyDescent="0.2">
      <c r="A27" s="26" t="s">
        <v>392</v>
      </c>
      <c r="B27" s="219"/>
      <c r="C27" s="217" t="s">
        <v>318</v>
      </c>
      <c r="D27" s="91">
        <v>12</v>
      </c>
      <c r="E27" s="91" t="s">
        <v>0</v>
      </c>
      <c r="F27" s="90">
        <v>0</v>
      </c>
      <c r="G27" s="92">
        <f>Dados!B18/COUNTA(C21,C27)/(365*24)</f>
        <v>1.7123287671232876</v>
      </c>
      <c r="H27" s="115">
        <v>-20.161805999999999</v>
      </c>
      <c r="I27" s="115">
        <v>-40.229750000000003</v>
      </c>
      <c r="J27" s="94">
        <f>('FE-Transfer'!$A$4*0.0016*(($B$2/2.2)^1.3)/(($D27/2)^1.4))</f>
        <v>2.2336470252648022E-4</v>
      </c>
      <c r="K27" s="94">
        <f>('FE-Transfer'!$C$4*0.0016*(($B$2/2.2)^1.3)/(($D27/2)^1.4))</f>
        <v>1.0564546741117309E-4</v>
      </c>
      <c r="L27" s="94">
        <f>('FE-Transfer'!$E$4*0.0016*(($B$2/2.2)^1.3)/(($D27/2)^1.4))</f>
        <v>1.599774220797764E-5</v>
      </c>
      <c r="M27" s="95">
        <f t="shared" si="0"/>
        <v>3.8247380569602778E-4</v>
      </c>
      <c r="N27" s="95">
        <f t="shared" si="1"/>
        <v>1.8089977296433747E-4</v>
      </c>
      <c r="O27" s="95">
        <f t="shared" si="2"/>
        <v>2.7393394191742534E-5</v>
      </c>
      <c r="P27" s="37"/>
    </row>
    <row r="28" spans="1:16" ht="15" customHeight="1" x14ac:dyDescent="0.2">
      <c r="A28" s="26" t="s">
        <v>393</v>
      </c>
      <c r="B28" s="219"/>
      <c r="C28" s="217"/>
      <c r="D28" s="91">
        <v>12</v>
      </c>
      <c r="E28" s="91" t="s">
        <v>0</v>
      </c>
      <c r="F28" s="90">
        <v>0</v>
      </c>
      <c r="G28" s="92">
        <f>G27</f>
        <v>1.7123287671232876</v>
      </c>
      <c r="H28" s="115">
        <v>-20.161805999999999</v>
      </c>
      <c r="I28" s="115">
        <v>-40.229750000000003</v>
      </c>
      <c r="J28" s="94">
        <f>('FE-Transfer'!$A$4*0.0016*(($B$2/2.2)^1.3)/(($D28/2)^1.4))</f>
        <v>2.2336470252648022E-4</v>
      </c>
      <c r="K28" s="94">
        <f>('FE-Transfer'!$C$4*0.0016*(($B$2/2.2)^1.3)/(($D28/2)^1.4))</f>
        <v>1.0564546741117309E-4</v>
      </c>
      <c r="L28" s="94">
        <f>('FE-Transfer'!$E$4*0.0016*(($B$2/2.2)^1.3)/(($D28/2)^1.4))</f>
        <v>1.599774220797764E-5</v>
      </c>
      <c r="M28" s="95">
        <f t="shared" si="0"/>
        <v>3.8247380569602778E-4</v>
      </c>
      <c r="N28" s="95">
        <f t="shared" si="1"/>
        <v>1.8089977296433747E-4</v>
      </c>
      <c r="O28" s="95">
        <f t="shared" si="2"/>
        <v>2.7393394191742534E-5</v>
      </c>
      <c r="P28" s="37"/>
    </row>
    <row r="29" spans="1:16" ht="15" customHeight="1" x14ac:dyDescent="0.2">
      <c r="A29" s="26" t="s">
        <v>394</v>
      </c>
      <c r="B29" s="219"/>
      <c r="C29" s="217"/>
      <c r="D29" s="91">
        <v>12</v>
      </c>
      <c r="E29" s="91" t="s">
        <v>0</v>
      </c>
      <c r="F29" s="90">
        <v>0</v>
      </c>
      <c r="G29" s="92">
        <f>G28</f>
        <v>1.7123287671232876</v>
      </c>
      <c r="H29" s="115">
        <v>-20.161805999999999</v>
      </c>
      <c r="I29" s="115">
        <v>-40.229750000000003</v>
      </c>
      <c r="J29" s="94">
        <f>('FE-Transfer'!$A$4*0.0016*(($B$2/2.2)^1.3)/(($D29/2)^1.4))</f>
        <v>2.2336470252648022E-4</v>
      </c>
      <c r="K29" s="94">
        <f>('FE-Transfer'!$C$4*0.0016*(($B$2/2.2)^1.3)/(($D29/2)^1.4))</f>
        <v>1.0564546741117309E-4</v>
      </c>
      <c r="L29" s="94">
        <f>('FE-Transfer'!$E$4*0.0016*(($B$2/2.2)^1.3)/(($D29/2)^1.4))</f>
        <v>1.599774220797764E-5</v>
      </c>
      <c r="M29" s="95">
        <f t="shared" si="0"/>
        <v>3.8247380569602778E-4</v>
      </c>
      <c r="N29" s="95">
        <f t="shared" si="1"/>
        <v>1.8089977296433747E-4</v>
      </c>
      <c r="O29" s="95">
        <f t="shared" si="2"/>
        <v>2.7393394191742534E-5</v>
      </c>
      <c r="P29" s="37"/>
    </row>
    <row r="30" spans="1:16" ht="15" customHeight="1" x14ac:dyDescent="0.2">
      <c r="A30" s="20" t="s">
        <v>438</v>
      </c>
      <c r="B30" s="219" t="s">
        <v>14</v>
      </c>
      <c r="C30" s="217" t="s">
        <v>316</v>
      </c>
      <c r="D30" s="72">
        <f>'FE-Transfer'!$L$7</f>
        <v>4.8</v>
      </c>
      <c r="E30" s="24" t="s">
        <v>0</v>
      </c>
      <c r="F30" s="112">
        <v>0</v>
      </c>
      <c r="G30" s="81">
        <f>Dados!B19/COUNTA(C30,C18,C24)/(365*24)</f>
        <v>0.38051750380517507</v>
      </c>
      <c r="H30" s="122">
        <v>-20.1615</v>
      </c>
      <c r="I30" s="122">
        <v>-40.230167000000002</v>
      </c>
      <c r="J30" s="94">
        <f>('FE-Transfer'!$A$4*0.0016*(($B$2/2.2)^1.3)/(($D30/2)^1.4))</f>
        <v>8.0562058829486459E-4</v>
      </c>
      <c r="K30" s="94">
        <f>('FE-Transfer'!$C$4*0.0016*(($B$2/2.2)^1.3)/(($D30/2)^1.4))</f>
        <v>3.8103676473405762E-4</v>
      </c>
      <c r="L30" s="94">
        <f>('FE-Transfer'!$E$4*0.0016*(($B$2/2.2)^1.3)/(($D30/2)^1.4))</f>
        <v>5.7699852945443012E-5</v>
      </c>
      <c r="M30" s="95">
        <f t="shared" si="0"/>
        <v>3.0655273527201854E-4</v>
      </c>
      <c r="N30" s="95">
        <f t="shared" si="1"/>
        <v>1.4499115857460337E-4</v>
      </c>
      <c r="O30" s="95">
        <f t="shared" si="2"/>
        <v>2.1955804012725652E-5</v>
      </c>
      <c r="P30" s="37"/>
    </row>
    <row r="31" spans="1:16" ht="15" customHeight="1" x14ac:dyDescent="0.2">
      <c r="A31" s="26" t="s">
        <v>395</v>
      </c>
      <c r="B31" s="219"/>
      <c r="C31" s="217"/>
      <c r="D31" s="72">
        <f>'FE-Transfer'!$L$7</f>
        <v>4.8</v>
      </c>
      <c r="E31" s="24" t="s">
        <v>0</v>
      </c>
      <c r="F31" s="112">
        <v>0</v>
      </c>
      <c r="G31" s="81">
        <f>G30</f>
        <v>0.38051750380517507</v>
      </c>
      <c r="H31" s="122">
        <v>-20.1615</v>
      </c>
      <c r="I31" s="122">
        <v>-40.230167000000002</v>
      </c>
      <c r="J31" s="94">
        <f>('FE-Transfer'!$A$4*0.0016*(($B$2/2.2)^1.3)/(($D31/2)^1.4))</f>
        <v>8.0562058829486459E-4</v>
      </c>
      <c r="K31" s="94">
        <f>('FE-Transfer'!$C$4*0.0016*(($B$2/2.2)^1.3)/(($D31/2)^1.4))</f>
        <v>3.8103676473405762E-4</v>
      </c>
      <c r="L31" s="94">
        <f>('FE-Transfer'!$E$4*0.0016*(($B$2/2.2)^1.3)/(($D31/2)^1.4))</f>
        <v>5.7699852945443012E-5</v>
      </c>
      <c r="M31" s="95">
        <f t="shared" si="0"/>
        <v>3.0655273527201854E-4</v>
      </c>
      <c r="N31" s="95">
        <f t="shared" si="1"/>
        <v>1.4499115857460337E-4</v>
      </c>
      <c r="O31" s="95">
        <f t="shared" si="2"/>
        <v>2.1955804012725652E-5</v>
      </c>
      <c r="P31" s="37"/>
    </row>
    <row r="32" spans="1:16" ht="15" customHeight="1" x14ac:dyDescent="0.2">
      <c r="A32" s="26" t="s">
        <v>396</v>
      </c>
      <c r="B32" s="219"/>
      <c r="C32" s="217"/>
      <c r="D32" s="72">
        <f>'FE-Transfer'!$L$7</f>
        <v>4.8</v>
      </c>
      <c r="E32" s="24" t="s">
        <v>0</v>
      </c>
      <c r="F32" s="112">
        <v>0</v>
      </c>
      <c r="G32" s="81">
        <f>G31</f>
        <v>0.38051750380517507</v>
      </c>
      <c r="H32" s="122">
        <v>-20.1615</v>
      </c>
      <c r="I32" s="122">
        <v>-40.230167000000002</v>
      </c>
      <c r="J32" s="94">
        <f>('FE-Transfer'!$A$4*0.0016*(($B$2/2.2)^1.3)/(($D32/2)^1.4))</f>
        <v>8.0562058829486459E-4</v>
      </c>
      <c r="K32" s="94">
        <f>('FE-Transfer'!$C$4*0.0016*(($B$2/2.2)^1.3)/(($D32/2)^1.4))</f>
        <v>3.8103676473405762E-4</v>
      </c>
      <c r="L32" s="94">
        <f>('FE-Transfer'!$E$4*0.0016*(($B$2/2.2)^1.3)/(($D32/2)^1.4))</f>
        <v>5.7699852945443012E-5</v>
      </c>
      <c r="M32" s="95">
        <f t="shared" si="0"/>
        <v>3.0655273527201854E-4</v>
      </c>
      <c r="N32" s="95">
        <f t="shared" si="1"/>
        <v>1.4499115857460337E-4</v>
      </c>
      <c r="O32" s="95">
        <f t="shared" si="2"/>
        <v>2.1955804012725652E-5</v>
      </c>
      <c r="P32" s="37"/>
    </row>
    <row r="33" spans="1:16" ht="15" customHeight="1" x14ac:dyDescent="0.2">
      <c r="A33" s="20" t="s">
        <v>439</v>
      </c>
      <c r="B33" s="219"/>
      <c r="C33" s="217" t="s">
        <v>20</v>
      </c>
      <c r="D33" s="72">
        <f>'FE-Transfer'!$L$7</f>
        <v>4.8</v>
      </c>
      <c r="E33" s="24" t="s">
        <v>0</v>
      </c>
      <c r="F33" s="112">
        <v>0</v>
      </c>
      <c r="G33" s="81">
        <f>Dados!B17/COUNTA(C14,C33)/(365*24)</f>
        <v>1.3698630136986301</v>
      </c>
      <c r="H33" s="122">
        <v>-20.1615</v>
      </c>
      <c r="I33" s="122">
        <v>-40.230167000000002</v>
      </c>
      <c r="J33" s="94">
        <f>('FE-Transfer'!$A$4*0.0016*(($B$2/2.2)^1.3)/(($D33/2)^1.4))</f>
        <v>8.0562058829486459E-4</v>
      </c>
      <c r="K33" s="94">
        <f>('FE-Transfer'!$C$4*0.0016*(($B$2/2.2)^1.3)/(($D33/2)^1.4))</f>
        <v>3.8103676473405762E-4</v>
      </c>
      <c r="L33" s="94">
        <f>('FE-Transfer'!$E$4*0.0016*(($B$2/2.2)^1.3)/(($D33/2)^1.4))</f>
        <v>5.7699852945443012E-5</v>
      </c>
      <c r="M33" s="95">
        <f>J33*$G33*(1-F33/100)</f>
        <v>1.1035898469792665E-3</v>
      </c>
      <c r="N33" s="95">
        <f>K33*$G33*(1-F33/100)</f>
        <v>5.2196817086857205E-4</v>
      </c>
      <c r="O33" s="95">
        <f>L33*$G33*(1-F33/100)</f>
        <v>7.904089444581234E-5</v>
      </c>
      <c r="P33" s="37"/>
    </row>
    <row r="34" spans="1:16" ht="15" customHeight="1" x14ac:dyDescent="0.2">
      <c r="A34" s="26" t="s">
        <v>397</v>
      </c>
      <c r="B34" s="219"/>
      <c r="C34" s="217"/>
      <c r="D34" s="72">
        <f>'FE-Transfer'!$L$7</f>
        <v>4.8</v>
      </c>
      <c r="E34" s="91" t="s">
        <v>0</v>
      </c>
      <c r="F34" s="90">
        <v>0</v>
      </c>
      <c r="G34" s="92">
        <f>G33</f>
        <v>1.3698630136986301</v>
      </c>
      <c r="H34" s="115">
        <v>-20.1615</v>
      </c>
      <c r="I34" s="115">
        <v>-40.230167000000002</v>
      </c>
      <c r="J34" s="94">
        <f>('FE-Transfer'!$A$4*0.0016*(($B$2/2.2)^1.3)/(($D34/2)^1.4))</f>
        <v>8.0562058829486459E-4</v>
      </c>
      <c r="K34" s="94">
        <f>('FE-Transfer'!$C$4*0.0016*(($B$2/2.2)^1.3)/(($D34/2)^1.4))</f>
        <v>3.8103676473405762E-4</v>
      </c>
      <c r="L34" s="94">
        <f>('FE-Transfer'!$E$4*0.0016*(($B$2/2.2)^1.3)/(($D34/2)^1.4))</f>
        <v>5.7699852945443012E-5</v>
      </c>
      <c r="M34" s="95">
        <f>J34*$G34*(1-F34/100)</f>
        <v>1.1035898469792665E-3</v>
      </c>
      <c r="N34" s="95">
        <f>K34*$G34*(1-F34/100)</f>
        <v>5.2196817086857205E-4</v>
      </c>
      <c r="O34" s="95">
        <f>L34*$G34*(1-F34/100)</f>
        <v>7.904089444581234E-5</v>
      </c>
      <c r="P34" s="37"/>
    </row>
    <row r="35" spans="1:16" ht="15" customHeight="1" x14ac:dyDescent="0.2">
      <c r="A35" s="26" t="s">
        <v>398</v>
      </c>
      <c r="B35" s="219"/>
      <c r="C35" s="217"/>
      <c r="D35" s="72">
        <f>'FE-Transfer'!$L$7</f>
        <v>4.8</v>
      </c>
      <c r="E35" s="91" t="s">
        <v>0</v>
      </c>
      <c r="F35" s="90">
        <v>0</v>
      </c>
      <c r="G35" s="92">
        <f>G34</f>
        <v>1.3698630136986301</v>
      </c>
      <c r="H35" s="115">
        <v>-20.1615</v>
      </c>
      <c r="I35" s="115">
        <v>-40.230167000000002</v>
      </c>
      <c r="J35" s="94">
        <f>('FE-Transfer'!$A$4*0.0016*(($B$2/2.2)^1.3)/(($D35/2)^1.4))</f>
        <v>8.0562058829486459E-4</v>
      </c>
      <c r="K35" s="94">
        <f>('FE-Transfer'!$C$4*0.0016*(($B$2/2.2)^1.3)/(($D35/2)^1.4))</f>
        <v>3.8103676473405762E-4</v>
      </c>
      <c r="L35" s="94">
        <f>('FE-Transfer'!$E$4*0.0016*(($B$2/2.2)^1.3)/(($D35/2)^1.4))</f>
        <v>5.7699852945443012E-5</v>
      </c>
      <c r="M35" s="95">
        <f>J35*$G35*(1-F35/100)</f>
        <v>1.1035898469792665E-3</v>
      </c>
      <c r="N35" s="95">
        <f>K35*$G35*(1-F35/100)</f>
        <v>5.2196817086857205E-4</v>
      </c>
      <c r="O35" s="95">
        <f>L35*$G35*(1-F35/100)</f>
        <v>7.904089444581234E-5</v>
      </c>
      <c r="P35" s="37"/>
    </row>
    <row r="36" spans="1:16" ht="15" customHeight="1" x14ac:dyDescent="0.25">
      <c r="A36" s="210" t="s">
        <v>270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73">
        <f>SUM(M7:M35)</f>
        <v>0.27689682709858288</v>
      </c>
      <c r="N36" s="73">
        <f>SUM(N7:N35)</f>
        <v>0.13096471551960018</v>
      </c>
      <c r="O36" s="73">
        <f>SUM(O7:O35)</f>
        <v>1.9831799778682286E-2</v>
      </c>
      <c r="P36" s="37"/>
    </row>
    <row r="37" spans="1:16" ht="15" customHeight="1" x14ac:dyDescent="0.25">
      <c r="A37" s="20" t="s">
        <v>443</v>
      </c>
      <c r="B37" s="128"/>
      <c r="C37" s="20"/>
      <c r="P37" s="37"/>
    </row>
    <row r="38" spans="1:16" ht="15" customHeight="1" x14ac:dyDescent="0.25">
      <c r="A38" s="20"/>
      <c r="B38" s="128"/>
      <c r="C38" s="20"/>
      <c r="P38" s="37"/>
    </row>
    <row r="39" spans="1:16" ht="15" customHeight="1" x14ac:dyDescent="0.25">
      <c r="A39" s="20"/>
      <c r="B39" s="128"/>
      <c r="C39" s="20"/>
      <c r="D39" s="129"/>
      <c r="E39" s="134"/>
      <c r="F39"/>
      <c r="G39" s="130"/>
      <c r="H39" s="131"/>
      <c r="I39" s="131"/>
      <c r="J39" s="132"/>
      <c r="K39" s="132"/>
      <c r="L39" s="132"/>
      <c r="M39" s="133"/>
      <c r="N39" s="133"/>
      <c r="O39" s="133"/>
      <c r="P39" s="37"/>
    </row>
    <row r="40" spans="1:16" ht="15" customHeight="1" x14ac:dyDescent="0.25">
      <c r="A40" s="120"/>
      <c r="B40" s="128"/>
      <c r="C40" s="20"/>
      <c r="D40" s="129"/>
      <c r="E40" s="134"/>
      <c r="F40"/>
      <c r="G40" s="130"/>
      <c r="H40" s="131"/>
      <c r="I40" s="131"/>
      <c r="J40" s="132"/>
      <c r="K40" s="132"/>
      <c r="L40" s="132"/>
      <c r="M40" s="133"/>
      <c r="N40" s="133"/>
      <c r="O40" s="133"/>
      <c r="P40" s="37"/>
    </row>
    <row r="41" spans="1:16" s="20" customFormat="1" ht="15" customHeight="1" x14ac:dyDescent="0.25">
      <c r="A41" s="120"/>
      <c r="B41" s="128"/>
      <c r="D41" s="129"/>
      <c r="E41" s="134"/>
      <c r="F41"/>
      <c r="G41" s="130"/>
      <c r="H41" s="131"/>
      <c r="I41" s="131"/>
      <c r="J41" s="132"/>
      <c r="K41" s="132"/>
      <c r="L41" s="132"/>
      <c r="M41" s="133"/>
      <c r="N41" s="133"/>
      <c r="O41" s="133"/>
      <c r="P41" s="37"/>
    </row>
    <row r="42" spans="1:16" s="20" customFormat="1" ht="15" customHeight="1" x14ac:dyDescent="0.25">
      <c r="A42"/>
      <c r="B42"/>
      <c r="C42"/>
      <c r="D42"/>
      <c r="E42"/>
      <c r="F42"/>
      <c r="G42"/>
      <c r="P42" s="37"/>
    </row>
    <row r="43" spans="1:16" s="20" customFormat="1" ht="15" customHeight="1" x14ac:dyDescent="0.25">
      <c r="P43" s="37"/>
    </row>
    <row r="44" spans="1:16" s="20" customFormat="1" ht="15" customHeight="1" x14ac:dyDescent="0.25">
      <c r="P44" s="37"/>
    </row>
    <row r="45" spans="1:16" s="20" customFormat="1" ht="15" customHeight="1" x14ac:dyDescent="0.25">
      <c r="P45" s="37"/>
    </row>
    <row r="46" spans="1:16" s="20" customFormat="1" ht="15" customHeight="1" x14ac:dyDescent="0.25">
      <c r="P46" s="37"/>
    </row>
    <row r="47" spans="1:16" s="20" customFormat="1" ht="15" customHeight="1" x14ac:dyDescent="0.25">
      <c r="P47" s="37"/>
    </row>
    <row r="48" spans="1:16" s="20" customFormat="1" ht="15" customHeight="1" x14ac:dyDescent="0.25">
      <c r="P48" s="37"/>
    </row>
    <row r="49" spans="1:16" s="20" customFormat="1" ht="15" customHeight="1" x14ac:dyDescent="0.25">
      <c r="P49" s="37"/>
    </row>
    <row r="52" spans="1:16" ht="15" customHeight="1" x14ac:dyDescent="0.25">
      <c r="E52"/>
      <c r="F52"/>
      <c r="G52"/>
    </row>
    <row r="53" spans="1:16" ht="15" customHeight="1" x14ac:dyDescent="0.25">
      <c r="A53" s="2"/>
      <c r="B53" s="2"/>
      <c r="C53" s="2"/>
      <c r="D53" s="2"/>
      <c r="E53"/>
      <c r="F53"/>
      <c r="G53"/>
    </row>
    <row r="54" spans="1:16" ht="15" customHeight="1" x14ac:dyDescent="0.25">
      <c r="F54" s="39"/>
      <c r="G54" s="50"/>
      <c r="H54" s="1"/>
      <c r="I54" s="1"/>
      <c r="J54" s="39"/>
      <c r="K54" s="37"/>
      <c r="L54" s="1"/>
      <c r="M54" s="1"/>
      <c r="N54" s="39"/>
      <c r="O54" s="39"/>
    </row>
    <row r="55" spans="1:16" ht="15" customHeight="1" x14ac:dyDescent="0.25">
      <c r="F55" s="39"/>
      <c r="G55" s="50"/>
      <c r="H55" s="1"/>
      <c r="I55" s="1"/>
      <c r="J55" s="39"/>
      <c r="K55" s="37"/>
      <c r="L55" s="1"/>
      <c r="M55" s="1"/>
      <c r="N55" s="39"/>
      <c r="O55" s="39"/>
    </row>
    <row r="56" spans="1:16" ht="15" customHeight="1" x14ac:dyDescent="0.25">
      <c r="F56" s="39"/>
      <c r="G56" s="50"/>
      <c r="H56" s="1"/>
      <c r="I56" s="1"/>
      <c r="J56" s="39"/>
      <c r="K56" s="37"/>
      <c r="L56" s="1"/>
      <c r="M56" s="1"/>
      <c r="N56" s="39"/>
      <c r="O56" s="39"/>
    </row>
    <row r="57" spans="1:16" ht="15" customHeight="1" x14ac:dyDescent="0.25">
      <c r="F57" s="39"/>
      <c r="G57" s="50"/>
      <c r="H57" s="1"/>
      <c r="I57" s="1"/>
      <c r="J57" s="39"/>
      <c r="K57" s="37"/>
      <c r="L57" s="1"/>
      <c r="M57" s="1"/>
      <c r="N57" s="39"/>
      <c r="O57" s="39"/>
    </row>
    <row r="58" spans="1:16" ht="15" customHeight="1" x14ac:dyDescent="0.25">
      <c r="F58" s="39"/>
      <c r="G58" s="50"/>
      <c r="H58" s="1"/>
      <c r="I58" s="1"/>
      <c r="J58" s="39"/>
      <c r="K58" s="37"/>
      <c r="L58" s="1"/>
      <c r="M58" s="1"/>
      <c r="N58" s="39"/>
      <c r="O58" s="39"/>
    </row>
    <row r="59" spans="1:16" ht="15" customHeight="1" x14ac:dyDescent="0.25">
      <c r="F59" s="39"/>
      <c r="G59" s="50"/>
      <c r="H59" s="1"/>
      <c r="I59" s="1"/>
      <c r="J59" s="39"/>
      <c r="K59" s="37"/>
      <c r="L59" s="1"/>
      <c r="M59" s="1"/>
      <c r="N59" s="39"/>
      <c r="O59" s="39"/>
    </row>
    <row r="60" spans="1:16" ht="15" customHeight="1" x14ac:dyDescent="0.25">
      <c r="F60" s="39"/>
      <c r="G60" s="50"/>
      <c r="H60" s="1"/>
      <c r="I60" s="1"/>
      <c r="J60" s="39"/>
      <c r="K60" s="37"/>
      <c r="L60" s="1"/>
      <c r="M60" s="1"/>
      <c r="N60" s="39"/>
      <c r="O60" s="39"/>
    </row>
    <row r="61" spans="1:16" ht="15" customHeight="1" x14ac:dyDescent="0.25">
      <c r="F61" s="39"/>
      <c r="G61" s="50"/>
      <c r="H61" s="1"/>
      <c r="I61" s="1"/>
      <c r="J61" s="39"/>
      <c r="K61" s="37"/>
      <c r="L61" s="1"/>
      <c r="M61" s="1"/>
      <c r="N61" s="39"/>
      <c r="O61" s="39"/>
    </row>
    <row r="62" spans="1:16" ht="15" customHeight="1" x14ac:dyDescent="0.25">
      <c r="D62" s="72"/>
      <c r="E62" s="65"/>
      <c r="F62" s="39"/>
      <c r="G62" s="50"/>
      <c r="H62" s="1"/>
      <c r="I62" s="1"/>
      <c r="J62" s="39"/>
      <c r="K62" s="37"/>
      <c r="L62" s="1"/>
      <c r="M62" s="1"/>
      <c r="N62" s="39"/>
      <c r="O62" s="39"/>
    </row>
    <row r="63" spans="1:16" ht="15" customHeight="1" x14ac:dyDescent="0.25">
      <c r="D63" s="72"/>
      <c r="E63" s="65"/>
      <c r="F63" s="39"/>
      <c r="G63" s="50"/>
      <c r="H63" s="1"/>
      <c r="I63" s="1"/>
      <c r="J63" s="39"/>
      <c r="K63" s="37"/>
      <c r="L63" s="1"/>
      <c r="M63" s="1"/>
      <c r="N63" s="39"/>
      <c r="O63" s="39"/>
    </row>
    <row r="64" spans="1:16" ht="15" customHeight="1" x14ac:dyDescent="0.25">
      <c r="D64" s="72"/>
      <c r="E64" s="65"/>
      <c r="F64" s="39"/>
      <c r="G64" s="50"/>
      <c r="H64" s="1"/>
      <c r="I64" s="1"/>
      <c r="J64" s="39"/>
      <c r="K64" s="37"/>
      <c r="L64" s="1"/>
      <c r="M64" s="1"/>
      <c r="N64" s="39"/>
      <c r="O64" s="39"/>
    </row>
    <row r="65" spans="6:15" ht="15" customHeight="1" x14ac:dyDescent="0.25">
      <c r="F65" s="39"/>
      <c r="G65" s="50"/>
      <c r="H65" s="1"/>
      <c r="I65" s="1"/>
      <c r="J65" s="39"/>
      <c r="K65" s="37"/>
      <c r="L65" s="1"/>
      <c r="M65" s="1"/>
      <c r="N65" s="39"/>
      <c r="O65" s="39"/>
    </row>
    <row r="66" spans="6:15" ht="15" customHeight="1" x14ac:dyDescent="0.25">
      <c r="F66" s="39"/>
      <c r="G66" s="50"/>
      <c r="H66" s="1"/>
      <c r="I66" s="1"/>
      <c r="J66" s="39"/>
      <c r="K66" s="37"/>
      <c r="L66" s="1"/>
      <c r="M66" s="1"/>
      <c r="N66" s="39"/>
      <c r="O66" s="39"/>
    </row>
    <row r="67" spans="6:15" ht="15" customHeight="1" x14ac:dyDescent="0.25">
      <c r="F67" s="60"/>
      <c r="G67" s="50"/>
      <c r="H67" s="1"/>
      <c r="I67" s="1"/>
      <c r="J67" s="39"/>
      <c r="K67" s="37"/>
      <c r="L67" s="1"/>
      <c r="M67" s="1"/>
      <c r="N67" s="39"/>
      <c r="O67" s="39"/>
    </row>
    <row r="68" spans="6:15" ht="15" customHeight="1" x14ac:dyDescent="0.25">
      <c r="F68" s="60"/>
      <c r="G68" s="50"/>
      <c r="H68" s="1"/>
      <c r="I68" s="1"/>
      <c r="J68" s="39"/>
      <c r="K68" s="37"/>
      <c r="L68" s="1"/>
      <c r="M68" s="1"/>
      <c r="N68" s="39"/>
      <c r="O68" s="39"/>
    </row>
    <row r="69" spans="6:15" ht="15" customHeight="1" x14ac:dyDescent="0.25">
      <c r="F69" s="65"/>
      <c r="G69" s="50"/>
      <c r="H69" s="1"/>
      <c r="I69" s="1"/>
      <c r="J69" s="39"/>
      <c r="K69" s="37"/>
      <c r="L69" s="1"/>
      <c r="M69" s="1"/>
      <c r="N69" s="39"/>
      <c r="O69" s="39"/>
    </row>
    <row r="70" spans="6:15" ht="15" customHeight="1" x14ac:dyDescent="0.25">
      <c r="F70" s="65"/>
      <c r="G70" s="50"/>
      <c r="H70" s="1"/>
      <c r="I70" s="1"/>
      <c r="J70" s="39"/>
      <c r="K70" s="37"/>
      <c r="L70" s="1"/>
      <c r="M70" s="1"/>
      <c r="N70" s="39"/>
      <c r="O70" s="39"/>
    </row>
    <row r="71" spans="6:15" ht="15" customHeight="1" x14ac:dyDescent="0.25">
      <c r="F71" s="65"/>
      <c r="G71" s="50"/>
      <c r="H71" s="1"/>
      <c r="I71" s="1"/>
      <c r="J71" s="39"/>
      <c r="K71" s="37"/>
      <c r="L71" s="1"/>
      <c r="M71" s="1"/>
      <c r="N71" s="39"/>
      <c r="O71" s="39"/>
    </row>
    <row r="72" spans="6:15" ht="15" customHeight="1" x14ac:dyDescent="0.25">
      <c r="F72" s="65"/>
      <c r="G72" s="50"/>
      <c r="H72" s="1"/>
      <c r="I72" s="1"/>
      <c r="J72" s="39"/>
      <c r="K72" s="37"/>
      <c r="L72" s="1"/>
      <c r="M72" s="1"/>
      <c r="N72" s="39"/>
      <c r="O72" s="39"/>
    </row>
    <row r="73" spans="6:15" ht="15" customHeight="1" x14ac:dyDescent="0.25">
      <c r="F73" s="65"/>
      <c r="G73" s="50"/>
      <c r="H73" s="1"/>
      <c r="I73" s="1"/>
      <c r="J73" s="39"/>
      <c r="K73" s="37"/>
      <c r="L73" s="1"/>
      <c r="M73" s="1"/>
      <c r="N73" s="39"/>
      <c r="O73" s="39"/>
    </row>
    <row r="74" spans="6:15" ht="15" customHeight="1" x14ac:dyDescent="0.25">
      <c r="F74" s="65"/>
      <c r="G74" s="50"/>
      <c r="H74" s="1"/>
      <c r="I74" s="1"/>
      <c r="J74" s="39"/>
      <c r="K74" s="37"/>
      <c r="L74" s="1"/>
      <c r="M74" s="1"/>
      <c r="N74" s="39"/>
      <c r="O74" s="39"/>
    </row>
    <row r="75" spans="6:15" ht="15" customHeight="1" x14ac:dyDescent="0.25">
      <c r="F75" s="65"/>
      <c r="G75" s="50"/>
      <c r="H75" s="1"/>
      <c r="I75" s="1"/>
      <c r="J75" s="39"/>
      <c r="K75" s="37"/>
      <c r="L75" s="1"/>
      <c r="M75" s="1"/>
      <c r="N75" s="39"/>
      <c r="O75" s="39"/>
    </row>
    <row r="76" spans="6:15" ht="15" customHeight="1" x14ac:dyDescent="0.25">
      <c r="F76" s="65"/>
      <c r="G76" s="50"/>
      <c r="H76" s="1"/>
      <c r="I76" s="1"/>
      <c r="J76" s="39"/>
      <c r="K76" s="37"/>
      <c r="L76" s="1"/>
      <c r="M76" s="1"/>
      <c r="N76" s="39"/>
      <c r="O76" s="39"/>
    </row>
    <row r="77" spans="6:15" ht="15" customHeight="1" x14ac:dyDescent="0.25">
      <c r="F77" s="60"/>
      <c r="G77" s="50"/>
      <c r="H77" s="1"/>
      <c r="I77" s="1"/>
      <c r="J77" s="39"/>
      <c r="K77" s="37"/>
      <c r="L77" s="1"/>
      <c r="M77" s="1"/>
      <c r="N77" s="39"/>
      <c r="O77" s="39"/>
    </row>
    <row r="78" spans="6:15" ht="15" customHeight="1" x14ac:dyDescent="0.25">
      <c r="F78" s="60"/>
      <c r="G78" s="50"/>
      <c r="H78" s="1"/>
      <c r="I78" s="1"/>
      <c r="J78" s="39"/>
      <c r="K78" s="37"/>
      <c r="L78" s="1"/>
      <c r="M78" s="1"/>
      <c r="N78" s="39"/>
      <c r="O78" s="39"/>
    </row>
    <row r="79" spans="6:15" ht="15" customHeight="1" x14ac:dyDescent="0.25">
      <c r="F79" s="39"/>
      <c r="G79" s="50"/>
      <c r="H79"/>
      <c r="I79"/>
      <c r="J79" s="39"/>
      <c r="K79" s="37"/>
      <c r="L79" s="39"/>
      <c r="M79" s="39"/>
      <c r="N79" s="39"/>
      <c r="O79" s="39"/>
    </row>
    <row r="80" spans="6:15" ht="15" customHeight="1" x14ac:dyDescent="0.25">
      <c r="F80" s="39"/>
      <c r="G80" s="50"/>
      <c r="H80"/>
      <c r="I80"/>
      <c r="J80" s="39"/>
      <c r="K80" s="37"/>
      <c r="L80" s="39"/>
      <c r="M80" s="39"/>
      <c r="N80" s="39"/>
      <c r="O80" s="39"/>
    </row>
    <row r="81" spans="1:15" ht="15" customHeight="1" x14ac:dyDescent="0.25">
      <c r="F81" s="39"/>
      <c r="G81" s="50"/>
      <c r="H81"/>
      <c r="I81"/>
      <c r="J81" s="39"/>
      <c r="K81" s="37"/>
      <c r="L81" s="39"/>
      <c r="M81" s="39"/>
      <c r="N81" s="39"/>
      <c r="O81" s="39"/>
    </row>
    <row r="82" spans="1:15" ht="15" customHeight="1" x14ac:dyDescent="0.25">
      <c r="F82" s="39"/>
      <c r="G82" s="50"/>
      <c r="H82"/>
      <c r="I82"/>
      <c r="J82" s="39"/>
      <c r="K82" s="37"/>
      <c r="L82" s="39"/>
      <c r="M82" s="39"/>
      <c r="N82" s="39"/>
      <c r="O82" s="39"/>
    </row>
    <row r="83" spans="1:15" ht="15" customHeight="1" x14ac:dyDescent="0.25">
      <c r="F83" s="39"/>
      <c r="G83" s="50"/>
      <c r="H83"/>
      <c r="I83"/>
      <c r="J83" s="39"/>
      <c r="K83" s="37"/>
      <c r="L83" s="39"/>
      <c r="M83" s="39"/>
      <c r="N83" s="39"/>
      <c r="O83" s="39"/>
    </row>
    <row r="84" spans="1:15" ht="15" customHeight="1" x14ac:dyDescent="0.25">
      <c r="F84" s="39"/>
      <c r="G84" s="50"/>
      <c r="H84"/>
      <c r="I84"/>
      <c r="J84" s="39"/>
      <c r="K84" s="37"/>
      <c r="L84" s="39"/>
      <c r="M84" s="39"/>
      <c r="N84" s="39"/>
      <c r="O84" s="39"/>
    </row>
    <row r="85" spans="1:15" ht="15" customHeight="1" x14ac:dyDescent="0.25">
      <c r="F85" s="60"/>
      <c r="G85" s="50"/>
      <c r="H85"/>
      <c r="I85"/>
      <c r="J85" s="39"/>
      <c r="K85" s="37"/>
      <c r="L85" s="39"/>
      <c r="M85" s="39"/>
      <c r="N85" s="39"/>
      <c r="O85" s="39"/>
    </row>
    <row r="86" spans="1:15" ht="15" customHeight="1" x14ac:dyDescent="0.25">
      <c r="F86" s="60"/>
      <c r="G86" s="50"/>
      <c r="H86"/>
      <c r="I86"/>
      <c r="J86" s="39"/>
      <c r="K86" s="37"/>
      <c r="L86" s="39"/>
      <c r="M86" s="39"/>
      <c r="N86" s="39"/>
      <c r="O86" s="39"/>
    </row>
    <row r="87" spans="1:15" ht="15" customHeight="1" x14ac:dyDescent="0.25">
      <c r="F87" s="60"/>
      <c r="G87" s="50"/>
      <c r="H87"/>
      <c r="I87"/>
      <c r="J87" s="39"/>
      <c r="K87" s="37"/>
      <c r="L87" s="39"/>
      <c r="M87" s="39"/>
      <c r="N87" s="39"/>
      <c r="O87" s="39"/>
    </row>
    <row r="88" spans="1:15" ht="15" customHeight="1" x14ac:dyDescent="0.25">
      <c r="A88" s="2"/>
      <c r="B88"/>
      <c r="C88" s="20"/>
      <c r="D88" s="72"/>
      <c r="E88" s="64"/>
      <c r="F88" s="65"/>
      <c r="G88" s="50"/>
      <c r="H88"/>
      <c r="I88"/>
      <c r="J88" s="39"/>
      <c r="K88" s="37"/>
      <c r="L88" s="39"/>
      <c r="M88" s="39"/>
      <c r="N88" s="39"/>
      <c r="O88" s="39"/>
    </row>
  </sheetData>
  <sheetProtection password="B056" sheet="1" objects="1" scenarios="1"/>
  <mergeCells count="24">
    <mergeCell ref="B30:B35"/>
    <mergeCell ref="C30:C32"/>
    <mergeCell ref="C33:C35"/>
    <mergeCell ref="A36:L36"/>
    <mergeCell ref="A5:A6"/>
    <mergeCell ref="C5:C6"/>
    <mergeCell ref="D5:D6"/>
    <mergeCell ref="E5:E6"/>
    <mergeCell ref="F5:F6"/>
    <mergeCell ref="J5:L5"/>
    <mergeCell ref="B24:B29"/>
    <mergeCell ref="C24:C26"/>
    <mergeCell ref="C27:C29"/>
    <mergeCell ref="M5:O5"/>
    <mergeCell ref="G5:G6"/>
    <mergeCell ref="B5:B6"/>
    <mergeCell ref="B7:B10"/>
    <mergeCell ref="B18:B23"/>
    <mergeCell ref="H5:H6"/>
    <mergeCell ref="I5:I6"/>
    <mergeCell ref="B11:B13"/>
    <mergeCell ref="B15:B16"/>
    <mergeCell ref="C18:C20"/>
    <mergeCell ref="C21:C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topLeftCell="J1" zoomScaleNormal="100" workbookViewId="0">
      <selection activeCell="Z14" sqref="Z14"/>
    </sheetView>
  </sheetViews>
  <sheetFormatPr defaultRowHeight="15" x14ac:dyDescent="0.25"/>
  <cols>
    <col min="1" max="1" width="21.140625" customWidth="1"/>
    <col min="2" max="5" width="13.85546875" customWidth="1"/>
    <col min="6" max="6" width="14.28515625" customWidth="1"/>
    <col min="7" max="7" width="10.42578125" customWidth="1"/>
    <col min="8" max="8" width="11.85546875" customWidth="1"/>
    <col min="9" max="11" width="14.85546875" customWidth="1"/>
    <col min="12" max="14" width="13.7109375" customWidth="1"/>
  </cols>
  <sheetData>
    <row r="1" spans="1:28" x14ac:dyDescent="0.25">
      <c r="A1" s="20" t="s">
        <v>191</v>
      </c>
    </row>
    <row r="2" spans="1:28" ht="15" customHeight="1" x14ac:dyDescent="0.25">
      <c r="A2" s="226" t="s">
        <v>235</v>
      </c>
      <c r="B2" s="226" t="s">
        <v>15</v>
      </c>
      <c r="C2" s="199" t="s">
        <v>302</v>
      </c>
      <c r="D2" s="199" t="s">
        <v>303</v>
      </c>
      <c r="E2" s="226" t="s">
        <v>405</v>
      </c>
      <c r="F2" s="226" t="s">
        <v>406</v>
      </c>
      <c r="G2" s="226" t="s">
        <v>407</v>
      </c>
      <c r="H2" s="222" t="s">
        <v>408</v>
      </c>
      <c r="I2" s="228" t="s">
        <v>409</v>
      </c>
      <c r="J2" s="222" t="s">
        <v>236</v>
      </c>
      <c r="K2" s="222" t="s">
        <v>410</v>
      </c>
      <c r="L2" s="224" t="s">
        <v>411</v>
      </c>
      <c r="M2" s="225"/>
      <c r="N2" s="225"/>
      <c r="O2" s="226" t="s">
        <v>412</v>
      </c>
      <c r="P2" s="226"/>
      <c r="Q2" s="226"/>
      <c r="R2" s="226"/>
      <c r="S2" s="226"/>
      <c r="T2" s="226"/>
      <c r="U2" s="226"/>
      <c r="V2" s="227" t="s">
        <v>184</v>
      </c>
      <c r="W2" s="227"/>
      <c r="X2" s="227"/>
      <c r="Y2" s="227"/>
      <c r="Z2" s="227"/>
      <c r="AA2" s="227"/>
      <c r="AB2" s="227"/>
    </row>
    <row r="3" spans="1:28" x14ac:dyDescent="0.25">
      <c r="A3" s="226"/>
      <c r="B3" s="226"/>
      <c r="C3" s="199"/>
      <c r="D3" s="199"/>
      <c r="E3" s="226"/>
      <c r="F3" s="226"/>
      <c r="G3" s="226"/>
      <c r="H3" s="223"/>
      <c r="I3" s="229"/>
      <c r="J3" s="223"/>
      <c r="K3" s="223"/>
      <c r="L3" s="52" t="s">
        <v>185</v>
      </c>
      <c r="M3" s="52" t="s">
        <v>189</v>
      </c>
      <c r="N3" s="53" t="s">
        <v>190</v>
      </c>
      <c r="O3" s="52" t="s">
        <v>185</v>
      </c>
      <c r="P3" s="52" t="s">
        <v>189</v>
      </c>
      <c r="Q3" s="52" t="s">
        <v>190</v>
      </c>
      <c r="R3" s="52" t="s">
        <v>186</v>
      </c>
      <c r="S3" s="52" t="s">
        <v>187</v>
      </c>
      <c r="T3" s="52" t="s">
        <v>188</v>
      </c>
      <c r="U3" s="137" t="s">
        <v>442</v>
      </c>
      <c r="V3" s="52" t="s">
        <v>185</v>
      </c>
      <c r="W3" s="52" t="s">
        <v>189</v>
      </c>
      <c r="X3" s="52" t="s">
        <v>190</v>
      </c>
      <c r="Y3" s="52" t="s">
        <v>186</v>
      </c>
      <c r="Z3" s="52" t="s">
        <v>187</v>
      </c>
      <c r="AA3" s="52" t="s">
        <v>188</v>
      </c>
      <c r="AB3" s="52" t="s">
        <v>442</v>
      </c>
    </row>
    <row r="4" spans="1:28" x14ac:dyDescent="0.25">
      <c r="A4" s="54" t="s">
        <v>237</v>
      </c>
      <c r="B4" s="23" t="s">
        <v>238</v>
      </c>
      <c r="C4" s="23">
        <v>-20.161961999999999</v>
      </c>
      <c r="D4" s="23">
        <v>-40.230697999999997</v>
      </c>
      <c r="E4" s="23">
        <v>190</v>
      </c>
      <c r="F4" s="89">
        <f>(Dados!$B$66/2)/24</f>
        <v>0.25</v>
      </c>
      <c r="G4" s="50">
        <f>2*(E4*F4/1000)</f>
        <v>9.5000000000000001E-2</v>
      </c>
      <c r="H4" s="87">
        <v>6</v>
      </c>
      <c r="I4" s="39">
        <v>16</v>
      </c>
      <c r="J4" s="23" t="s">
        <v>239</v>
      </c>
      <c r="K4" s="23">
        <v>50</v>
      </c>
      <c r="L4" s="50">
        <f>('FE-Vias'!$D$6*((H4/12)^'FE-Vias'!$D$7)*((I4/3)^'FE-Vias'!$D$8)*'FE-Vias'!$B$9/1000)*'FE-Vias'!$H$16</f>
        <v>1.3507947657182175</v>
      </c>
      <c r="M4" s="50">
        <f>('FE-Vias'!$C$6*((H4/12)^'FE-Vias'!$C$7)*((I4/3)^'FE-Vias'!$C$8)*'FE-Vias'!$B$9/1000)*'FE-Vias'!$H$16</f>
        <v>0.3599801461816684</v>
      </c>
      <c r="N4" s="50">
        <f>('FE-Vias'!$B$6*((H4/12)^'FE-Vias'!$B$7)*((I4/3)^'FE-Vias'!$B$8)*'FE-Vias'!$B$9/1000)*'FE-Vias'!$H$16</f>
        <v>3.5998014618166839E-2</v>
      </c>
      <c r="O4" s="141">
        <f>'FE-Vias'!$B$22/1000</f>
        <v>1.7489827604766657E-4</v>
      </c>
      <c r="P4" s="141">
        <f>'FE-Vias'!$C$22/1000</f>
        <v>1.7489827604766657E-4</v>
      </c>
      <c r="Q4" s="141">
        <f>'FE-Vias'!$D$22/1000</f>
        <v>1.7489827604766657E-4</v>
      </c>
      <c r="R4" s="141">
        <f>'FE-Vias'!$E$22/1000</f>
        <v>5.4345140567386742E-3</v>
      </c>
      <c r="S4" s="141">
        <f>'FE-Vias'!$F$22/1000</f>
        <v>2.1032135261668511E-4</v>
      </c>
      <c r="T4" s="141">
        <f>'FE-Vias'!$G$22/1000</f>
        <v>1.0383730075038094E-3</v>
      </c>
      <c r="U4" s="141">
        <f>'FE-Vias'!$H$22/1000</f>
        <v>2.4766340643796463E-4</v>
      </c>
      <c r="V4" s="55">
        <f>(L4*G4*(1-K4/100))+(O4*G4)</f>
        <v>6.4179366707839872E-2</v>
      </c>
      <c r="W4" s="55">
        <f>(M4*G4*(1-K4/100))+(P4*G4)</f>
        <v>1.7115672279853777E-2</v>
      </c>
      <c r="X4" s="55">
        <f>(N4*G4*(1-K4/100))+(Q4*G4)</f>
        <v>1.7265210305874531E-3</v>
      </c>
      <c r="Y4" s="55">
        <f>R4*G4</f>
        <v>5.1627883539017403E-4</v>
      </c>
      <c r="Z4" s="55">
        <f>S4*G4</f>
        <v>1.9980528498585087E-5</v>
      </c>
      <c r="AA4" s="55">
        <f>T4*G4</f>
        <v>9.8645435712861897E-5</v>
      </c>
      <c r="AB4" s="55">
        <f>U4*G4</f>
        <v>2.352802361160664E-5</v>
      </c>
    </row>
    <row r="5" spans="1:28" x14ac:dyDescent="0.25">
      <c r="A5" s="54" t="s">
        <v>240</v>
      </c>
      <c r="B5" s="23" t="s">
        <v>238</v>
      </c>
      <c r="C5" s="23">
        <v>-20.162178999999998</v>
      </c>
      <c r="D5" s="23">
        <v>-40.229728000000001</v>
      </c>
      <c r="E5" s="23">
        <v>296</v>
      </c>
      <c r="F5" s="89">
        <f>(Dados!$B$66/2)/24</f>
        <v>0.25</v>
      </c>
      <c r="G5" s="50">
        <f>2*(E5*F5/1000)</f>
        <v>0.14799999999999999</v>
      </c>
      <c r="H5" s="87">
        <v>6</v>
      </c>
      <c r="I5" s="39">
        <v>16</v>
      </c>
      <c r="J5" s="23" t="s">
        <v>239</v>
      </c>
      <c r="K5" s="23">
        <v>50</v>
      </c>
      <c r="L5" s="50">
        <f>('FE-Vias'!$D$6*((H5/12)^'FE-Vias'!$D$7)*((I5/3)^'FE-Vias'!$D$8)*'FE-Vias'!$B$9/1000)*'FE-Vias'!$H$16</f>
        <v>1.3507947657182175</v>
      </c>
      <c r="M5" s="50">
        <f>('FE-Vias'!$C$6*((H5/12)^'FE-Vias'!$C$7)*((I5/3)^'FE-Vias'!$C$8)*'FE-Vias'!$B$9/1000)*'FE-Vias'!$H$16</f>
        <v>0.3599801461816684</v>
      </c>
      <c r="N5" s="50">
        <f>('FE-Vias'!$B$6*((H5/12)^'FE-Vias'!$B$7)*((I5/3)^'FE-Vias'!$B$8)*'FE-Vias'!$B$9/1000)*'FE-Vias'!$H$16</f>
        <v>3.5998014618166839E-2</v>
      </c>
      <c r="O5" s="141">
        <f>'FE-Vias'!$B$22/1000</f>
        <v>1.7489827604766657E-4</v>
      </c>
      <c r="P5" s="141">
        <f>'FE-Vias'!$C$22/1000</f>
        <v>1.7489827604766657E-4</v>
      </c>
      <c r="Q5" s="141">
        <f>'FE-Vias'!$D$22/1000</f>
        <v>1.7489827604766657E-4</v>
      </c>
      <c r="R5" s="141">
        <f>'FE-Vias'!$E$22/1000</f>
        <v>5.4345140567386742E-3</v>
      </c>
      <c r="S5" s="141">
        <f>'FE-Vias'!$F$22/1000</f>
        <v>2.1032135261668511E-4</v>
      </c>
      <c r="T5" s="141">
        <f>'FE-Vias'!$G$22/1000</f>
        <v>1.0383730075038094E-3</v>
      </c>
      <c r="U5" s="141">
        <f>'FE-Vias'!$H$22/1000</f>
        <v>2.4766340643796463E-4</v>
      </c>
      <c r="V5" s="55">
        <f t="shared" ref="V5" si="0">(L5*G5*(1-K5/100))+(O5*G5)</f>
        <v>9.9984697608003159E-2</v>
      </c>
      <c r="W5" s="55">
        <f t="shared" ref="W5" si="1">(M5*G5*(1-K5/100))+(P5*G5)</f>
        <v>2.6664415762298516E-2</v>
      </c>
      <c r="X5" s="55">
        <f t="shared" ref="X5" si="2">(N5*G5*(1-K5/100))+(Q5*G5)</f>
        <v>2.6897380265994007E-3</v>
      </c>
      <c r="Y5" s="55">
        <f t="shared" ref="Y5" si="3">R5*G5</f>
        <v>8.0430808039732378E-4</v>
      </c>
      <c r="Z5" s="55">
        <f t="shared" ref="Z5" si="4">S5*G5</f>
        <v>3.1127560187269397E-5</v>
      </c>
      <c r="AA5" s="55">
        <f t="shared" ref="AA5" si="5">T5*G5</f>
        <v>1.5367920511056378E-4</v>
      </c>
      <c r="AB5" s="55">
        <f t="shared" ref="AB5" si="6">U5*G5</f>
        <v>3.6654184152818766E-5</v>
      </c>
    </row>
    <row r="6" spans="1:28" x14ac:dyDescent="0.25">
      <c r="A6" s="210" t="s">
        <v>270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40">
        <f t="shared" ref="V6:AB6" si="7">SUM(V4:V5)</f>
        <v>0.16416406431584302</v>
      </c>
      <c r="W6" s="40">
        <f t="shared" si="7"/>
        <v>4.378008804215229E-2</v>
      </c>
      <c r="X6" s="40">
        <f t="shared" si="7"/>
        <v>4.4162590571868538E-3</v>
      </c>
      <c r="Y6" s="40">
        <f t="shared" si="7"/>
        <v>1.3205869157874978E-3</v>
      </c>
      <c r="Z6" s="40">
        <f>SUM(Z4:Z5)</f>
        <v>5.1108088685854483E-5</v>
      </c>
      <c r="AA6" s="40">
        <f>SUM(AA4:AA5)</f>
        <v>2.5232464082342569E-4</v>
      </c>
      <c r="AB6" s="40">
        <f t="shared" si="7"/>
        <v>6.0182207764425402E-5</v>
      </c>
    </row>
    <row r="7" spans="1:28" x14ac:dyDescent="0.25">
      <c r="I7" s="56"/>
      <c r="J7" s="56"/>
    </row>
    <row r="8" spans="1:28" x14ac:dyDescent="0.25">
      <c r="B8" s="57"/>
      <c r="F8" s="19"/>
      <c r="G8" s="19"/>
    </row>
    <row r="9" spans="1:28" x14ac:dyDescent="0.25">
      <c r="F9" s="19"/>
      <c r="G9" s="19"/>
    </row>
    <row r="10" spans="1:28" x14ac:dyDescent="0.25">
      <c r="F10" s="19"/>
      <c r="G10" s="19"/>
    </row>
    <row r="11" spans="1:28" x14ac:dyDescent="0.25">
      <c r="F11" s="19"/>
      <c r="G11" s="19"/>
    </row>
  </sheetData>
  <sheetProtection password="B056" sheet="1" objects="1" scenarios="1"/>
  <mergeCells count="15">
    <mergeCell ref="K2:K3"/>
    <mergeCell ref="L2:N2"/>
    <mergeCell ref="O2:U2"/>
    <mergeCell ref="V2:AB2"/>
    <mergeCell ref="A6:U6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4" sqref="E14"/>
    </sheetView>
  </sheetViews>
  <sheetFormatPr defaultRowHeight="15" x14ac:dyDescent="0.25"/>
  <cols>
    <col min="1" max="1" width="21.42578125" customWidth="1"/>
  </cols>
  <sheetData>
    <row r="1" spans="1:8" x14ac:dyDescent="0.25">
      <c r="A1" s="230" t="s">
        <v>310</v>
      </c>
      <c r="B1" s="213" t="s">
        <v>184</v>
      </c>
      <c r="C1" s="214"/>
      <c r="D1" s="214"/>
      <c r="E1" s="214"/>
      <c r="F1" s="214"/>
      <c r="G1" s="214"/>
      <c r="H1" s="214"/>
    </row>
    <row r="2" spans="1:8" x14ac:dyDescent="0.25">
      <c r="A2" s="230"/>
      <c r="B2" s="36" t="s">
        <v>185</v>
      </c>
      <c r="C2" s="36" t="s">
        <v>189</v>
      </c>
      <c r="D2" s="36" t="s">
        <v>190</v>
      </c>
      <c r="E2" s="36" t="s">
        <v>186</v>
      </c>
      <c r="F2" s="36" t="s">
        <v>187</v>
      </c>
      <c r="G2" s="36" t="s">
        <v>188</v>
      </c>
      <c r="H2" s="36" t="s">
        <v>442</v>
      </c>
    </row>
    <row r="3" spans="1:8" x14ac:dyDescent="0.25">
      <c r="A3" s="26" t="s">
        <v>313</v>
      </c>
      <c r="B3" s="95">
        <f>'Emissão Chaminés'!M20</f>
        <v>0.6488017664611111</v>
      </c>
      <c r="C3" s="95">
        <f>'Emissão Chaminés'!N20</f>
        <v>0.51984279706633341</v>
      </c>
      <c r="D3" s="95">
        <f>'Emissão Chaminés'!O20</f>
        <v>0.21763650310033331</v>
      </c>
      <c r="E3" s="95" t="s">
        <v>0</v>
      </c>
      <c r="F3" s="95" t="s">
        <v>0</v>
      </c>
      <c r="G3" s="95" t="s">
        <v>0</v>
      </c>
      <c r="H3" s="95">
        <f>'Emissão Chaminés'!P20</f>
        <v>2.2831050228310504E-2</v>
      </c>
    </row>
    <row r="4" spans="1:8" x14ac:dyDescent="0.25">
      <c r="A4" s="26" t="s">
        <v>311</v>
      </c>
      <c r="B4" s="95">
        <f>'Emissão Transferências'!M36</f>
        <v>0.27689682709858288</v>
      </c>
      <c r="C4" s="95">
        <f>'Emissão Transferências'!N36</f>
        <v>0.13096471551960018</v>
      </c>
      <c r="D4" s="95">
        <f>'Emissão Transferências'!O36</f>
        <v>1.9831799778682286E-2</v>
      </c>
      <c r="E4" s="95" t="s">
        <v>0</v>
      </c>
      <c r="F4" s="95" t="s">
        <v>0</v>
      </c>
      <c r="G4" s="95" t="s">
        <v>0</v>
      </c>
      <c r="H4" s="95" t="s">
        <v>0</v>
      </c>
    </row>
    <row r="5" spans="1:8" x14ac:dyDescent="0.25">
      <c r="A5" s="26" t="s">
        <v>26</v>
      </c>
      <c r="B5" s="95">
        <f>'Emissão Maq e Equip'!N18</f>
        <v>0.10357558105165478</v>
      </c>
      <c r="C5" s="95">
        <f>'Emissão Maq e Equip'!O18</f>
        <v>0.10357558105165478</v>
      </c>
      <c r="D5" s="95">
        <f>'Emissão Maq e Equip'!P18</f>
        <v>0.10357558105165478</v>
      </c>
      <c r="E5" s="95">
        <f>'Emissão Maq e Equip'!Q18</f>
        <v>1.3539594935696073</v>
      </c>
      <c r="F5" s="95">
        <f>'Emissão Maq e Equip'!R18</f>
        <v>1.1737006437240113E-3</v>
      </c>
      <c r="G5" s="95">
        <f>'Emissão Maq e Equip'!S18</f>
        <v>0.68388355122914102</v>
      </c>
      <c r="H5" s="95">
        <f>'Emissão Maq e Equip'!T18</f>
        <v>0.20624509094545679</v>
      </c>
    </row>
    <row r="6" spans="1:8" x14ac:dyDescent="0.25">
      <c r="A6" s="26" t="s">
        <v>312</v>
      </c>
      <c r="B6" s="95">
        <v>5.0308062591820649E-2</v>
      </c>
      <c r="C6" s="95">
        <v>2.5154031295910324E-2</v>
      </c>
      <c r="D6" s="95">
        <v>3.773104694386548E-3</v>
      </c>
      <c r="E6" s="95" t="s">
        <v>0</v>
      </c>
      <c r="F6" s="95" t="s">
        <v>0</v>
      </c>
      <c r="G6" s="95" t="s">
        <v>0</v>
      </c>
      <c r="H6" s="95" t="s">
        <v>0</v>
      </c>
    </row>
    <row r="7" spans="1:8" x14ac:dyDescent="0.25">
      <c r="A7" s="26" t="s">
        <v>314</v>
      </c>
      <c r="B7" s="95">
        <f>'Emissão Vias '!V6</f>
        <v>0.16416406431584302</v>
      </c>
      <c r="C7" s="95">
        <f>'Emissão Vias '!W6</f>
        <v>4.378008804215229E-2</v>
      </c>
      <c r="D7" s="95">
        <f>'Emissão Vias '!X6</f>
        <v>4.4162590571868538E-3</v>
      </c>
      <c r="E7" s="95">
        <f>'Emissão Vias '!Y6</f>
        <v>1.3205869157874978E-3</v>
      </c>
      <c r="F7" s="95">
        <f>'Emissão Vias '!Z6</f>
        <v>5.1108088685854483E-5</v>
      </c>
      <c r="G7" s="95">
        <f>'Emissão Vias '!AA6</f>
        <v>2.5232464082342569E-4</v>
      </c>
      <c r="H7" s="95">
        <f>'Emissão Vias '!AB6</f>
        <v>6.0182207764425402E-5</v>
      </c>
    </row>
    <row r="8" spans="1:8" x14ac:dyDescent="0.25">
      <c r="A8" s="66" t="s">
        <v>270</v>
      </c>
      <c r="B8" s="40">
        <f>SUM(B3:B7)</f>
        <v>1.2437463015190124</v>
      </c>
      <c r="C8" s="40">
        <f t="shared" ref="C8:H8" si="0">SUM(C3:C7)</f>
        <v>0.82331721297565097</v>
      </c>
      <c r="D8" s="40">
        <f t="shared" si="0"/>
        <v>0.34923324768224379</v>
      </c>
      <c r="E8" s="40">
        <f t="shared" si="0"/>
        <v>1.3552800804853948</v>
      </c>
      <c r="F8" s="40">
        <f t="shared" si="0"/>
        <v>1.2248087324098658E-3</v>
      </c>
      <c r="G8" s="40">
        <f t="shared" si="0"/>
        <v>0.68413587586996449</v>
      </c>
      <c r="H8" s="40">
        <f t="shared" si="0"/>
        <v>0.22913632338153173</v>
      </c>
    </row>
    <row r="10" spans="1:8" x14ac:dyDescent="0.25">
      <c r="A10" s="26" t="s">
        <v>444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P17" sqref="P17"/>
    </sheetView>
  </sheetViews>
  <sheetFormatPr defaultRowHeight="15" x14ac:dyDescent="0.25"/>
  <cols>
    <col min="1" max="1" width="14.42578125" customWidth="1"/>
    <col min="7" max="7" width="26.42578125" bestFit="1" customWidth="1"/>
    <col min="8" max="8" width="20.140625" bestFit="1" customWidth="1"/>
  </cols>
  <sheetData>
    <row r="1" spans="1:14" x14ac:dyDescent="0.25">
      <c r="A1" s="26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48" t="s">
        <v>272</v>
      </c>
      <c r="B2" s="149"/>
      <c r="C2" s="149"/>
      <c r="D2" s="149"/>
      <c r="E2" s="150"/>
      <c r="F2" s="2"/>
      <c r="G2" s="149" t="s">
        <v>273</v>
      </c>
      <c r="H2" s="149"/>
      <c r="I2" s="149"/>
      <c r="J2" s="149"/>
      <c r="K2" s="149"/>
      <c r="L2" s="149"/>
      <c r="M2" s="2"/>
      <c r="N2" s="2"/>
    </row>
    <row r="3" spans="1:14" x14ac:dyDescent="0.25">
      <c r="A3" s="58" t="s">
        <v>274</v>
      </c>
      <c r="B3" s="58" t="s">
        <v>275</v>
      </c>
      <c r="C3" s="58" t="s">
        <v>276</v>
      </c>
      <c r="D3" s="58" t="s">
        <v>277</v>
      </c>
      <c r="E3" s="58" t="s">
        <v>278</v>
      </c>
      <c r="F3" s="2"/>
      <c r="G3" s="151" t="s">
        <v>279</v>
      </c>
      <c r="H3" s="151" t="s">
        <v>18</v>
      </c>
      <c r="I3" s="148" t="s">
        <v>280</v>
      </c>
      <c r="J3" s="150"/>
      <c r="K3" s="148" t="s">
        <v>281</v>
      </c>
      <c r="L3" s="150"/>
      <c r="M3" s="2"/>
      <c r="N3" s="2"/>
    </row>
    <row r="4" spans="1:14" x14ac:dyDescent="0.25">
      <c r="A4" s="74">
        <v>0.74</v>
      </c>
      <c r="B4" s="43">
        <v>0.48</v>
      </c>
      <c r="C4" s="74">
        <v>0.35</v>
      </c>
      <c r="D4" s="43">
        <v>0.2</v>
      </c>
      <c r="E4" s="74">
        <v>5.2999999999999999E-2</v>
      </c>
      <c r="F4" s="2"/>
      <c r="G4" s="152"/>
      <c r="H4" s="152"/>
      <c r="I4" s="139" t="s">
        <v>282</v>
      </c>
      <c r="J4" s="139" t="s">
        <v>283</v>
      </c>
      <c r="K4" s="139" t="s">
        <v>282</v>
      </c>
      <c r="L4" s="139" t="s">
        <v>283</v>
      </c>
      <c r="M4" s="2"/>
      <c r="N4" s="2"/>
    </row>
    <row r="5" spans="1:14" x14ac:dyDescent="0.25">
      <c r="A5" s="2"/>
      <c r="B5" s="2"/>
      <c r="C5" s="2"/>
      <c r="D5" s="2"/>
      <c r="E5" s="2"/>
      <c r="F5" s="2"/>
      <c r="G5" s="144" t="s">
        <v>328</v>
      </c>
      <c r="H5" s="140" t="s">
        <v>329</v>
      </c>
      <c r="I5" s="43" t="s">
        <v>330</v>
      </c>
      <c r="J5" s="43">
        <v>4.3</v>
      </c>
      <c r="K5" s="43" t="s">
        <v>331</v>
      </c>
      <c r="L5" s="43">
        <v>2.2000000000000002</v>
      </c>
      <c r="M5" s="2"/>
      <c r="N5" s="2"/>
    </row>
    <row r="6" spans="1:14" ht="15" customHeight="1" x14ac:dyDescent="0.25">
      <c r="A6" s="145" t="s">
        <v>167</v>
      </c>
      <c r="B6" s="146"/>
      <c r="C6" s="146"/>
      <c r="D6" s="146"/>
      <c r="E6" s="146"/>
      <c r="F6" s="2"/>
      <c r="G6" s="144"/>
      <c r="H6" s="140" t="s">
        <v>332</v>
      </c>
      <c r="I6" s="43" t="s">
        <v>333</v>
      </c>
      <c r="J6" s="43">
        <v>9.5</v>
      </c>
      <c r="K6" s="43" t="s">
        <v>334</v>
      </c>
      <c r="L6" s="43">
        <v>5.4</v>
      </c>
      <c r="M6" s="2"/>
      <c r="N6" s="2"/>
    </row>
    <row r="7" spans="1:14" x14ac:dyDescent="0.25">
      <c r="A7" s="145"/>
      <c r="B7" s="146"/>
      <c r="C7" s="146"/>
      <c r="D7" s="146"/>
      <c r="E7" s="146"/>
      <c r="F7" s="2"/>
      <c r="G7" s="144"/>
      <c r="H7" s="140" t="s">
        <v>335</v>
      </c>
      <c r="I7" s="43" t="s">
        <v>336</v>
      </c>
      <c r="J7" s="43">
        <v>4.5999999999999996</v>
      </c>
      <c r="K7" s="43" t="s">
        <v>337</v>
      </c>
      <c r="L7" s="74">
        <v>4.8</v>
      </c>
      <c r="M7" s="2"/>
      <c r="N7" s="2"/>
    </row>
    <row r="8" spans="1:14" x14ac:dyDescent="0.25">
      <c r="A8" s="145"/>
      <c r="B8" s="146"/>
      <c r="C8" s="146"/>
      <c r="D8" s="146"/>
      <c r="E8" s="146"/>
      <c r="F8" s="2"/>
      <c r="G8" s="144"/>
      <c r="H8" s="140" t="s">
        <v>286</v>
      </c>
      <c r="I8" s="43" t="s">
        <v>338</v>
      </c>
      <c r="J8" s="43">
        <v>5.3</v>
      </c>
      <c r="K8" s="43" t="s">
        <v>339</v>
      </c>
      <c r="L8" s="43">
        <v>0.92</v>
      </c>
      <c r="M8" s="2"/>
      <c r="N8" s="2"/>
    </row>
    <row r="9" spans="1:14" ht="15" customHeight="1" x14ac:dyDescent="0.25">
      <c r="A9" s="145"/>
      <c r="B9" s="146"/>
      <c r="C9" s="146"/>
      <c r="D9" s="146"/>
      <c r="E9" s="146"/>
      <c r="F9" s="2"/>
      <c r="G9" s="144"/>
      <c r="H9" s="140" t="s">
        <v>340</v>
      </c>
      <c r="I9" s="43" t="s">
        <v>341</v>
      </c>
      <c r="J9" s="43">
        <v>13</v>
      </c>
      <c r="K9" s="43" t="s">
        <v>0</v>
      </c>
      <c r="L9" s="43">
        <v>7</v>
      </c>
      <c r="M9" s="2"/>
      <c r="N9" s="2"/>
    </row>
    <row r="10" spans="1:14" x14ac:dyDescent="0.25">
      <c r="A10" s="145"/>
      <c r="B10" s="146"/>
      <c r="C10" s="146"/>
      <c r="D10" s="146"/>
      <c r="E10" s="146"/>
      <c r="F10" s="2"/>
      <c r="G10" s="144"/>
      <c r="H10" s="140" t="s">
        <v>342</v>
      </c>
      <c r="I10" s="43" t="s">
        <v>343</v>
      </c>
      <c r="J10" s="43">
        <v>4.9000000000000004</v>
      </c>
      <c r="K10" s="43" t="s">
        <v>344</v>
      </c>
      <c r="L10" s="74">
        <v>7.8</v>
      </c>
      <c r="M10" s="2"/>
      <c r="N10" s="2"/>
    </row>
    <row r="11" spans="1:14" ht="15" customHeight="1" x14ac:dyDescent="0.25">
      <c r="A11" s="145"/>
      <c r="B11" s="147" t="s">
        <v>299</v>
      </c>
      <c r="C11" s="147"/>
      <c r="D11" s="147"/>
      <c r="E11" s="147"/>
      <c r="F11" s="2"/>
      <c r="G11" s="144"/>
      <c r="H11" s="140" t="s">
        <v>345</v>
      </c>
      <c r="I11" s="43" t="s">
        <v>0</v>
      </c>
      <c r="J11" s="43">
        <v>15</v>
      </c>
      <c r="K11" s="43" t="s">
        <v>0</v>
      </c>
      <c r="L11" s="43">
        <v>6.6</v>
      </c>
      <c r="M11" s="2"/>
      <c r="N11" s="2"/>
    </row>
    <row r="12" spans="1:14" x14ac:dyDescent="0.25">
      <c r="A12" s="145"/>
      <c r="B12" s="147"/>
      <c r="C12" s="147"/>
      <c r="D12" s="147"/>
      <c r="E12" s="147"/>
      <c r="F12" s="2"/>
      <c r="G12" s="144"/>
      <c r="H12" s="140" t="s">
        <v>346</v>
      </c>
      <c r="I12" s="43" t="s">
        <v>0</v>
      </c>
      <c r="J12" s="43">
        <v>0.7</v>
      </c>
      <c r="K12" s="43" t="s">
        <v>0</v>
      </c>
      <c r="L12" s="43" t="s">
        <v>0</v>
      </c>
      <c r="M12" s="2"/>
      <c r="N12" s="2"/>
    </row>
    <row r="13" spans="1:14" x14ac:dyDescent="0.25">
      <c r="A13" s="145"/>
      <c r="B13" s="147"/>
      <c r="C13" s="147"/>
      <c r="D13" s="147"/>
      <c r="E13" s="147"/>
      <c r="F13" s="2"/>
      <c r="G13" s="144"/>
      <c r="H13" s="140" t="s">
        <v>347</v>
      </c>
      <c r="I13" s="43" t="s">
        <v>348</v>
      </c>
      <c r="J13" s="43">
        <v>1</v>
      </c>
      <c r="K13" s="43" t="s">
        <v>349</v>
      </c>
      <c r="L13" s="43">
        <v>0.2</v>
      </c>
      <c r="M13" s="2"/>
      <c r="N13" s="2"/>
    </row>
    <row r="14" spans="1:14" x14ac:dyDescent="0.25">
      <c r="A14" s="145"/>
      <c r="B14" s="147"/>
      <c r="C14" s="147"/>
      <c r="D14" s="147"/>
      <c r="E14" s="147"/>
      <c r="F14" s="2"/>
      <c r="G14" s="144" t="s">
        <v>350</v>
      </c>
      <c r="H14" s="140" t="s">
        <v>351</v>
      </c>
      <c r="I14" s="43" t="s">
        <v>352</v>
      </c>
      <c r="J14" s="43">
        <v>1.6</v>
      </c>
      <c r="K14" s="43" t="s">
        <v>353</v>
      </c>
      <c r="L14" s="43">
        <v>0.7</v>
      </c>
      <c r="M14" s="2"/>
      <c r="N14" s="2"/>
    </row>
    <row r="15" spans="1:14" x14ac:dyDescent="0.25">
      <c r="A15" s="145"/>
      <c r="B15" s="147"/>
      <c r="C15" s="147"/>
      <c r="D15" s="147"/>
      <c r="E15" s="147"/>
      <c r="F15" s="2"/>
      <c r="G15" s="144"/>
      <c r="H15" s="140" t="s">
        <v>354</v>
      </c>
      <c r="I15" s="43" t="s">
        <v>355</v>
      </c>
      <c r="J15" s="43">
        <v>3.9</v>
      </c>
      <c r="K15" s="43" t="s">
        <v>356</v>
      </c>
      <c r="L15" s="43">
        <v>2.1</v>
      </c>
      <c r="M15" s="2"/>
      <c r="N15" s="2"/>
    </row>
    <row r="16" spans="1:14" x14ac:dyDescent="0.25">
      <c r="A16" s="26"/>
      <c r="B16" s="2"/>
      <c r="C16" s="2"/>
      <c r="D16" s="2"/>
      <c r="E16" s="2"/>
      <c r="F16" s="2"/>
      <c r="G16" s="144" t="s">
        <v>357</v>
      </c>
      <c r="H16" s="140" t="s">
        <v>358</v>
      </c>
      <c r="I16" s="43" t="s">
        <v>359</v>
      </c>
      <c r="J16" s="43">
        <v>3.4</v>
      </c>
      <c r="K16" s="43" t="s">
        <v>360</v>
      </c>
      <c r="L16" s="43">
        <v>0.9</v>
      </c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144"/>
      <c r="H17" s="140" t="s">
        <v>361</v>
      </c>
      <c r="I17" s="43" t="s">
        <v>349</v>
      </c>
      <c r="J17" s="43">
        <v>11</v>
      </c>
      <c r="K17" s="43" t="s">
        <v>0</v>
      </c>
      <c r="L17" s="43">
        <v>0.4</v>
      </c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144" t="s">
        <v>362</v>
      </c>
      <c r="H18" s="140" t="s">
        <v>335</v>
      </c>
      <c r="I18" s="43" t="s">
        <v>363</v>
      </c>
      <c r="J18" s="43">
        <v>6.2</v>
      </c>
      <c r="K18" s="43" t="s">
        <v>364</v>
      </c>
      <c r="L18" s="43">
        <v>6.9</v>
      </c>
      <c r="M18" s="2"/>
      <c r="N18" s="2"/>
    </row>
    <row r="19" spans="1:14" x14ac:dyDescent="0.25">
      <c r="A19" s="2"/>
      <c r="B19" s="2"/>
      <c r="C19" s="2"/>
      <c r="D19" s="76"/>
      <c r="E19" s="2"/>
      <c r="F19" s="2"/>
      <c r="G19" s="144"/>
      <c r="H19" s="140" t="s">
        <v>365</v>
      </c>
      <c r="I19" s="43" t="s">
        <v>366</v>
      </c>
      <c r="J19" s="43">
        <v>7.5</v>
      </c>
      <c r="K19" s="43" t="s">
        <v>0</v>
      </c>
      <c r="L19" s="43" t="s">
        <v>0</v>
      </c>
      <c r="M19" s="2"/>
      <c r="N19" s="2"/>
    </row>
    <row r="20" spans="1:14" x14ac:dyDescent="0.25">
      <c r="D20" s="77"/>
      <c r="G20" s="144"/>
      <c r="H20" s="140" t="s">
        <v>367</v>
      </c>
      <c r="I20" s="43" t="s">
        <v>368</v>
      </c>
      <c r="J20" s="43">
        <v>15</v>
      </c>
      <c r="K20" s="43" t="s">
        <v>369</v>
      </c>
      <c r="L20" s="43">
        <v>3.4</v>
      </c>
    </row>
    <row r="21" spans="1:14" x14ac:dyDescent="0.25">
      <c r="G21" s="75" t="s">
        <v>370</v>
      </c>
      <c r="H21" s="140" t="s">
        <v>371</v>
      </c>
      <c r="I21" s="43" t="s">
        <v>372</v>
      </c>
      <c r="J21" s="43">
        <v>2.2000000000000002</v>
      </c>
      <c r="K21" s="43" t="s">
        <v>373</v>
      </c>
      <c r="L21" s="43">
        <v>4.5</v>
      </c>
    </row>
    <row r="22" spans="1:14" x14ac:dyDescent="0.25">
      <c r="G22" s="144" t="s">
        <v>284</v>
      </c>
      <c r="H22" s="140" t="s">
        <v>285</v>
      </c>
      <c r="I22" s="43" t="s">
        <v>0</v>
      </c>
      <c r="J22" s="43">
        <v>2.6</v>
      </c>
      <c r="K22" s="43" t="s">
        <v>0</v>
      </c>
      <c r="L22" s="43">
        <v>7.4</v>
      </c>
    </row>
    <row r="23" spans="1:14" x14ac:dyDescent="0.25">
      <c r="G23" s="144"/>
      <c r="H23" s="140" t="s">
        <v>286</v>
      </c>
      <c r="I23" s="43" t="s">
        <v>287</v>
      </c>
      <c r="J23" s="43">
        <v>3.8</v>
      </c>
      <c r="K23" s="43" t="s">
        <v>288</v>
      </c>
      <c r="L23" s="43">
        <v>3.6</v>
      </c>
    </row>
    <row r="24" spans="1:14" x14ac:dyDescent="0.25">
      <c r="G24" s="144"/>
      <c r="H24" s="140" t="s">
        <v>289</v>
      </c>
      <c r="I24" s="43" t="s">
        <v>290</v>
      </c>
      <c r="J24" s="43">
        <v>9</v>
      </c>
      <c r="K24" s="43" t="s">
        <v>291</v>
      </c>
      <c r="L24" s="43">
        <v>12</v>
      </c>
    </row>
    <row r="25" spans="1:14" x14ac:dyDescent="0.25">
      <c r="G25" s="144"/>
      <c r="H25" s="140" t="s">
        <v>292</v>
      </c>
      <c r="I25" s="43" t="s">
        <v>0</v>
      </c>
      <c r="J25" s="43">
        <v>9.1999999999999993</v>
      </c>
      <c r="K25" s="43" t="s">
        <v>0</v>
      </c>
      <c r="L25" s="43">
        <v>14</v>
      </c>
    </row>
    <row r="26" spans="1:14" x14ac:dyDescent="0.25">
      <c r="G26" s="144"/>
      <c r="H26" s="140" t="s">
        <v>293</v>
      </c>
      <c r="I26" s="43" t="s">
        <v>294</v>
      </c>
      <c r="J26" s="43">
        <v>6</v>
      </c>
      <c r="K26" s="43" t="s">
        <v>295</v>
      </c>
      <c r="L26" s="43">
        <v>10</v>
      </c>
    </row>
    <row r="27" spans="1:14" x14ac:dyDescent="0.25">
      <c r="G27" s="144"/>
      <c r="H27" s="140" t="s">
        <v>296</v>
      </c>
      <c r="I27" s="43" t="s">
        <v>297</v>
      </c>
      <c r="J27" s="43">
        <v>80</v>
      </c>
      <c r="K27" s="43" t="s">
        <v>298</v>
      </c>
      <c r="L27" s="43">
        <v>27</v>
      </c>
    </row>
    <row r="28" spans="1:14" x14ac:dyDescent="0.25">
      <c r="G28" s="144"/>
      <c r="H28" s="140" t="s">
        <v>300</v>
      </c>
      <c r="I28" s="43" t="s">
        <v>0</v>
      </c>
      <c r="J28" s="43">
        <v>12</v>
      </c>
      <c r="K28" s="43" t="s">
        <v>0</v>
      </c>
      <c r="L28" s="43">
        <v>11</v>
      </c>
    </row>
  </sheetData>
  <sheetProtection password="B056" sheet="1" objects="1" scenarios="1"/>
  <mergeCells count="14">
    <mergeCell ref="A2:E2"/>
    <mergeCell ref="G2:L2"/>
    <mergeCell ref="G3:G4"/>
    <mergeCell ref="H3:H4"/>
    <mergeCell ref="I3:J3"/>
    <mergeCell ref="K3:L3"/>
    <mergeCell ref="G16:G17"/>
    <mergeCell ref="G18:G20"/>
    <mergeCell ref="G22:G28"/>
    <mergeCell ref="A6:A15"/>
    <mergeCell ref="B6:E10"/>
    <mergeCell ref="B11:E15"/>
    <mergeCell ref="G5:G13"/>
    <mergeCell ref="G14:G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selection activeCell="F22" sqref="F22"/>
    </sheetView>
  </sheetViews>
  <sheetFormatPr defaultRowHeight="15" x14ac:dyDescent="0.25"/>
  <cols>
    <col min="1" max="4" width="13.42578125" customWidth="1"/>
    <col min="6" max="6" width="10.5703125" customWidth="1"/>
    <col min="7" max="7" width="14" customWidth="1"/>
    <col min="8" max="8" width="21" customWidth="1"/>
    <col min="9" max="9" width="19.140625" customWidth="1"/>
    <col min="10" max="10" width="12.85546875" customWidth="1"/>
    <col min="11" max="11" width="13.42578125" customWidth="1"/>
  </cols>
  <sheetData>
    <row r="1" spans="1:11" x14ac:dyDescent="0.25">
      <c r="A1" s="26" t="s">
        <v>192</v>
      </c>
      <c r="B1" s="26"/>
      <c r="C1" s="26"/>
      <c r="D1" s="26"/>
    </row>
    <row r="2" spans="1:11" ht="26.25" customHeight="1" x14ac:dyDescent="0.25">
      <c r="A2" s="154" t="s">
        <v>194</v>
      </c>
      <c r="B2" s="154"/>
      <c r="C2" s="154"/>
      <c r="D2" s="154"/>
      <c r="G2" s="153" t="s">
        <v>193</v>
      </c>
      <c r="H2" s="153"/>
      <c r="I2" s="153"/>
      <c r="J2" s="153"/>
      <c r="K2" s="153"/>
    </row>
    <row r="3" spans="1:11" ht="22.5" x14ac:dyDescent="0.25">
      <c r="A3" s="152" t="s">
        <v>200</v>
      </c>
      <c r="B3" s="152"/>
      <c r="C3" s="152"/>
      <c r="D3" s="152"/>
      <c r="G3" s="27" t="s">
        <v>195</v>
      </c>
      <c r="H3" s="42" t="s">
        <v>196</v>
      </c>
      <c r="I3" s="42" t="s">
        <v>197</v>
      </c>
      <c r="J3" s="27" t="s">
        <v>198</v>
      </c>
      <c r="K3" s="27" t="s">
        <v>199</v>
      </c>
    </row>
    <row r="4" spans="1:11" x14ac:dyDescent="0.25">
      <c r="A4" s="155" t="s">
        <v>202</v>
      </c>
      <c r="B4" s="155" t="s">
        <v>203</v>
      </c>
      <c r="C4" s="155"/>
      <c r="D4" s="155"/>
      <c r="G4" s="43" t="s">
        <v>201</v>
      </c>
      <c r="H4" s="43">
        <v>0</v>
      </c>
      <c r="I4" s="43">
        <v>0</v>
      </c>
      <c r="J4" s="43">
        <v>31</v>
      </c>
      <c r="K4" s="44">
        <f>(J4-I4)/J4</f>
        <v>1</v>
      </c>
    </row>
    <row r="5" spans="1:11" x14ac:dyDescent="0.25">
      <c r="A5" s="155"/>
      <c r="B5" s="45" t="s">
        <v>205</v>
      </c>
      <c r="C5" s="45" t="s">
        <v>206</v>
      </c>
      <c r="D5" s="45" t="s">
        <v>207</v>
      </c>
      <c r="G5" s="43" t="s">
        <v>204</v>
      </c>
      <c r="H5" s="43">
        <v>52</v>
      </c>
      <c r="I5" s="43">
        <v>7</v>
      </c>
      <c r="J5" s="43">
        <v>28</v>
      </c>
      <c r="K5" s="44">
        <f t="shared" ref="K5:K15" si="0">(J5-I5)/J5</f>
        <v>0.75</v>
      </c>
    </row>
    <row r="6" spans="1:11" x14ac:dyDescent="0.25">
      <c r="A6" s="46" t="s">
        <v>209</v>
      </c>
      <c r="B6" s="46">
        <v>0.15</v>
      </c>
      <c r="C6" s="46">
        <v>1.5</v>
      </c>
      <c r="D6" s="46">
        <v>4.9000000000000004</v>
      </c>
      <c r="G6" s="43" t="s">
        <v>208</v>
      </c>
      <c r="H6" s="43">
        <v>69</v>
      </c>
      <c r="I6" s="43">
        <v>7</v>
      </c>
      <c r="J6" s="43">
        <v>31</v>
      </c>
      <c r="K6" s="44">
        <f t="shared" si="0"/>
        <v>0.77419354838709675</v>
      </c>
    </row>
    <row r="7" spans="1:11" x14ac:dyDescent="0.25">
      <c r="A7" s="46" t="s">
        <v>211</v>
      </c>
      <c r="B7" s="46">
        <v>0.9</v>
      </c>
      <c r="C7" s="46">
        <v>0.9</v>
      </c>
      <c r="D7" s="46">
        <v>0.7</v>
      </c>
      <c r="G7" s="43" t="s">
        <v>210</v>
      </c>
      <c r="H7" s="43">
        <v>44</v>
      </c>
      <c r="I7" s="43">
        <v>8</v>
      </c>
      <c r="J7" s="43">
        <v>30</v>
      </c>
      <c r="K7" s="44">
        <f t="shared" si="0"/>
        <v>0.73333333333333328</v>
      </c>
    </row>
    <row r="8" spans="1:11" x14ac:dyDescent="0.25">
      <c r="A8" s="46" t="s">
        <v>213</v>
      </c>
      <c r="B8" s="46">
        <v>0.45</v>
      </c>
      <c r="C8" s="46">
        <v>0.45</v>
      </c>
      <c r="D8" s="46">
        <v>0.45</v>
      </c>
      <c r="G8" s="43" t="s">
        <v>212</v>
      </c>
      <c r="H8" s="43">
        <v>185.8</v>
      </c>
      <c r="I8" s="43">
        <v>16</v>
      </c>
      <c r="J8" s="43">
        <v>31</v>
      </c>
      <c r="K8" s="44">
        <f t="shared" si="0"/>
        <v>0.4838709677419355</v>
      </c>
    </row>
    <row r="9" spans="1:11" x14ac:dyDescent="0.25">
      <c r="A9" s="46" t="s">
        <v>215</v>
      </c>
      <c r="B9" s="47">
        <v>281.89999999999998</v>
      </c>
      <c r="C9" s="46" t="s">
        <v>216</v>
      </c>
      <c r="D9" s="46"/>
      <c r="G9" s="43" t="s">
        <v>214</v>
      </c>
      <c r="H9" s="43">
        <v>119.2</v>
      </c>
      <c r="I9" s="43">
        <v>9</v>
      </c>
      <c r="J9" s="43">
        <v>30</v>
      </c>
      <c r="K9" s="44">
        <f t="shared" si="0"/>
        <v>0.7</v>
      </c>
    </row>
    <row r="10" spans="1:11" x14ac:dyDescent="0.25">
      <c r="A10" s="155" t="s">
        <v>218</v>
      </c>
      <c r="B10" s="155"/>
      <c r="C10" s="155"/>
      <c r="D10" s="155"/>
      <c r="G10" s="43" t="s">
        <v>217</v>
      </c>
      <c r="H10" s="43">
        <v>17.8</v>
      </c>
      <c r="I10" s="43">
        <v>6</v>
      </c>
      <c r="J10" s="43">
        <v>31</v>
      </c>
      <c r="K10" s="44">
        <f t="shared" si="0"/>
        <v>0.80645161290322576</v>
      </c>
    </row>
    <row r="11" spans="1:11" x14ac:dyDescent="0.25">
      <c r="A11" s="155"/>
      <c r="B11" s="155"/>
      <c r="C11" s="155"/>
      <c r="D11" s="155"/>
      <c r="G11" s="43" t="s">
        <v>219</v>
      </c>
      <c r="H11" s="43">
        <v>70.2</v>
      </c>
      <c r="I11" s="43">
        <v>11</v>
      </c>
      <c r="J11" s="43">
        <v>31</v>
      </c>
      <c r="K11" s="44">
        <f t="shared" si="0"/>
        <v>0.64516129032258063</v>
      </c>
    </row>
    <row r="12" spans="1:11" ht="15" customHeight="1" x14ac:dyDescent="0.25">
      <c r="A12" s="155"/>
      <c r="B12" s="156" t="s">
        <v>221</v>
      </c>
      <c r="C12" s="156"/>
      <c r="D12" s="156"/>
      <c r="G12" s="43" t="s">
        <v>220</v>
      </c>
      <c r="H12" s="43">
        <v>25.2</v>
      </c>
      <c r="I12" s="43">
        <v>7</v>
      </c>
      <c r="J12" s="43">
        <v>30</v>
      </c>
      <c r="K12" s="44">
        <f t="shared" si="0"/>
        <v>0.76666666666666672</v>
      </c>
    </row>
    <row r="13" spans="1:11" x14ac:dyDescent="0.25">
      <c r="A13" s="155"/>
      <c r="B13" s="156"/>
      <c r="C13" s="156"/>
      <c r="D13" s="156"/>
      <c r="G13" s="43" t="s">
        <v>222</v>
      </c>
      <c r="H13" s="43">
        <v>54.4</v>
      </c>
      <c r="I13" s="43">
        <v>6</v>
      </c>
      <c r="J13" s="43">
        <v>31</v>
      </c>
      <c r="K13" s="44">
        <f t="shared" si="0"/>
        <v>0.80645161290322576</v>
      </c>
    </row>
    <row r="14" spans="1:11" x14ac:dyDescent="0.25">
      <c r="A14" s="155"/>
      <c r="B14" s="156"/>
      <c r="C14" s="156"/>
      <c r="D14" s="156"/>
      <c r="G14" s="43" t="s">
        <v>223</v>
      </c>
      <c r="H14" s="48">
        <v>48.6</v>
      </c>
      <c r="I14" s="43">
        <v>9</v>
      </c>
      <c r="J14" s="43">
        <v>30</v>
      </c>
      <c r="K14" s="44">
        <f t="shared" si="0"/>
        <v>0.7</v>
      </c>
    </row>
    <row r="15" spans="1:11" x14ac:dyDescent="0.25">
      <c r="A15" s="155"/>
      <c r="B15" s="156"/>
      <c r="C15" s="156"/>
      <c r="D15" s="156"/>
      <c r="G15" s="43" t="s">
        <v>224</v>
      </c>
      <c r="H15" s="43">
        <v>91.4</v>
      </c>
      <c r="I15" s="43">
        <v>6</v>
      </c>
      <c r="J15" s="43">
        <v>31</v>
      </c>
      <c r="K15" s="44">
        <f t="shared" si="0"/>
        <v>0.80645161290322576</v>
      </c>
    </row>
    <row r="16" spans="1:11" x14ac:dyDescent="0.25">
      <c r="A16" s="155"/>
      <c r="B16" s="156"/>
      <c r="C16" s="156"/>
      <c r="D16" s="156"/>
      <c r="G16" s="49" t="s">
        <v>225</v>
      </c>
      <c r="H16" s="50">
        <f>(365-SUM(I4:I15))/365</f>
        <v>0.74794520547945209</v>
      </c>
    </row>
    <row r="17" spans="1:8" x14ac:dyDescent="0.25">
      <c r="A17" s="155"/>
      <c r="B17" s="156"/>
      <c r="C17" s="156"/>
      <c r="D17" s="156"/>
    </row>
    <row r="19" spans="1:8" x14ac:dyDescent="0.25">
      <c r="A19" s="153" t="s">
        <v>226</v>
      </c>
      <c r="B19" s="153" t="s">
        <v>227</v>
      </c>
      <c r="C19" s="153"/>
      <c r="D19" s="153"/>
      <c r="E19" s="153"/>
      <c r="F19" s="153"/>
      <c r="G19" s="153"/>
      <c r="H19" s="153"/>
    </row>
    <row r="20" spans="1:8" x14ac:dyDescent="0.25">
      <c r="A20" s="153"/>
      <c r="B20" s="153" t="s">
        <v>228</v>
      </c>
      <c r="C20" s="153"/>
      <c r="D20" s="153"/>
      <c r="E20" s="153"/>
      <c r="F20" s="153"/>
      <c r="G20" s="153"/>
      <c r="H20" s="153"/>
    </row>
    <row r="21" spans="1:8" x14ac:dyDescent="0.25">
      <c r="A21" s="153"/>
      <c r="B21" s="135" t="s">
        <v>185</v>
      </c>
      <c r="C21" s="135" t="s">
        <v>229</v>
      </c>
      <c r="D21" s="135" t="s">
        <v>230</v>
      </c>
      <c r="E21" s="135" t="s">
        <v>231</v>
      </c>
      <c r="F21" s="135" t="s">
        <v>232</v>
      </c>
      <c r="G21" s="135" t="s">
        <v>188</v>
      </c>
      <c r="H21" s="135" t="s">
        <v>233</v>
      </c>
    </row>
    <row r="22" spans="1:8" x14ac:dyDescent="0.25">
      <c r="A22" s="51" t="s">
        <v>234</v>
      </c>
      <c r="B22" s="138">
        <v>0.17489827604766656</v>
      </c>
      <c r="C22" s="138">
        <v>0.17489827604766656</v>
      </c>
      <c r="D22" s="138">
        <v>0.17489827604766656</v>
      </c>
      <c r="E22" s="138">
        <v>5.4345140567386743</v>
      </c>
      <c r="F22" s="138">
        <v>0.21032135261668511</v>
      </c>
      <c r="G22" s="138">
        <v>1.0383730075038093</v>
      </c>
      <c r="H22" s="138">
        <v>0.24766340643796464</v>
      </c>
    </row>
  </sheetData>
  <sheetProtection password="B056" sheet="1" objects="1" scenarios="1"/>
  <mergeCells count="11">
    <mergeCell ref="A19:A21"/>
    <mergeCell ref="B19:H19"/>
    <mergeCell ref="B20:H20"/>
    <mergeCell ref="G2:K2"/>
    <mergeCell ref="A2:D2"/>
    <mergeCell ref="A3:D3"/>
    <mergeCell ref="A4:A5"/>
    <mergeCell ref="B4:D4"/>
    <mergeCell ref="A10:A17"/>
    <mergeCell ref="B10:D11"/>
    <mergeCell ref="B12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B2" sqref="B2"/>
    </sheetView>
  </sheetViews>
  <sheetFormatPr defaultRowHeight="15" x14ac:dyDescent="0.25"/>
  <cols>
    <col min="1" max="1" width="31.42578125" customWidth="1"/>
    <col min="2" max="2" width="24.7109375" bestFit="1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6" t="s">
        <v>140</v>
      </c>
    </row>
    <row r="2" spans="1:19" x14ac:dyDescent="0.25">
      <c r="A2" s="27" t="s">
        <v>141</v>
      </c>
      <c r="B2" s="27" t="s">
        <v>142</v>
      </c>
      <c r="C2" s="27" t="s">
        <v>143</v>
      </c>
      <c r="D2" s="27" t="s">
        <v>144</v>
      </c>
      <c r="E2" s="27" t="s">
        <v>145</v>
      </c>
      <c r="F2" s="27" t="s">
        <v>146</v>
      </c>
      <c r="G2" s="27" t="s">
        <v>147</v>
      </c>
      <c r="H2" s="27" t="s">
        <v>148</v>
      </c>
      <c r="I2" s="27" t="s">
        <v>149</v>
      </c>
    </row>
    <row r="3" spans="1:19" x14ac:dyDescent="0.25">
      <c r="A3" s="157" t="s">
        <v>150</v>
      </c>
      <c r="B3" s="32" t="s">
        <v>151</v>
      </c>
      <c r="C3" s="28">
        <v>4.1647481574952775E-3</v>
      </c>
      <c r="D3" s="28">
        <v>6.5318933034944765E-2</v>
      </c>
      <c r="E3" s="28">
        <v>9.7431139391112798E-5</v>
      </c>
      <c r="F3" s="28">
        <v>3.2117661168667613E-2</v>
      </c>
      <c r="G3" s="28">
        <v>1.0013560541894806E-2</v>
      </c>
      <c r="H3" s="28">
        <v>7.6789363702976381</v>
      </c>
      <c r="I3" s="28">
        <v>9.0350737078986789E-4</v>
      </c>
      <c r="J3" s="29"/>
      <c r="K3" s="29"/>
      <c r="L3" s="33"/>
      <c r="M3" s="30"/>
      <c r="N3" s="30"/>
      <c r="Q3" s="30"/>
      <c r="R3" s="30"/>
      <c r="S3" s="30"/>
    </row>
    <row r="4" spans="1:19" x14ac:dyDescent="0.25">
      <c r="A4" s="158"/>
      <c r="B4" s="32" t="s">
        <v>152</v>
      </c>
      <c r="C4" s="28">
        <v>1.9389461005136124E-2</v>
      </c>
      <c r="D4" s="28">
        <v>0.15850781980120351</v>
      </c>
      <c r="E4" s="28">
        <v>1.8265581631205882E-4</v>
      </c>
      <c r="F4" s="28">
        <v>0.19953638186759515</v>
      </c>
      <c r="G4" s="28">
        <v>8.7889870552575564E-2</v>
      </c>
      <c r="H4" s="28">
        <v>14.129238189499569</v>
      </c>
      <c r="I4" s="28">
        <v>7.9301638618412291E-3</v>
      </c>
      <c r="L4" s="30"/>
      <c r="M4" s="30"/>
      <c r="N4" s="30"/>
      <c r="Q4" s="30"/>
      <c r="R4" s="30"/>
      <c r="S4" s="30"/>
    </row>
    <row r="5" spans="1:19" x14ac:dyDescent="0.25">
      <c r="A5" s="158"/>
      <c r="B5" s="32" t="s">
        <v>153</v>
      </c>
      <c r="C5" s="28">
        <v>3.5159649405128737E-2</v>
      </c>
      <c r="D5" s="28">
        <v>0.39013010201093185</v>
      </c>
      <c r="E5" s="28">
        <v>3.1347091665644508E-4</v>
      </c>
      <c r="F5" s="28">
        <v>0.2004419223709539</v>
      </c>
      <c r="G5" s="28">
        <v>6.7138814469940591E-2</v>
      </c>
      <c r="H5" s="28">
        <v>26.722695910514073</v>
      </c>
      <c r="I5" s="28">
        <v>6.0578280967871325E-3</v>
      </c>
      <c r="L5" s="30"/>
      <c r="M5" s="30"/>
      <c r="N5" s="30"/>
      <c r="Q5" s="30"/>
      <c r="R5" s="30"/>
      <c r="S5" s="30"/>
    </row>
    <row r="6" spans="1:19" x14ac:dyDescent="0.25">
      <c r="A6" s="158"/>
      <c r="B6" s="32" t="s">
        <v>154</v>
      </c>
      <c r="C6" s="28">
        <v>3.4873730864910753E-2</v>
      </c>
      <c r="D6" s="28">
        <v>0.62819014565488085</v>
      </c>
      <c r="E6" s="28">
        <v>5.4259968788077681E-4</v>
      </c>
      <c r="F6" s="28">
        <v>0.29143683660988179</v>
      </c>
      <c r="G6" s="28">
        <v>7.9806989940830519E-2</v>
      </c>
      <c r="H6" s="28">
        <v>48.223729179933819</v>
      </c>
      <c r="I6" s="28">
        <v>7.2008552575325378E-3</v>
      </c>
      <c r="L6" s="30"/>
      <c r="M6" s="30"/>
      <c r="N6" s="30"/>
      <c r="Q6" s="30"/>
      <c r="R6" s="30"/>
      <c r="S6" s="30"/>
    </row>
    <row r="7" spans="1:19" x14ac:dyDescent="0.25">
      <c r="A7" s="158"/>
      <c r="B7" s="32" t="s">
        <v>155</v>
      </c>
      <c r="C7" s="31">
        <v>3.101083119228833E-2</v>
      </c>
      <c r="D7" s="31">
        <v>0.83698143551687265</v>
      </c>
      <c r="E7" s="31">
        <v>7.6033040375300068E-4</v>
      </c>
      <c r="F7" s="31">
        <v>0.22495851814724077</v>
      </c>
      <c r="G7" s="31">
        <v>8.0781384871570633E-2</v>
      </c>
      <c r="H7" s="31">
        <v>67.57462749683539</v>
      </c>
      <c r="I7" s="31">
        <v>7.2887737155482657E-3</v>
      </c>
      <c r="L7" s="30"/>
      <c r="M7" s="30"/>
      <c r="N7" s="30"/>
      <c r="Q7" s="30"/>
      <c r="R7" s="30"/>
      <c r="S7" s="30"/>
    </row>
    <row r="8" spans="1:19" x14ac:dyDescent="0.25">
      <c r="A8" s="158"/>
      <c r="B8" s="32" t="s">
        <v>156</v>
      </c>
      <c r="C8" s="31">
        <v>4.4312637095619792E-2</v>
      </c>
      <c r="D8" s="31">
        <v>1.1811178567160983</v>
      </c>
      <c r="E8" s="31">
        <v>1.0551972934755545E-3</v>
      </c>
      <c r="F8" s="31">
        <v>0.44023160723795168</v>
      </c>
      <c r="G8" s="31">
        <v>0.11468313954524458</v>
      </c>
      <c r="H8" s="31">
        <v>107.50511325477065</v>
      </c>
      <c r="I8" s="31">
        <v>1.0347677695252593E-2</v>
      </c>
    </row>
    <row r="9" spans="1:19" x14ac:dyDescent="0.25">
      <c r="A9" s="158"/>
      <c r="B9" s="32" t="s">
        <v>157</v>
      </c>
      <c r="C9" s="31">
        <v>9.1699292295937748E-2</v>
      </c>
      <c r="D9" s="31">
        <v>2.4816495823931239</v>
      </c>
      <c r="E9" s="31">
        <v>2.2143711863278365E-3</v>
      </c>
      <c r="F9" s="31">
        <v>0.8977989810489746</v>
      </c>
      <c r="G9" s="31">
        <v>0.2376690359121682</v>
      </c>
      <c r="H9" s="31">
        <v>220.23193257962103</v>
      </c>
      <c r="I9" s="31">
        <v>2.1444490325478866E-2</v>
      </c>
    </row>
    <row r="10" spans="1:19" x14ac:dyDescent="0.25">
      <c r="A10" s="158"/>
      <c r="B10" s="32" t="s">
        <v>158</v>
      </c>
      <c r="C10" s="31">
        <v>0.11281698418835924</v>
      </c>
      <c r="D10" s="31">
        <v>3.6320533542247149</v>
      </c>
      <c r="E10" s="31">
        <v>2.708513011176045E-3</v>
      </c>
      <c r="F10" s="31">
        <v>1.2834306373108464</v>
      </c>
      <c r="G10" s="31">
        <v>0.33188731556128104</v>
      </c>
      <c r="H10" s="31">
        <v>269.37717766866973</v>
      </c>
      <c r="I10" s="31">
        <v>2.9945664738985911E-2</v>
      </c>
    </row>
    <row r="11" spans="1:19" x14ac:dyDescent="0.25">
      <c r="A11" s="158" t="s">
        <v>159</v>
      </c>
      <c r="B11" s="34" t="s">
        <v>160</v>
      </c>
      <c r="C11" s="31">
        <v>4.2993799041926711E-3</v>
      </c>
      <c r="D11" s="31">
        <v>6.5440289132956825E-2</v>
      </c>
      <c r="E11" s="31">
        <v>9.1296592193091332E-5</v>
      </c>
      <c r="F11" s="31">
        <v>3.3633509942077471E-2</v>
      </c>
      <c r="G11" s="31">
        <v>1.1508485911818236E-2</v>
      </c>
      <c r="H11" s="31">
        <v>7.1954483850413915</v>
      </c>
      <c r="I11" s="31">
        <v>1.0383921111938525E-3</v>
      </c>
      <c r="K11" s="35"/>
    </row>
    <row r="12" spans="1:19" x14ac:dyDescent="0.25">
      <c r="A12" s="158"/>
      <c r="B12" s="34" t="s">
        <v>161</v>
      </c>
      <c r="C12" s="31">
        <v>1.7631358511479581E-2</v>
      </c>
      <c r="D12" s="31">
        <v>0.14903238250667758</v>
      </c>
      <c r="E12" s="31">
        <v>1.7794975038828265E-4</v>
      </c>
      <c r="F12" s="31">
        <v>0.18074283872717251</v>
      </c>
      <c r="G12" s="31">
        <v>7.6387016452257483E-2</v>
      </c>
      <c r="H12" s="31">
        <v>13.76520334369236</v>
      </c>
      <c r="I12" s="31">
        <v>6.8922783063073137E-3</v>
      </c>
    </row>
    <row r="13" spans="1:19" x14ac:dyDescent="0.25">
      <c r="A13" s="158"/>
      <c r="B13" s="34" t="s">
        <v>162</v>
      </c>
      <c r="C13" s="31">
        <v>2.8793655488323529E-2</v>
      </c>
      <c r="D13" s="31">
        <v>0.31658028839538099</v>
      </c>
      <c r="E13" s="31">
        <v>2.7523798360286437E-4</v>
      </c>
      <c r="F13" s="31">
        <v>0.1700059255667182</v>
      </c>
      <c r="G13" s="31">
        <v>5.3477532985904644E-2</v>
      </c>
      <c r="H13" s="31">
        <v>23.463418200709462</v>
      </c>
      <c r="I13" s="31">
        <v>4.8251907166579257E-3</v>
      </c>
    </row>
    <row r="14" spans="1:19" x14ac:dyDescent="0.25">
      <c r="A14" s="158"/>
      <c r="B14" s="34" t="s">
        <v>163</v>
      </c>
      <c r="C14" s="31">
        <v>3.0494186982476291E-2</v>
      </c>
      <c r="D14" s="31">
        <v>0.54817627070056141</v>
      </c>
      <c r="E14" s="31">
        <v>5.1744728478251136E-4</v>
      </c>
      <c r="F14" s="31">
        <v>0.26843458796213893</v>
      </c>
      <c r="G14" s="31">
        <v>6.8627539491954881E-2</v>
      </c>
      <c r="H14" s="31">
        <v>45.988295551139728</v>
      </c>
      <c r="I14" s="31">
        <v>6.1921516315141352E-3</v>
      </c>
    </row>
    <row r="15" spans="1:19" x14ac:dyDescent="0.25">
      <c r="A15" s="158"/>
      <c r="B15" s="34" t="s">
        <v>164</v>
      </c>
      <c r="C15" s="31">
        <v>2.9155253425145213E-2</v>
      </c>
      <c r="D15" s="31">
        <v>0.87589188757724734</v>
      </c>
      <c r="E15" s="31">
        <v>8.7649223561064675E-4</v>
      </c>
      <c r="F15" s="31">
        <v>0.21389105427558991</v>
      </c>
      <c r="G15" s="31">
        <v>7.7732208449766999E-2</v>
      </c>
      <c r="H15" s="31">
        <v>77.8985510740942</v>
      </c>
      <c r="I15" s="31">
        <v>7.0136532927874019E-3</v>
      </c>
    </row>
    <row r="16" spans="1:19" x14ac:dyDescent="0.25">
      <c r="A16" s="158"/>
      <c r="B16" s="34" t="s">
        <v>165</v>
      </c>
      <c r="C16" s="31">
        <v>5.3371339046329104E-2</v>
      </c>
      <c r="D16" s="31">
        <v>1.5318509433408045</v>
      </c>
      <c r="E16" s="31">
        <v>1.7600242801699612E-3</v>
      </c>
      <c r="F16" s="31">
        <v>0.4661958986283859</v>
      </c>
      <c r="G16" s="31">
        <v>0.13941748462093068</v>
      </c>
      <c r="H16" s="31">
        <v>156.42277258813226</v>
      </c>
      <c r="I16" s="31">
        <v>1.2579415973929685E-2</v>
      </c>
    </row>
    <row r="17" spans="1:9" x14ac:dyDescent="0.25">
      <c r="A17" s="158"/>
      <c r="B17" s="34" t="s">
        <v>166</v>
      </c>
      <c r="C17" s="31">
        <v>8.1348675299048601E-2</v>
      </c>
      <c r="D17" s="31">
        <v>2.3755791915327618</v>
      </c>
      <c r="E17" s="31">
        <v>2.6400371913497286E-3</v>
      </c>
      <c r="F17" s="31">
        <v>0.69718176828863765</v>
      </c>
      <c r="G17" s="31">
        <v>0.21267820994758979</v>
      </c>
      <c r="H17" s="31">
        <v>234.6341911864601</v>
      </c>
      <c r="I17" s="31">
        <v>1.91896162755213E-2</v>
      </c>
    </row>
    <row r="18" spans="1:9" x14ac:dyDescent="0.25">
      <c r="A18" s="158" t="s">
        <v>169</v>
      </c>
      <c r="B18" s="34" t="s">
        <v>170</v>
      </c>
      <c r="C18" s="31">
        <v>9.3630013476799761E-3</v>
      </c>
      <c r="D18" s="31">
        <v>7.4519991808693467E-2</v>
      </c>
      <c r="E18" s="31">
        <v>8.6033551570891521E-5</v>
      </c>
      <c r="F18" s="31">
        <v>9.6138212535283471E-2</v>
      </c>
      <c r="G18" s="31">
        <v>4.226926262316423E-2</v>
      </c>
      <c r="H18" s="31">
        <v>6.6550780871892741</v>
      </c>
      <c r="I18" s="31">
        <v>3.8138874603585002E-3</v>
      </c>
    </row>
    <row r="19" spans="1:9" x14ac:dyDescent="0.25">
      <c r="A19" s="158"/>
      <c r="B19" s="34" t="s">
        <v>171</v>
      </c>
      <c r="C19" s="31">
        <v>1.9432717920016346E-2</v>
      </c>
      <c r="D19" s="31">
        <v>0.19770476916405869</v>
      </c>
      <c r="E19" s="31">
        <v>1.6614354833010314E-4</v>
      </c>
      <c r="F19" s="31">
        <v>0.10602299202233414</v>
      </c>
      <c r="G19" s="31">
        <v>3.5663485612068627E-2</v>
      </c>
      <c r="H19" s="31">
        <v>14.163368243694034</v>
      </c>
      <c r="I19" s="31">
        <v>3.217858921102401E-3</v>
      </c>
    </row>
    <row r="20" spans="1:9" x14ac:dyDescent="0.25">
      <c r="A20" s="158"/>
      <c r="B20" s="34" t="s">
        <v>172</v>
      </c>
      <c r="C20" s="31">
        <v>1.8879850739384012E-2</v>
      </c>
      <c r="D20" s="31">
        <v>0.31861247152656436</v>
      </c>
      <c r="E20" s="31">
        <v>2.8608393717488665E-4</v>
      </c>
      <c r="F20" s="31">
        <v>0.15162091846570119</v>
      </c>
      <c r="G20" s="31">
        <v>4.2373566784726938E-2</v>
      </c>
      <c r="H20" s="31">
        <v>25.425804730599385</v>
      </c>
      <c r="I20" s="31">
        <v>3.8232977904108984E-3</v>
      </c>
    </row>
    <row r="21" spans="1:9" x14ac:dyDescent="0.25">
      <c r="A21" s="158"/>
      <c r="B21" s="34" t="s">
        <v>173</v>
      </c>
      <c r="C21" s="31">
        <v>1.2379282144095784E-2</v>
      </c>
      <c r="D21" s="31">
        <v>0.40506800826818495</v>
      </c>
      <c r="E21" s="31">
        <v>3.9360565132436678E-4</v>
      </c>
      <c r="F21" s="31">
        <v>8.7074543299048776E-2</v>
      </c>
      <c r="G21" s="31">
        <v>3.457791520160676E-2</v>
      </c>
      <c r="H21" s="31">
        <v>34.981822100661624</v>
      </c>
      <c r="I21" s="31">
        <v>3.1199098492446938E-3</v>
      </c>
    </row>
    <row r="22" spans="1:9" x14ac:dyDescent="0.25">
      <c r="A22" s="158"/>
      <c r="B22" s="34" t="s">
        <v>174</v>
      </c>
      <c r="C22" s="31">
        <v>1.6493488182013304E-2</v>
      </c>
      <c r="D22" s="31">
        <v>0.50757511605008721</v>
      </c>
      <c r="E22" s="31">
        <v>4.9410057705164077E-4</v>
      </c>
      <c r="F22" s="31">
        <v>0.12597072839531243</v>
      </c>
      <c r="G22" s="31">
        <v>4.4813003055424828E-2</v>
      </c>
      <c r="H22" s="31">
        <v>50.339707371204433</v>
      </c>
      <c r="I22" s="31">
        <v>4.0434057363924357E-3</v>
      </c>
    </row>
    <row r="23" spans="1:9" ht="15" customHeight="1" x14ac:dyDescent="0.25">
      <c r="A23" s="158" t="s">
        <v>178</v>
      </c>
      <c r="B23" s="34" t="s">
        <v>175</v>
      </c>
      <c r="C23" s="31">
        <v>4.5484239331481597E-3</v>
      </c>
      <c r="D23" s="31">
        <v>6.158651678360947E-2</v>
      </c>
      <c r="E23" s="31">
        <v>7.9388321007654085E-5</v>
      </c>
      <c r="F23" s="31">
        <v>3.6915482486912059E-2</v>
      </c>
      <c r="G23" s="31">
        <v>1.4294562030659092E-2</v>
      </c>
      <c r="H23" s="31">
        <v>6.2569101605209143</v>
      </c>
      <c r="I23" s="31">
        <v>1.2897755011706904E-3</v>
      </c>
    </row>
    <row r="24" spans="1:9" x14ac:dyDescent="0.25">
      <c r="A24" s="158"/>
      <c r="B24" s="34" t="s">
        <v>176</v>
      </c>
      <c r="C24" s="31">
        <v>1.2791081452054685E-2</v>
      </c>
      <c r="D24" s="31">
        <v>0.11818952874518747</v>
      </c>
      <c r="E24" s="31">
        <v>1.4963954907119923E-4</v>
      </c>
      <c r="F24" s="31">
        <v>0.12890574558924384</v>
      </c>
      <c r="G24" s="31">
        <v>5.109296926564854E-2</v>
      </c>
      <c r="H24" s="31">
        <v>11.575289746053222</v>
      </c>
      <c r="I24" s="31">
        <v>4.6100359241179325E-3</v>
      </c>
    </row>
    <row r="25" spans="1:9" x14ac:dyDescent="0.25">
      <c r="A25" s="158"/>
      <c r="B25" s="34" t="s">
        <v>177</v>
      </c>
      <c r="C25" s="31">
        <v>2.0641434815897017E-2</v>
      </c>
      <c r="D25" s="31">
        <v>0.23839718560019418</v>
      </c>
      <c r="E25" s="31">
        <v>2.2753002280805838E-4</v>
      </c>
      <c r="F25" s="31">
        <v>0.13258663706736068</v>
      </c>
      <c r="G25" s="31">
        <v>3.8096185371746936E-2</v>
      </c>
      <c r="H25" s="31">
        <v>19.396426765885643</v>
      </c>
      <c r="I25" s="31">
        <v>3.4373581790876936E-3</v>
      </c>
    </row>
    <row r="27" spans="1:9" x14ac:dyDescent="0.25">
      <c r="A27" s="159" t="s">
        <v>167</v>
      </c>
      <c r="B27" s="162"/>
      <c r="C27" s="163"/>
      <c r="D27" s="163"/>
      <c r="E27" s="164"/>
    </row>
    <row r="28" spans="1:9" x14ac:dyDescent="0.25">
      <c r="A28" s="160"/>
      <c r="B28" s="165"/>
      <c r="C28" s="166"/>
      <c r="D28" s="166"/>
      <c r="E28" s="167"/>
    </row>
    <row r="29" spans="1:9" x14ac:dyDescent="0.25">
      <c r="A29" s="160"/>
      <c r="B29" s="168"/>
      <c r="C29" s="169"/>
      <c r="D29" s="169"/>
      <c r="E29" s="170"/>
    </row>
    <row r="30" spans="1:9" x14ac:dyDescent="0.25">
      <c r="A30" s="160"/>
      <c r="B30" s="171" t="s">
        <v>168</v>
      </c>
      <c r="C30" s="172"/>
      <c r="D30" s="172"/>
      <c r="E30" s="173"/>
    </row>
    <row r="31" spans="1:9" x14ac:dyDescent="0.25">
      <c r="A31" s="160"/>
      <c r="B31" s="174"/>
      <c r="C31" s="175"/>
      <c r="D31" s="175"/>
      <c r="E31" s="176"/>
    </row>
    <row r="32" spans="1:9" x14ac:dyDescent="0.25">
      <c r="A32" s="160"/>
      <c r="B32" s="174"/>
      <c r="C32" s="175"/>
      <c r="D32" s="175"/>
      <c r="E32" s="176"/>
    </row>
    <row r="33" spans="1:5" x14ac:dyDescent="0.25">
      <c r="A33" s="161"/>
      <c r="B33" s="177"/>
      <c r="C33" s="178"/>
      <c r="D33" s="178"/>
      <c r="E33" s="179"/>
    </row>
    <row r="35" spans="1:5" x14ac:dyDescent="0.25">
      <c r="A35" s="26" t="s">
        <v>440</v>
      </c>
    </row>
    <row r="36" spans="1:5" x14ac:dyDescent="0.25">
      <c r="A36" s="26"/>
    </row>
  </sheetData>
  <sheetProtection password="B056" sheet="1" objects="1" scenarios="1"/>
  <mergeCells count="7">
    <mergeCell ref="A3:A10"/>
    <mergeCell ref="A11:A17"/>
    <mergeCell ref="A27:A33"/>
    <mergeCell ref="B27:E29"/>
    <mergeCell ref="B30:E33"/>
    <mergeCell ref="A18:A22"/>
    <mergeCell ref="A23:A2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7:BM125"/>
  <sheetViews>
    <sheetView zoomScale="80" zoomScaleNormal="80" workbookViewId="0">
      <selection activeCell="Q127" sqref="Q126:Q127"/>
    </sheetView>
  </sheetViews>
  <sheetFormatPr defaultRowHeight="15" x14ac:dyDescent="0.25"/>
  <sheetData>
    <row r="17" spans="1:48" x14ac:dyDescent="0.25">
      <c r="AK17" t="s">
        <v>416</v>
      </c>
    </row>
    <row r="21" spans="1:48" x14ac:dyDescent="0.25">
      <c r="A21" t="s">
        <v>417</v>
      </c>
    </row>
    <row r="25" spans="1:48" x14ac:dyDescent="0.25">
      <c r="AV25" t="s">
        <v>418</v>
      </c>
    </row>
    <row r="34" spans="14:65" x14ac:dyDescent="0.25">
      <c r="N34" t="s">
        <v>417</v>
      </c>
    </row>
    <row r="36" spans="14:65" x14ac:dyDescent="0.25">
      <c r="AA36" t="s">
        <v>419</v>
      </c>
    </row>
    <row r="39" spans="14:65" x14ac:dyDescent="0.25">
      <c r="BM39" t="s">
        <v>417</v>
      </c>
    </row>
    <row r="49" spans="1:50" x14ac:dyDescent="0.25">
      <c r="AX49" t="s">
        <v>420</v>
      </c>
    </row>
    <row r="60" spans="1:50" x14ac:dyDescent="0.25">
      <c r="A60" t="s">
        <v>421</v>
      </c>
    </row>
    <row r="65" spans="14:37" x14ac:dyDescent="0.25">
      <c r="N65" t="s">
        <v>422</v>
      </c>
    </row>
    <row r="66" spans="14:37" x14ac:dyDescent="0.25">
      <c r="AK66" t="s">
        <v>423</v>
      </c>
    </row>
    <row r="84" spans="1:1" x14ac:dyDescent="0.25">
      <c r="A84" t="s">
        <v>421</v>
      </c>
    </row>
    <row r="125" spans="14:14" x14ac:dyDescent="0.25">
      <c r="N125" t="s">
        <v>424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4"/>
  <sheetViews>
    <sheetView zoomScaleNormal="100" workbookViewId="0">
      <selection activeCell="D28" sqref="D28"/>
    </sheetView>
  </sheetViews>
  <sheetFormatPr defaultRowHeight="15" x14ac:dyDescent="0.25"/>
  <cols>
    <col min="1" max="1" width="61.85546875" customWidth="1"/>
    <col min="2" max="2" width="9.28515625" customWidth="1"/>
    <col min="3" max="3" width="7.5703125" customWidth="1"/>
    <col min="4" max="4" width="8.85546875" customWidth="1"/>
    <col min="5" max="9" width="9.140625" customWidth="1"/>
    <col min="10" max="10" width="20.7109375" customWidth="1"/>
    <col min="11" max="11" width="14.28515625" customWidth="1"/>
    <col min="12" max="12" width="12.85546875" customWidth="1"/>
    <col min="13" max="13" width="13.42578125" customWidth="1"/>
    <col min="14" max="15" width="10.7109375" customWidth="1"/>
    <col min="16" max="18" width="9.140625" customWidth="1"/>
    <col min="19" max="19" width="20.7109375" customWidth="1"/>
    <col min="20" max="20" width="14.28515625" customWidth="1"/>
    <col min="21" max="21" width="12.85546875" customWidth="1"/>
    <col min="22" max="22" width="13.42578125" customWidth="1"/>
    <col min="23" max="24" width="10.7109375" customWidth="1"/>
    <col min="25" max="27" width="9.140625" customWidth="1"/>
    <col min="28" max="28" width="20.7109375" customWidth="1"/>
    <col min="29" max="29" width="14.28515625" customWidth="1"/>
    <col min="30" max="30" width="12.85546875" customWidth="1"/>
    <col min="31" max="31" width="13.42578125" customWidth="1"/>
    <col min="32" max="33" width="10.7109375" customWidth="1"/>
    <col min="34" max="34" width="8.7109375" customWidth="1"/>
    <col min="37" max="37" width="20.7109375" customWidth="1"/>
    <col min="38" max="38" width="14.28515625" customWidth="1"/>
    <col min="39" max="39" width="12.85546875" customWidth="1"/>
    <col min="40" max="40" width="13.42578125" customWidth="1"/>
    <col min="41" max="42" width="10.7109375" customWidth="1"/>
    <col min="43" max="45" width="9.140625" customWidth="1"/>
    <col min="46" max="46" width="20.7109375" customWidth="1"/>
    <col min="47" max="47" width="14.28515625" customWidth="1"/>
    <col min="48" max="48" width="12.85546875" customWidth="1"/>
    <col min="49" max="49" width="13.42578125" customWidth="1"/>
    <col min="50" max="51" width="10.7109375" customWidth="1"/>
  </cols>
  <sheetData>
    <row r="1" spans="1:52" x14ac:dyDescent="0.25">
      <c r="A1" s="20" t="s">
        <v>191</v>
      </c>
    </row>
    <row r="2" spans="1:52" x14ac:dyDescent="0.25">
      <c r="J2" s="20"/>
    </row>
    <row r="3" spans="1:52" x14ac:dyDescent="0.25">
      <c r="A3" s="189" t="s">
        <v>399</v>
      </c>
      <c r="B3" s="189"/>
      <c r="C3" s="189"/>
      <c r="D3" s="189"/>
      <c r="E3" s="189"/>
      <c r="F3" s="189"/>
      <c r="G3" s="189"/>
      <c r="H3" s="3"/>
      <c r="I3" s="3"/>
      <c r="J3" s="183" t="s">
        <v>95</v>
      </c>
      <c r="K3" s="183"/>
      <c r="L3" s="183"/>
      <c r="M3" s="183"/>
      <c r="N3" s="183"/>
      <c r="O3" s="183"/>
      <c r="P3" s="183"/>
      <c r="S3" s="183" t="s">
        <v>115</v>
      </c>
      <c r="T3" s="183"/>
      <c r="U3" s="183"/>
      <c r="V3" s="183"/>
      <c r="W3" s="183"/>
      <c r="X3" s="183"/>
      <c r="Y3" s="183"/>
      <c r="AB3" s="183" t="s">
        <v>120</v>
      </c>
      <c r="AC3" s="183"/>
      <c r="AD3" s="183"/>
      <c r="AE3" s="183"/>
      <c r="AF3" s="183"/>
      <c r="AG3" s="183"/>
      <c r="AH3" s="183"/>
      <c r="AK3" s="183" t="s">
        <v>125</v>
      </c>
      <c r="AL3" s="183"/>
      <c r="AM3" s="183"/>
      <c r="AN3" s="183"/>
      <c r="AO3" s="183"/>
      <c r="AP3" s="183"/>
      <c r="AQ3" s="183"/>
      <c r="AT3" s="183" t="s">
        <v>130</v>
      </c>
      <c r="AU3" s="183"/>
      <c r="AV3" s="183"/>
      <c r="AW3" s="183"/>
      <c r="AX3" s="183"/>
      <c r="AY3" s="183"/>
      <c r="AZ3" s="183"/>
    </row>
    <row r="4" spans="1:52" x14ac:dyDescent="0.25">
      <c r="A4" s="143" t="s">
        <v>52</v>
      </c>
      <c r="B4" s="190" t="s">
        <v>134</v>
      </c>
      <c r="C4" s="190"/>
      <c r="D4" s="190"/>
      <c r="E4" s="190"/>
      <c r="F4" s="190"/>
      <c r="G4" s="143" t="s">
        <v>98</v>
      </c>
      <c r="H4" s="3"/>
      <c r="J4" s="191" t="s">
        <v>93</v>
      </c>
      <c r="K4" s="192"/>
      <c r="L4" s="192"/>
      <c r="M4" s="192"/>
      <c r="N4" s="192"/>
      <c r="O4" s="192"/>
      <c r="P4" s="193"/>
      <c r="S4" s="184" t="s">
        <v>116</v>
      </c>
      <c r="T4" s="184"/>
      <c r="U4" s="184"/>
      <c r="V4" s="184"/>
      <c r="W4" s="184"/>
      <c r="X4" s="184"/>
      <c r="Y4" s="184"/>
      <c r="AB4" s="184" t="s">
        <v>121</v>
      </c>
      <c r="AC4" s="184"/>
      <c r="AD4" s="184"/>
      <c r="AE4" s="184"/>
      <c r="AF4" s="184"/>
      <c r="AG4" s="184"/>
      <c r="AH4" s="184"/>
      <c r="AK4" s="184" t="s">
        <v>126</v>
      </c>
      <c r="AL4" s="184"/>
      <c r="AM4" s="184"/>
      <c r="AN4" s="184"/>
      <c r="AO4" s="184"/>
      <c r="AP4" s="184"/>
      <c r="AQ4" s="184"/>
      <c r="AT4" s="184" t="s">
        <v>116</v>
      </c>
      <c r="AU4" s="184"/>
      <c r="AV4" s="184"/>
      <c r="AW4" s="184"/>
      <c r="AX4" s="184"/>
      <c r="AY4" s="184"/>
      <c r="AZ4" s="184"/>
    </row>
    <row r="5" spans="1:52" x14ac:dyDescent="0.25">
      <c r="A5" s="143"/>
      <c r="B5" s="21">
        <v>42036</v>
      </c>
      <c r="C5" s="21">
        <v>42064</v>
      </c>
      <c r="D5" s="21">
        <v>42095</v>
      </c>
      <c r="E5" s="21">
        <v>42248</v>
      </c>
      <c r="F5" s="21">
        <v>42278</v>
      </c>
      <c r="G5" s="143"/>
      <c r="H5" s="3"/>
      <c r="J5" s="180" t="s">
        <v>96</v>
      </c>
      <c r="K5" s="180"/>
      <c r="L5" s="185" t="s">
        <v>97</v>
      </c>
      <c r="M5" s="185"/>
      <c r="N5" s="185"/>
      <c r="O5" s="180" t="s">
        <v>98</v>
      </c>
      <c r="P5" s="180" t="s">
        <v>99</v>
      </c>
      <c r="S5" s="180" t="s">
        <v>96</v>
      </c>
      <c r="T5" s="180"/>
      <c r="U5" s="185" t="s">
        <v>97</v>
      </c>
      <c r="V5" s="185"/>
      <c r="W5" s="185"/>
      <c r="X5" s="180" t="s">
        <v>98</v>
      </c>
      <c r="Y5" s="180" t="s">
        <v>99</v>
      </c>
      <c r="AB5" s="180" t="s">
        <v>96</v>
      </c>
      <c r="AC5" s="180"/>
      <c r="AD5" s="185" t="s">
        <v>97</v>
      </c>
      <c r="AE5" s="185"/>
      <c r="AF5" s="185"/>
      <c r="AG5" s="180" t="s">
        <v>98</v>
      </c>
      <c r="AH5" s="180" t="s">
        <v>99</v>
      </c>
      <c r="AK5" s="180" t="s">
        <v>96</v>
      </c>
      <c r="AL5" s="180"/>
      <c r="AM5" s="185" t="s">
        <v>97</v>
      </c>
      <c r="AN5" s="185"/>
      <c r="AO5" s="185"/>
      <c r="AP5" s="180" t="s">
        <v>98</v>
      </c>
      <c r="AQ5" s="180" t="s">
        <v>99</v>
      </c>
      <c r="AT5" s="180" t="s">
        <v>96</v>
      </c>
      <c r="AU5" s="180"/>
      <c r="AV5" s="185" t="s">
        <v>97</v>
      </c>
      <c r="AW5" s="185"/>
      <c r="AX5" s="185"/>
      <c r="AY5" s="180" t="s">
        <v>98</v>
      </c>
      <c r="AZ5" s="180" t="s">
        <v>99</v>
      </c>
    </row>
    <row r="6" spans="1:52" x14ac:dyDescent="0.25">
      <c r="A6" s="25" t="s">
        <v>117</v>
      </c>
      <c r="B6" s="121">
        <f>(X27*X25)/10^6</f>
        <v>0.14886985764444446</v>
      </c>
      <c r="C6" s="25"/>
      <c r="D6" s="25"/>
      <c r="E6" s="124">
        <f>(AP39*AP41)/10^6</f>
        <v>4.1331623999999997E-2</v>
      </c>
      <c r="F6" s="124"/>
      <c r="G6" s="124">
        <f t="shared" ref="G6:G12" si="0">AVERAGE(B6:F6)</f>
        <v>9.5100740822222224E-2</v>
      </c>
      <c r="H6" s="3"/>
      <c r="J6" s="180"/>
      <c r="K6" s="180"/>
      <c r="L6" s="9">
        <v>1</v>
      </c>
      <c r="M6" s="9">
        <v>2</v>
      </c>
      <c r="N6" s="9">
        <v>3</v>
      </c>
      <c r="O6" s="180"/>
      <c r="P6" s="180"/>
      <c r="S6" s="180"/>
      <c r="T6" s="180"/>
      <c r="U6" s="9">
        <v>1</v>
      </c>
      <c r="V6" s="9">
        <v>2</v>
      </c>
      <c r="W6" s="9">
        <v>3</v>
      </c>
      <c r="X6" s="180"/>
      <c r="Y6" s="180"/>
      <c r="AB6" s="180"/>
      <c r="AC6" s="180"/>
      <c r="AD6" s="9">
        <v>1</v>
      </c>
      <c r="AE6" s="9">
        <v>2</v>
      </c>
      <c r="AF6" s="9">
        <v>3</v>
      </c>
      <c r="AG6" s="180"/>
      <c r="AH6" s="180"/>
      <c r="AK6" s="180"/>
      <c r="AL6" s="180"/>
      <c r="AM6" s="9">
        <v>1</v>
      </c>
      <c r="AN6" s="9">
        <v>2</v>
      </c>
      <c r="AO6" s="9">
        <v>3</v>
      </c>
      <c r="AP6" s="180"/>
      <c r="AQ6" s="180"/>
      <c r="AT6" s="180"/>
      <c r="AU6" s="180"/>
      <c r="AV6" s="9">
        <v>1</v>
      </c>
      <c r="AW6" s="9">
        <v>2</v>
      </c>
      <c r="AX6" s="9">
        <v>3</v>
      </c>
      <c r="AY6" s="180"/>
      <c r="AZ6" s="180"/>
    </row>
    <row r="7" spans="1:52" x14ac:dyDescent="0.25">
      <c r="A7" s="24" t="s">
        <v>119</v>
      </c>
      <c r="B7" s="125">
        <f>(X53*X55)/10^6</f>
        <v>1.7132060266666669E-2</v>
      </c>
      <c r="C7" s="24"/>
      <c r="D7" s="24"/>
      <c r="E7" s="24"/>
      <c r="F7" s="125">
        <f>(AY41*AY39)/10^6</f>
        <v>3.7048108000000003E-2</v>
      </c>
      <c r="G7" s="125">
        <f t="shared" si="0"/>
        <v>2.7090084133333338E-2</v>
      </c>
      <c r="H7" s="3"/>
      <c r="J7" s="180" t="s">
        <v>100</v>
      </c>
      <c r="K7" s="180"/>
      <c r="L7" s="180"/>
      <c r="M7" s="180"/>
      <c r="N7" s="180"/>
      <c r="O7" s="180"/>
      <c r="P7" s="180"/>
      <c r="S7" s="180" t="s">
        <v>100</v>
      </c>
      <c r="T7" s="180"/>
      <c r="U7" s="180"/>
      <c r="V7" s="180"/>
      <c r="W7" s="180"/>
      <c r="X7" s="180"/>
      <c r="Y7" s="180"/>
      <c r="AB7" s="180" t="s">
        <v>100</v>
      </c>
      <c r="AC7" s="180"/>
      <c r="AD7" s="180"/>
      <c r="AE7" s="180"/>
      <c r="AF7" s="180"/>
      <c r="AG7" s="180"/>
      <c r="AH7" s="180"/>
      <c r="AK7" s="180" t="s">
        <v>100</v>
      </c>
      <c r="AL7" s="180"/>
      <c r="AM7" s="180"/>
      <c r="AN7" s="180"/>
      <c r="AO7" s="180"/>
      <c r="AP7" s="180"/>
      <c r="AQ7" s="180"/>
      <c r="AT7" s="180" t="s">
        <v>100</v>
      </c>
      <c r="AU7" s="180"/>
      <c r="AV7" s="180"/>
      <c r="AW7" s="180"/>
      <c r="AX7" s="180"/>
      <c r="AY7" s="180"/>
      <c r="AZ7" s="180"/>
    </row>
    <row r="8" spans="1:52" x14ac:dyDescent="0.25">
      <c r="A8" s="24" t="s">
        <v>116</v>
      </c>
      <c r="B8" s="125">
        <f>(X13*X11)/10^6</f>
        <v>4.8063294866666668E-2</v>
      </c>
      <c r="C8" s="24"/>
      <c r="D8" s="24"/>
      <c r="E8" s="125"/>
      <c r="F8" s="125">
        <f>(AY13*AY11)/10^6</f>
        <v>3.9829842455555563E-2</v>
      </c>
      <c r="G8" s="125">
        <f t="shared" si="0"/>
        <v>4.3946568661111116E-2</v>
      </c>
      <c r="H8" s="3"/>
      <c r="J8" s="181" t="s">
        <v>113</v>
      </c>
      <c r="K8" s="181"/>
      <c r="L8" s="10">
        <v>300.5</v>
      </c>
      <c r="M8" s="10">
        <v>299.88</v>
      </c>
      <c r="N8" s="10">
        <v>300</v>
      </c>
      <c r="O8" s="10">
        <f>AVERAGE(L8:N8)</f>
        <v>300.12666666666667</v>
      </c>
      <c r="P8" s="11" t="s">
        <v>114</v>
      </c>
      <c r="S8" s="181" t="s">
        <v>113</v>
      </c>
      <c r="T8" s="181"/>
      <c r="U8" s="10">
        <v>312.54000000000002</v>
      </c>
      <c r="V8" s="10">
        <v>313.17</v>
      </c>
      <c r="W8" s="10">
        <v>312.79000000000002</v>
      </c>
      <c r="X8" s="10">
        <f>AVERAGE(U8:W8)</f>
        <v>312.83333333333331</v>
      </c>
      <c r="Y8" s="11" t="s">
        <v>114</v>
      </c>
      <c r="AB8" s="181" t="s">
        <v>113</v>
      </c>
      <c r="AC8" s="181"/>
      <c r="AD8" s="10">
        <v>362.79</v>
      </c>
      <c r="AE8" s="10">
        <v>365.38</v>
      </c>
      <c r="AF8" s="10">
        <v>369.67</v>
      </c>
      <c r="AG8" s="10">
        <f>AVERAGE(AD8:AF8)</f>
        <v>365.94666666666672</v>
      </c>
      <c r="AH8" s="11" t="s">
        <v>114</v>
      </c>
      <c r="AK8" s="181" t="s">
        <v>113</v>
      </c>
      <c r="AL8" s="181"/>
      <c r="AM8" s="10">
        <v>304.29000000000002</v>
      </c>
      <c r="AN8" s="10">
        <v>305</v>
      </c>
      <c r="AO8" s="10">
        <v>304.88</v>
      </c>
      <c r="AP8" s="10">
        <f>AVERAGE(AM8:AO8)</f>
        <v>304.7233333333333</v>
      </c>
      <c r="AQ8" s="11" t="s">
        <v>114</v>
      </c>
      <c r="AT8" s="181" t="s">
        <v>113</v>
      </c>
      <c r="AU8" s="181"/>
      <c r="AV8" s="10">
        <v>320.42</v>
      </c>
      <c r="AW8" s="10">
        <v>320.20999999999998</v>
      </c>
      <c r="AX8" s="10">
        <v>320.25</v>
      </c>
      <c r="AY8" s="10">
        <f>AVERAGE(AV8:AX8)</f>
        <v>320.29333333333335</v>
      </c>
      <c r="AZ8" s="11" t="s">
        <v>114</v>
      </c>
    </row>
    <row r="9" spans="1:52" x14ac:dyDescent="0.25">
      <c r="A9" s="25" t="s">
        <v>127</v>
      </c>
      <c r="B9" s="124"/>
      <c r="C9" s="25"/>
      <c r="D9" s="25"/>
      <c r="E9" s="124">
        <f>(AP55*AP53)/10^6</f>
        <v>5.6446264000000003E-2</v>
      </c>
      <c r="F9" s="124"/>
      <c r="G9" s="124">
        <f t="shared" si="0"/>
        <v>5.6446264000000003E-2</v>
      </c>
      <c r="H9" s="3"/>
      <c r="J9" s="181" t="s">
        <v>101</v>
      </c>
      <c r="K9" s="181"/>
      <c r="L9" s="10">
        <v>5.56</v>
      </c>
      <c r="M9" s="10">
        <v>5.58</v>
      </c>
      <c r="N9" s="10">
        <v>5.64</v>
      </c>
      <c r="O9" s="10">
        <f t="shared" ref="O9" si="1">AVERAGE(L9:N9)</f>
        <v>5.5933333333333337</v>
      </c>
      <c r="P9" s="11" t="s">
        <v>102</v>
      </c>
      <c r="S9" s="181" t="s">
        <v>101</v>
      </c>
      <c r="T9" s="181"/>
      <c r="U9" s="10">
        <v>12.17</v>
      </c>
      <c r="V9" s="10">
        <v>12.2</v>
      </c>
      <c r="W9" s="10">
        <v>12.2</v>
      </c>
      <c r="X9" s="10">
        <f t="shared" ref="X9" si="2">AVERAGE(U9:W9)</f>
        <v>12.189999999999998</v>
      </c>
      <c r="Y9" s="11" t="s">
        <v>102</v>
      </c>
      <c r="AB9" s="181" t="s">
        <v>101</v>
      </c>
      <c r="AC9" s="181"/>
      <c r="AD9" s="10">
        <v>27.48</v>
      </c>
      <c r="AE9" s="10">
        <v>27.42</v>
      </c>
      <c r="AF9" s="10">
        <v>27.56</v>
      </c>
      <c r="AG9" s="10">
        <f t="shared" ref="AG9" si="3">AVERAGE(AD9:AF9)</f>
        <v>27.486666666666668</v>
      </c>
      <c r="AH9" s="11" t="s">
        <v>102</v>
      </c>
      <c r="AK9" s="181" t="s">
        <v>101</v>
      </c>
      <c r="AL9" s="181"/>
      <c r="AM9" s="10">
        <v>15.4</v>
      </c>
      <c r="AN9" s="10">
        <v>15.67</v>
      </c>
      <c r="AO9" s="10">
        <v>15.73</v>
      </c>
      <c r="AP9" s="10">
        <f t="shared" ref="AP9" si="4">AVERAGE(AM9:AO9)</f>
        <v>15.6</v>
      </c>
      <c r="AQ9" s="11" t="s">
        <v>102</v>
      </c>
      <c r="AT9" s="181" t="s">
        <v>101</v>
      </c>
      <c r="AU9" s="181"/>
      <c r="AV9" s="10">
        <v>13.63</v>
      </c>
      <c r="AW9" s="10">
        <v>13.61</v>
      </c>
      <c r="AX9" s="10">
        <v>13.6</v>
      </c>
      <c r="AY9" s="10">
        <f t="shared" ref="AY9" si="5">AVERAGE(AV9:AX9)</f>
        <v>13.613333333333335</v>
      </c>
      <c r="AZ9" s="11" t="s">
        <v>102</v>
      </c>
    </row>
    <row r="10" spans="1:52" x14ac:dyDescent="0.25">
      <c r="A10" s="25" t="s">
        <v>93</v>
      </c>
      <c r="B10" s="126"/>
      <c r="C10" s="25"/>
      <c r="D10" s="124">
        <f>(O13*O11)/10^6</f>
        <v>1.0714053333333331E-2</v>
      </c>
      <c r="E10" s="124"/>
      <c r="F10" s="124"/>
      <c r="G10" s="124">
        <f t="shared" si="0"/>
        <v>1.0714053333333331E-2</v>
      </c>
      <c r="H10" s="3"/>
      <c r="J10" s="181" t="s">
        <v>103</v>
      </c>
      <c r="K10" s="181"/>
      <c r="L10" s="12">
        <v>1414.28</v>
      </c>
      <c r="M10" s="12">
        <v>1420.1</v>
      </c>
      <c r="N10" s="12">
        <v>1436.17</v>
      </c>
      <c r="O10" s="12">
        <f>AVERAGE(L10:N10)</f>
        <v>1423.5166666666667</v>
      </c>
      <c r="P10" s="11" t="s">
        <v>104</v>
      </c>
      <c r="S10" s="181" t="s">
        <v>103</v>
      </c>
      <c r="T10" s="181"/>
      <c r="U10" s="12">
        <v>3096.59</v>
      </c>
      <c r="V10" s="12">
        <v>3105.12</v>
      </c>
      <c r="W10" s="12">
        <v>3103.28</v>
      </c>
      <c r="X10" s="12">
        <f>AVERAGE(U10:W10)</f>
        <v>3101.6633333333334</v>
      </c>
      <c r="Y10" s="11" t="s">
        <v>104</v>
      </c>
      <c r="AB10" s="181" t="s">
        <v>103</v>
      </c>
      <c r="AC10" s="181"/>
      <c r="AD10" s="12">
        <v>6991.99</v>
      </c>
      <c r="AE10" s="12">
        <v>6978</v>
      </c>
      <c r="AF10" s="12">
        <v>7013.92</v>
      </c>
      <c r="AG10" s="12">
        <f>AVERAGE(AD10:AF10)</f>
        <v>6994.6366666666663</v>
      </c>
      <c r="AH10" s="11" t="s">
        <v>104</v>
      </c>
      <c r="AK10" s="181" t="s">
        <v>103</v>
      </c>
      <c r="AL10" s="181"/>
      <c r="AM10" s="12">
        <v>3919.96</v>
      </c>
      <c r="AN10" s="12">
        <v>3987.31</v>
      </c>
      <c r="AO10" s="12">
        <v>4003.13</v>
      </c>
      <c r="AP10" s="12">
        <f>AVERAGE(AM10:AO10)</f>
        <v>3970.1333333333337</v>
      </c>
      <c r="AQ10" s="11" t="s">
        <v>104</v>
      </c>
      <c r="AT10" s="181" t="s">
        <v>103</v>
      </c>
      <c r="AU10" s="181"/>
      <c r="AV10" s="12">
        <v>3468.16</v>
      </c>
      <c r="AW10" s="12">
        <v>3463.97</v>
      </c>
      <c r="AX10" s="12">
        <v>3461.42</v>
      </c>
      <c r="AY10" s="12">
        <f>AVERAGE(AV10:AX10)</f>
        <v>3464.5166666666664</v>
      </c>
      <c r="AZ10" s="11" t="s">
        <v>104</v>
      </c>
    </row>
    <row r="11" spans="1:52" x14ac:dyDescent="0.25">
      <c r="A11" s="25" t="s">
        <v>128</v>
      </c>
      <c r="B11" s="126"/>
      <c r="C11" s="25"/>
      <c r="D11" s="124"/>
      <c r="E11" s="124">
        <f>(AP69*AP67)/10^6</f>
        <v>5.9259263999999999E-3</v>
      </c>
      <c r="F11" s="124"/>
      <c r="G11" s="124">
        <f t="shared" si="0"/>
        <v>5.9259263999999999E-3</v>
      </c>
      <c r="H11" s="3"/>
      <c r="I11" s="3"/>
      <c r="J11" s="181" t="s">
        <v>105</v>
      </c>
      <c r="K11" s="181"/>
      <c r="L11" s="12">
        <v>1228.43</v>
      </c>
      <c r="M11" s="12">
        <v>1198.6600000000001</v>
      </c>
      <c r="N11" s="12">
        <v>1253.31</v>
      </c>
      <c r="O11" s="12">
        <f>AVERAGE(L11:N11)</f>
        <v>1226.8</v>
      </c>
      <c r="P11" s="11" t="s">
        <v>106</v>
      </c>
      <c r="S11" s="181" t="s">
        <v>105</v>
      </c>
      <c r="T11" s="181"/>
      <c r="U11" s="12">
        <v>2556.23</v>
      </c>
      <c r="V11" s="12">
        <v>2533.6999999999998</v>
      </c>
      <c r="W11" s="12">
        <v>2535.13</v>
      </c>
      <c r="X11" s="12">
        <f>AVERAGE(U11:W11)</f>
        <v>2541.686666666667</v>
      </c>
      <c r="Y11" s="11" t="s">
        <v>106</v>
      </c>
      <c r="AB11" s="181" t="s">
        <v>105</v>
      </c>
      <c r="AC11" s="181"/>
      <c r="AD11" s="12">
        <v>4188.29</v>
      </c>
      <c r="AE11" s="12">
        <v>4292.22</v>
      </c>
      <c r="AF11" s="12">
        <v>4282.22</v>
      </c>
      <c r="AG11" s="12">
        <f>AVERAGE(AD11:AF11)</f>
        <v>4254.2433333333329</v>
      </c>
      <c r="AH11" s="11" t="s">
        <v>106</v>
      </c>
      <c r="AK11" s="181" t="s">
        <v>105</v>
      </c>
      <c r="AL11" s="181"/>
      <c r="AM11" s="12">
        <v>3343.15</v>
      </c>
      <c r="AN11" s="12">
        <v>3419.79</v>
      </c>
      <c r="AO11" s="12">
        <v>3445.85</v>
      </c>
      <c r="AP11" s="12">
        <f>AVERAGE(AM11:AO11)</f>
        <v>3402.9300000000003</v>
      </c>
      <c r="AQ11" s="11" t="s">
        <v>106</v>
      </c>
      <c r="AT11" s="181" t="s">
        <v>105</v>
      </c>
      <c r="AU11" s="181"/>
      <c r="AV11" s="12">
        <v>2812.83</v>
      </c>
      <c r="AW11" s="12">
        <v>2812.88</v>
      </c>
      <c r="AX11" s="12">
        <v>2822.76</v>
      </c>
      <c r="AY11" s="12">
        <f>AVERAGE(AV11:AX11)</f>
        <v>2816.1566666666672</v>
      </c>
      <c r="AZ11" s="11" t="s">
        <v>106</v>
      </c>
    </row>
    <row r="12" spans="1:52" x14ac:dyDescent="0.25">
      <c r="A12" s="24" t="s">
        <v>118</v>
      </c>
      <c r="B12" s="125">
        <f>(X41*X39)/10^6</f>
        <v>6.1228629666666666E-3</v>
      </c>
      <c r="C12" s="24"/>
      <c r="D12" s="24"/>
      <c r="E12" s="125">
        <f>(AP27*AP25)/10^6</f>
        <v>9.8390095999999986E-3</v>
      </c>
      <c r="F12" s="125"/>
      <c r="G12" s="125">
        <f t="shared" si="0"/>
        <v>7.9809362833333335E-3</v>
      </c>
      <c r="H12" s="3"/>
      <c r="I12" s="3"/>
      <c r="J12" s="182" t="s">
        <v>107</v>
      </c>
      <c r="K12" s="182"/>
      <c r="L12" s="182"/>
      <c r="M12" s="182"/>
      <c r="N12" s="182"/>
      <c r="O12" s="182"/>
      <c r="P12" s="182"/>
      <c r="S12" s="182" t="s">
        <v>107</v>
      </c>
      <c r="T12" s="182"/>
      <c r="U12" s="182"/>
      <c r="V12" s="182"/>
      <c r="W12" s="182"/>
      <c r="X12" s="182"/>
      <c r="Y12" s="182"/>
      <c r="AB12" s="182" t="s">
        <v>107</v>
      </c>
      <c r="AC12" s="182"/>
      <c r="AD12" s="182"/>
      <c r="AE12" s="182"/>
      <c r="AF12" s="182"/>
      <c r="AG12" s="182"/>
      <c r="AH12" s="182"/>
      <c r="AK12" s="182" t="s">
        <v>107</v>
      </c>
      <c r="AL12" s="182"/>
      <c r="AM12" s="182"/>
      <c r="AN12" s="182"/>
      <c r="AO12" s="182"/>
      <c r="AP12" s="182"/>
      <c r="AQ12" s="182"/>
      <c r="AT12" s="182" t="s">
        <v>107</v>
      </c>
      <c r="AU12" s="182"/>
      <c r="AV12" s="182"/>
      <c r="AW12" s="182"/>
      <c r="AX12" s="182"/>
      <c r="AY12" s="182"/>
      <c r="AZ12" s="182"/>
    </row>
    <row r="13" spans="1:52" x14ac:dyDescent="0.25">
      <c r="A13" s="24" t="s">
        <v>121</v>
      </c>
      <c r="B13" s="19"/>
      <c r="C13" s="125">
        <f>(AG13*AG11)/10^6</f>
        <v>0.15839966011111109</v>
      </c>
      <c r="D13" s="24"/>
      <c r="E13" s="125">
        <f>(AP83*AP81)/10^6</f>
        <v>9.99606356E-2</v>
      </c>
      <c r="F13" s="125"/>
      <c r="G13" s="125">
        <f t="shared" ref="G13:G18" si="6">AVERAGE(B13:F13)</f>
        <v>0.12918014785555554</v>
      </c>
      <c r="H13" s="3"/>
      <c r="I13" s="3"/>
      <c r="J13" s="186" t="s">
        <v>111</v>
      </c>
      <c r="K13" s="13" t="s">
        <v>112</v>
      </c>
      <c r="L13" s="10">
        <v>9.4499999999999993</v>
      </c>
      <c r="M13" s="10">
        <v>9.2799999999999994</v>
      </c>
      <c r="N13" s="10">
        <v>7.47</v>
      </c>
      <c r="O13" s="10">
        <f t="shared" ref="O13:O14" si="7">AVERAGE(L13:N13)</f>
        <v>8.7333333333333325</v>
      </c>
      <c r="P13" s="11" t="s">
        <v>108</v>
      </c>
      <c r="S13" s="186" t="s">
        <v>111</v>
      </c>
      <c r="T13" s="13" t="s">
        <v>112</v>
      </c>
      <c r="U13" s="10">
        <v>18.059999999999999</v>
      </c>
      <c r="V13" s="10">
        <v>22.83</v>
      </c>
      <c r="W13" s="10">
        <v>15.84</v>
      </c>
      <c r="X13" s="10">
        <f t="shared" ref="X13:X14" si="8">AVERAGE(U13:W13)</f>
        <v>18.91</v>
      </c>
      <c r="Y13" s="11" t="s">
        <v>108</v>
      </c>
      <c r="AB13" s="186" t="s">
        <v>111</v>
      </c>
      <c r="AC13" s="13" t="s">
        <v>112</v>
      </c>
      <c r="AD13" s="10">
        <v>33.590000000000003</v>
      </c>
      <c r="AE13" s="10">
        <v>33.81</v>
      </c>
      <c r="AF13" s="10">
        <v>44.3</v>
      </c>
      <c r="AG13" s="10">
        <f t="shared" ref="AG13:AG14" si="9">AVERAGE(AD13:AF13)</f>
        <v>37.233333333333334</v>
      </c>
      <c r="AH13" s="11" t="s">
        <v>108</v>
      </c>
      <c r="AK13" s="186" t="s">
        <v>111</v>
      </c>
      <c r="AL13" s="13" t="s">
        <v>112</v>
      </c>
      <c r="AM13" s="10">
        <v>15.69</v>
      </c>
      <c r="AN13" s="10">
        <v>15.09</v>
      </c>
      <c r="AO13" s="10">
        <v>16.09</v>
      </c>
      <c r="AP13" s="10">
        <f t="shared" ref="AP13:AP14" si="10">AVERAGE(AM13:AO13)</f>
        <v>15.623333333333335</v>
      </c>
      <c r="AQ13" s="11" t="s">
        <v>108</v>
      </c>
      <c r="AT13" s="186" t="s">
        <v>111</v>
      </c>
      <c r="AU13" s="13" t="s">
        <v>112</v>
      </c>
      <c r="AV13" s="10">
        <v>14.2</v>
      </c>
      <c r="AW13" s="10">
        <v>14.4</v>
      </c>
      <c r="AX13" s="10">
        <v>13.83</v>
      </c>
      <c r="AY13" s="10">
        <f t="shared" ref="AY13:AY14" si="11">AVERAGE(AV13:AX13)</f>
        <v>14.143333333333333</v>
      </c>
      <c r="AZ13" s="11" t="s">
        <v>108</v>
      </c>
    </row>
    <row r="14" spans="1:52" x14ac:dyDescent="0.25">
      <c r="A14" s="24" t="s">
        <v>136</v>
      </c>
      <c r="B14" s="19"/>
      <c r="C14" s="24"/>
      <c r="D14" s="125">
        <f>(O27*O25)/10^6</f>
        <v>2.3390665199999997E-2</v>
      </c>
      <c r="E14" s="24"/>
      <c r="F14" s="125">
        <f>(AY55*AY53)/10^6</f>
        <v>3.336334112222223E-2</v>
      </c>
      <c r="G14" s="125">
        <f t="shared" si="6"/>
        <v>2.8377003161111115E-2</v>
      </c>
      <c r="H14" s="3"/>
      <c r="I14" s="3"/>
      <c r="J14" s="187"/>
      <c r="K14" s="13" t="s">
        <v>109</v>
      </c>
      <c r="L14" s="10">
        <v>0.01</v>
      </c>
      <c r="M14" s="10">
        <v>0.01</v>
      </c>
      <c r="N14" s="10">
        <v>0.01</v>
      </c>
      <c r="O14" s="14">
        <f t="shared" si="7"/>
        <v>0.01</v>
      </c>
      <c r="P14" s="11" t="s">
        <v>110</v>
      </c>
      <c r="S14" s="187"/>
      <c r="T14" s="13" t="s">
        <v>109</v>
      </c>
      <c r="U14" s="10">
        <v>0.05</v>
      </c>
      <c r="V14" s="10">
        <v>0.06</v>
      </c>
      <c r="W14" s="10">
        <v>0.04</v>
      </c>
      <c r="X14" s="14">
        <f t="shared" si="8"/>
        <v>4.9999999999999996E-2</v>
      </c>
      <c r="Y14" s="11" t="s">
        <v>110</v>
      </c>
      <c r="AB14" s="187"/>
      <c r="AC14" s="13" t="s">
        <v>109</v>
      </c>
      <c r="AD14" s="10">
        <v>0.14000000000000001</v>
      </c>
      <c r="AE14" s="10">
        <v>0.15</v>
      </c>
      <c r="AF14" s="10">
        <v>0.19</v>
      </c>
      <c r="AG14" s="14">
        <f t="shared" si="9"/>
        <v>0.16</v>
      </c>
      <c r="AH14" s="11" t="s">
        <v>110</v>
      </c>
      <c r="AK14" s="187"/>
      <c r="AL14" s="13" t="s">
        <v>109</v>
      </c>
      <c r="AM14" s="10">
        <v>0.05</v>
      </c>
      <c r="AN14" s="10">
        <v>0.05</v>
      </c>
      <c r="AO14" s="10">
        <v>0.06</v>
      </c>
      <c r="AP14" s="14">
        <f t="shared" si="10"/>
        <v>5.3333333333333337E-2</v>
      </c>
      <c r="AQ14" s="11" t="s">
        <v>110</v>
      </c>
      <c r="AT14" s="187"/>
      <c r="AU14" s="13" t="s">
        <v>109</v>
      </c>
      <c r="AV14" s="10">
        <v>0.04</v>
      </c>
      <c r="AW14" s="10">
        <v>0.04</v>
      </c>
      <c r="AX14" s="10">
        <v>0.04</v>
      </c>
      <c r="AY14" s="14">
        <f t="shared" si="11"/>
        <v>0.04</v>
      </c>
      <c r="AZ14" s="11" t="s">
        <v>110</v>
      </c>
    </row>
    <row r="15" spans="1:52" x14ac:dyDescent="0.25">
      <c r="A15" s="24" t="s">
        <v>137</v>
      </c>
      <c r="B15" s="19"/>
      <c r="C15" s="125">
        <f>(AG55*AG53)/10^6</f>
        <v>4.131805596666667E-2</v>
      </c>
      <c r="D15" s="19"/>
      <c r="E15" s="125">
        <f>(AP13*AP11)/10^6</f>
        <v>5.3165109700000011E-2</v>
      </c>
      <c r="F15" s="125"/>
      <c r="G15" s="125">
        <f t="shared" si="6"/>
        <v>4.7241582833333337E-2</v>
      </c>
      <c r="H15" s="3"/>
      <c r="I15" s="3"/>
      <c r="J15" s="15"/>
      <c r="K15" s="16"/>
      <c r="L15" s="17"/>
      <c r="M15" s="18"/>
      <c r="N15" s="18"/>
      <c r="O15" s="8"/>
      <c r="P15" s="19"/>
      <c r="S15" s="15"/>
      <c r="T15" s="16"/>
      <c r="U15" s="17"/>
      <c r="V15" s="18"/>
      <c r="W15" s="18"/>
      <c r="X15" s="8"/>
      <c r="Y15" s="19"/>
    </row>
    <row r="16" spans="1:52" x14ac:dyDescent="0.25">
      <c r="A16" s="25" t="s">
        <v>122</v>
      </c>
      <c r="B16" s="126"/>
      <c r="C16" s="124">
        <f>(AG27*AG25)/10^6</f>
        <v>1.7974767999999995E-2</v>
      </c>
      <c r="D16" s="25"/>
      <c r="E16" s="25"/>
      <c r="F16" s="25"/>
      <c r="G16" s="124">
        <f t="shared" si="6"/>
        <v>1.7974767999999995E-2</v>
      </c>
      <c r="H16" s="3"/>
      <c r="I16" s="3"/>
      <c r="J16" s="15"/>
      <c r="K16" s="16"/>
      <c r="L16" s="17"/>
      <c r="M16" s="18"/>
      <c r="N16" s="18"/>
      <c r="O16" s="8"/>
      <c r="P16" s="19"/>
      <c r="S16" s="15"/>
      <c r="T16" s="16"/>
      <c r="U16" s="17"/>
      <c r="V16" s="18"/>
      <c r="W16" s="18"/>
      <c r="X16" s="8"/>
      <c r="Y16" s="19"/>
    </row>
    <row r="17" spans="1:52" x14ac:dyDescent="0.25">
      <c r="A17" s="25" t="s">
        <v>135</v>
      </c>
      <c r="B17" s="126"/>
      <c r="C17" s="124"/>
      <c r="D17" s="25"/>
      <c r="E17" s="25"/>
      <c r="F17" s="124">
        <f>(AY27*AY25)/10^6</f>
        <v>6.5811909777777795E-3</v>
      </c>
      <c r="G17" s="124">
        <f t="shared" si="6"/>
        <v>6.5811909777777795E-3</v>
      </c>
      <c r="H17" s="3"/>
      <c r="I17" s="3"/>
      <c r="J17" s="183" t="s">
        <v>95</v>
      </c>
      <c r="K17" s="183"/>
      <c r="L17" s="183"/>
      <c r="M17" s="183"/>
      <c r="N17" s="183"/>
      <c r="O17" s="183"/>
      <c r="P17" s="183"/>
      <c r="S17" s="183" t="s">
        <v>115</v>
      </c>
      <c r="T17" s="183"/>
      <c r="U17" s="183"/>
      <c r="V17" s="183"/>
      <c r="W17" s="183"/>
      <c r="X17" s="183"/>
      <c r="Y17" s="183"/>
      <c r="AB17" s="183" t="s">
        <v>120</v>
      </c>
      <c r="AC17" s="183"/>
      <c r="AD17" s="183"/>
      <c r="AE17" s="183"/>
      <c r="AF17" s="183"/>
      <c r="AG17" s="183"/>
      <c r="AH17" s="183"/>
      <c r="AK17" s="183" t="s">
        <v>125</v>
      </c>
      <c r="AL17" s="183"/>
      <c r="AM17" s="183"/>
      <c r="AN17" s="183"/>
      <c r="AO17" s="183"/>
      <c r="AP17" s="183"/>
      <c r="AQ17" s="183"/>
      <c r="AT17" s="183" t="s">
        <v>130</v>
      </c>
      <c r="AU17" s="183"/>
      <c r="AV17" s="183"/>
      <c r="AW17" s="183"/>
      <c r="AX17" s="183"/>
      <c r="AY17" s="183"/>
      <c r="AZ17" s="183"/>
    </row>
    <row r="18" spans="1:52" x14ac:dyDescent="0.25">
      <c r="A18" s="25" t="s">
        <v>123</v>
      </c>
      <c r="B18" s="126"/>
      <c r="C18" s="124">
        <f>(AG41*AG39)/10^6</f>
        <v>1.1734986666666667E-2</v>
      </c>
      <c r="D18" s="25"/>
      <c r="E18" s="25"/>
      <c r="F18" s="25"/>
      <c r="G18" s="124">
        <f t="shared" si="6"/>
        <v>1.1734986666666667E-2</v>
      </c>
      <c r="H18" s="3"/>
      <c r="I18" s="3"/>
      <c r="J18" s="191" t="s">
        <v>94</v>
      </c>
      <c r="K18" s="192"/>
      <c r="L18" s="192"/>
      <c r="M18" s="192"/>
      <c r="N18" s="192"/>
      <c r="O18" s="192"/>
      <c r="P18" s="193"/>
      <c r="S18" s="184" t="s">
        <v>117</v>
      </c>
      <c r="T18" s="184"/>
      <c r="U18" s="184"/>
      <c r="V18" s="184"/>
      <c r="W18" s="184"/>
      <c r="X18" s="184"/>
      <c r="Y18" s="184"/>
      <c r="AB18" s="184" t="s">
        <v>122</v>
      </c>
      <c r="AC18" s="184"/>
      <c r="AD18" s="184"/>
      <c r="AE18" s="184"/>
      <c r="AF18" s="184"/>
      <c r="AG18" s="184"/>
      <c r="AH18" s="184"/>
      <c r="AK18" s="184" t="s">
        <v>118</v>
      </c>
      <c r="AL18" s="184"/>
      <c r="AM18" s="184"/>
      <c r="AN18" s="184"/>
      <c r="AO18" s="184"/>
      <c r="AP18" s="184"/>
      <c r="AQ18" s="184"/>
      <c r="AT18" s="184" t="s">
        <v>131</v>
      </c>
      <c r="AU18" s="184"/>
      <c r="AV18" s="184"/>
      <c r="AW18" s="184"/>
      <c r="AX18" s="184"/>
      <c r="AY18" s="184"/>
      <c r="AZ18" s="184"/>
    </row>
    <row r="19" spans="1:52" x14ac:dyDescent="0.25">
      <c r="H19" s="3"/>
      <c r="I19" s="3"/>
      <c r="J19" s="182" t="s">
        <v>96</v>
      </c>
      <c r="K19" s="182"/>
      <c r="L19" s="188" t="s">
        <v>97</v>
      </c>
      <c r="M19" s="188"/>
      <c r="N19" s="188"/>
      <c r="O19" s="182" t="s">
        <v>98</v>
      </c>
      <c r="P19" s="182" t="s">
        <v>99</v>
      </c>
      <c r="S19" s="182" t="s">
        <v>96</v>
      </c>
      <c r="T19" s="182"/>
      <c r="U19" s="188" t="s">
        <v>97</v>
      </c>
      <c r="V19" s="188"/>
      <c r="W19" s="188"/>
      <c r="X19" s="182" t="s">
        <v>98</v>
      </c>
      <c r="Y19" s="182" t="s">
        <v>99</v>
      </c>
      <c r="AB19" s="180" t="s">
        <v>96</v>
      </c>
      <c r="AC19" s="180"/>
      <c r="AD19" s="185" t="s">
        <v>97</v>
      </c>
      <c r="AE19" s="185"/>
      <c r="AF19" s="185"/>
      <c r="AG19" s="180" t="s">
        <v>98</v>
      </c>
      <c r="AH19" s="180" t="s">
        <v>99</v>
      </c>
      <c r="AK19" s="180" t="s">
        <v>96</v>
      </c>
      <c r="AL19" s="180"/>
      <c r="AM19" s="185" t="s">
        <v>97</v>
      </c>
      <c r="AN19" s="185"/>
      <c r="AO19" s="185"/>
      <c r="AP19" s="180" t="s">
        <v>98</v>
      </c>
      <c r="AQ19" s="180" t="s">
        <v>99</v>
      </c>
      <c r="AT19" s="180" t="s">
        <v>96</v>
      </c>
      <c r="AU19" s="180"/>
      <c r="AV19" s="185" t="s">
        <v>97</v>
      </c>
      <c r="AW19" s="185"/>
      <c r="AX19" s="185"/>
      <c r="AY19" s="180" t="s">
        <v>98</v>
      </c>
      <c r="AZ19" s="180" t="s">
        <v>99</v>
      </c>
    </row>
    <row r="20" spans="1:52" x14ac:dyDescent="0.25">
      <c r="H20" s="3"/>
      <c r="I20" s="3"/>
      <c r="J20" s="182"/>
      <c r="K20" s="182"/>
      <c r="L20" s="11">
        <v>1</v>
      </c>
      <c r="M20" s="11">
        <v>2</v>
      </c>
      <c r="N20" s="11">
        <v>3</v>
      </c>
      <c r="O20" s="182"/>
      <c r="P20" s="182"/>
      <c r="S20" s="182"/>
      <c r="T20" s="182"/>
      <c r="U20" s="11">
        <v>1</v>
      </c>
      <c r="V20" s="11">
        <v>2</v>
      </c>
      <c r="W20" s="11">
        <v>3</v>
      </c>
      <c r="X20" s="182"/>
      <c r="Y20" s="182"/>
      <c r="AB20" s="180"/>
      <c r="AC20" s="180"/>
      <c r="AD20" s="9">
        <v>1</v>
      </c>
      <c r="AE20" s="9">
        <v>2</v>
      </c>
      <c r="AF20" s="9">
        <v>3</v>
      </c>
      <c r="AG20" s="180"/>
      <c r="AH20" s="180"/>
      <c r="AK20" s="180"/>
      <c r="AL20" s="180"/>
      <c r="AM20" s="9">
        <v>1</v>
      </c>
      <c r="AN20" s="9">
        <v>2</v>
      </c>
      <c r="AO20" s="9">
        <v>3</v>
      </c>
      <c r="AP20" s="180"/>
      <c r="AQ20" s="180"/>
      <c r="AT20" s="180"/>
      <c r="AU20" s="180"/>
      <c r="AV20" s="9">
        <v>1</v>
      </c>
      <c r="AW20" s="9">
        <v>2</v>
      </c>
      <c r="AX20" s="9">
        <v>3</v>
      </c>
      <c r="AY20" s="180"/>
      <c r="AZ20" s="180"/>
    </row>
    <row r="21" spans="1:52" x14ac:dyDescent="0.25">
      <c r="H21" s="3"/>
      <c r="I21" s="3"/>
      <c r="J21" s="182" t="s">
        <v>100</v>
      </c>
      <c r="K21" s="182"/>
      <c r="L21" s="182"/>
      <c r="M21" s="182"/>
      <c r="N21" s="182"/>
      <c r="O21" s="182"/>
      <c r="P21" s="182"/>
      <c r="S21" s="182" t="s">
        <v>100</v>
      </c>
      <c r="T21" s="182"/>
      <c r="U21" s="182"/>
      <c r="V21" s="182"/>
      <c r="W21" s="182"/>
      <c r="X21" s="182"/>
      <c r="Y21" s="182"/>
      <c r="AB21" s="180" t="s">
        <v>100</v>
      </c>
      <c r="AC21" s="180"/>
      <c r="AD21" s="180"/>
      <c r="AE21" s="180"/>
      <c r="AF21" s="180"/>
      <c r="AG21" s="180"/>
      <c r="AH21" s="180"/>
      <c r="AK21" s="180" t="s">
        <v>100</v>
      </c>
      <c r="AL21" s="180"/>
      <c r="AM21" s="180"/>
      <c r="AN21" s="180"/>
      <c r="AO21" s="180"/>
      <c r="AP21" s="180"/>
      <c r="AQ21" s="180"/>
      <c r="AT21" s="180" t="s">
        <v>100</v>
      </c>
      <c r="AU21" s="180"/>
      <c r="AV21" s="180"/>
      <c r="AW21" s="180"/>
      <c r="AX21" s="180"/>
      <c r="AY21" s="180"/>
      <c r="AZ21" s="180"/>
    </row>
    <row r="22" spans="1:52" x14ac:dyDescent="0.25">
      <c r="H22" s="3"/>
      <c r="I22" s="3"/>
      <c r="J22" s="181" t="s">
        <v>113</v>
      </c>
      <c r="K22" s="181"/>
      <c r="L22" s="10">
        <v>305.54000000000002</v>
      </c>
      <c r="M22" s="10">
        <v>304.92</v>
      </c>
      <c r="N22" s="10">
        <v>303.67</v>
      </c>
      <c r="O22" s="10">
        <f>AVERAGE(L22:N22)</f>
        <v>304.71000000000004</v>
      </c>
      <c r="P22" s="11" t="s">
        <v>114</v>
      </c>
      <c r="S22" s="181" t="s">
        <v>113</v>
      </c>
      <c r="T22" s="181"/>
      <c r="U22" s="10">
        <v>310.67</v>
      </c>
      <c r="V22" s="10">
        <v>311.63</v>
      </c>
      <c r="W22" s="10">
        <v>309.58</v>
      </c>
      <c r="X22" s="10">
        <f>AVERAGE(U22:W22)</f>
        <v>310.62666666666661</v>
      </c>
      <c r="Y22" s="11" t="s">
        <v>114</v>
      </c>
      <c r="AB22" s="181" t="s">
        <v>113</v>
      </c>
      <c r="AC22" s="181"/>
      <c r="AD22" s="10">
        <v>327.54000000000002</v>
      </c>
      <c r="AE22" s="10">
        <v>326.04000000000002</v>
      </c>
      <c r="AF22" s="10">
        <v>327</v>
      </c>
      <c r="AG22" s="10">
        <f>AVERAGE(AD22:AF22)</f>
        <v>326.86</v>
      </c>
      <c r="AH22" s="11" t="s">
        <v>114</v>
      </c>
      <c r="AK22" s="181" t="s">
        <v>113</v>
      </c>
      <c r="AL22" s="181"/>
      <c r="AM22" s="10">
        <v>305.25</v>
      </c>
      <c r="AN22" s="10">
        <v>305.33</v>
      </c>
      <c r="AO22" s="10">
        <v>305.29000000000002</v>
      </c>
      <c r="AP22" s="10">
        <f>AVERAGE(AM22:AO22)</f>
        <v>305.28999999999996</v>
      </c>
      <c r="AQ22" s="11" t="s">
        <v>114</v>
      </c>
      <c r="AT22" s="181" t="s">
        <v>113</v>
      </c>
      <c r="AU22" s="181"/>
      <c r="AV22" s="10">
        <v>322.79000000000002</v>
      </c>
      <c r="AW22" s="10">
        <v>323.38</v>
      </c>
      <c r="AX22" s="10">
        <v>324.42</v>
      </c>
      <c r="AY22" s="10">
        <f>AVERAGE(AV22:AX22)</f>
        <v>323.53000000000003</v>
      </c>
      <c r="AZ22" s="11" t="s">
        <v>114</v>
      </c>
    </row>
    <row r="23" spans="1:52" x14ac:dyDescent="0.25">
      <c r="H23" s="3"/>
      <c r="I23" s="3"/>
      <c r="J23" s="181" t="s">
        <v>101</v>
      </c>
      <c r="K23" s="181"/>
      <c r="L23" s="10">
        <v>13.02</v>
      </c>
      <c r="M23" s="10">
        <v>12.5</v>
      </c>
      <c r="N23" s="10">
        <v>12.82</v>
      </c>
      <c r="O23" s="10">
        <f t="shared" ref="O23" si="12">AVERAGE(L23:N23)</f>
        <v>12.780000000000001</v>
      </c>
      <c r="P23" s="11" t="s">
        <v>102</v>
      </c>
      <c r="S23" s="181" t="s">
        <v>101</v>
      </c>
      <c r="T23" s="181"/>
      <c r="U23" s="10">
        <v>20.2</v>
      </c>
      <c r="V23" s="10">
        <v>20.29</v>
      </c>
      <c r="W23" s="10">
        <v>20.2</v>
      </c>
      <c r="X23" s="10">
        <f t="shared" ref="X23" si="13">AVERAGE(U23:W23)</f>
        <v>20.23</v>
      </c>
      <c r="Y23" s="11" t="s">
        <v>102</v>
      </c>
      <c r="AB23" s="181" t="s">
        <v>101</v>
      </c>
      <c r="AC23" s="181"/>
      <c r="AD23" s="10">
        <v>6.01</v>
      </c>
      <c r="AE23" s="10">
        <v>6</v>
      </c>
      <c r="AF23" s="10">
        <v>5.98</v>
      </c>
      <c r="AG23" s="10">
        <f t="shared" ref="AG23" si="14">AVERAGE(AD23:AF23)</f>
        <v>5.996666666666667</v>
      </c>
      <c r="AH23" s="11" t="s">
        <v>102</v>
      </c>
      <c r="AK23" s="181" t="s">
        <v>101</v>
      </c>
      <c r="AL23" s="181"/>
      <c r="AM23" s="10">
        <v>5.3</v>
      </c>
      <c r="AN23" s="10">
        <v>5.29</v>
      </c>
      <c r="AO23" s="10">
        <v>5.29</v>
      </c>
      <c r="AP23" s="10">
        <f t="shared" ref="AP23" si="15">AVERAGE(AM23:AO23)</f>
        <v>5.293333333333333</v>
      </c>
      <c r="AQ23" s="11" t="s">
        <v>102</v>
      </c>
      <c r="AT23" s="181" t="s">
        <v>101</v>
      </c>
      <c r="AU23" s="181"/>
      <c r="AV23" s="10">
        <v>4.54</v>
      </c>
      <c r="AW23" s="10">
        <v>4.58</v>
      </c>
      <c r="AX23" s="10">
        <v>4.5</v>
      </c>
      <c r="AY23" s="10">
        <f t="shared" ref="AY23" si="16">AVERAGE(AV23:AX23)</f>
        <v>4.54</v>
      </c>
      <c r="AZ23" s="11" t="s">
        <v>102</v>
      </c>
    </row>
    <row r="24" spans="1:52" x14ac:dyDescent="0.25">
      <c r="H24" s="3"/>
      <c r="I24" s="3"/>
      <c r="J24" s="181" t="s">
        <v>103</v>
      </c>
      <c r="K24" s="181"/>
      <c r="L24" s="12">
        <v>3313.32</v>
      </c>
      <c r="M24" s="12">
        <v>3181.41</v>
      </c>
      <c r="N24" s="12">
        <v>3261.86</v>
      </c>
      <c r="O24" s="12">
        <f>AVERAGE(L24:N24)</f>
        <v>3252.1966666666667</v>
      </c>
      <c r="P24" s="11" t="s">
        <v>104</v>
      </c>
      <c r="S24" s="181" t="s">
        <v>103</v>
      </c>
      <c r="T24" s="181"/>
      <c r="U24" s="12">
        <v>5139.72</v>
      </c>
      <c r="V24" s="12">
        <v>5162.96</v>
      </c>
      <c r="W24" s="12">
        <v>5140.43</v>
      </c>
      <c r="X24" s="12">
        <f>AVERAGE(U24:W24)</f>
        <v>5147.7033333333338</v>
      </c>
      <c r="Y24" s="11" t="s">
        <v>104</v>
      </c>
      <c r="AB24" s="181" t="s">
        <v>103</v>
      </c>
      <c r="AC24" s="181"/>
      <c r="AD24" s="12">
        <v>1530.19</v>
      </c>
      <c r="AE24" s="12">
        <v>1527.31</v>
      </c>
      <c r="AF24" s="12">
        <v>1520.75</v>
      </c>
      <c r="AG24" s="12">
        <f>AVERAGE(AD24:AF24)</f>
        <v>1526.0833333333333</v>
      </c>
      <c r="AH24" s="11" t="s">
        <v>104</v>
      </c>
      <c r="AK24" s="181" t="s">
        <v>103</v>
      </c>
      <c r="AL24" s="181"/>
      <c r="AM24" s="12">
        <v>1348.27</v>
      </c>
      <c r="AN24" s="12">
        <v>1346.7</v>
      </c>
      <c r="AO24" s="12">
        <v>1346.76</v>
      </c>
      <c r="AP24" s="12">
        <f>AVERAGE(AM24:AO24)</f>
        <v>1347.2433333333336</v>
      </c>
      <c r="AQ24" s="11" t="s">
        <v>104</v>
      </c>
      <c r="AT24" s="181" t="s">
        <v>103</v>
      </c>
      <c r="AU24" s="181"/>
      <c r="AV24" s="12">
        <v>1154.6500000000001</v>
      </c>
      <c r="AW24" s="12">
        <v>1164.5999999999999</v>
      </c>
      <c r="AX24" s="12">
        <v>1145.5899999999999</v>
      </c>
      <c r="AY24" s="12">
        <f>AVERAGE(AV24:AX24)</f>
        <v>1154.9466666666667</v>
      </c>
      <c r="AZ24" s="11" t="s">
        <v>104</v>
      </c>
    </row>
    <row r="25" spans="1:52" x14ac:dyDescent="0.25">
      <c r="H25" s="3"/>
      <c r="I25" s="3"/>
      <c r="J25" s="181" t="s">
        <v>105</v>
      </c>
      <c r="K25" s="181"/>
      <c r="L25" s="12">
        <v>2869.32</v>
      </c>
      <c r="M25" s="12">
        <v>2699.22</v>
      </c>
      <c r="N25" s="12">
        <v>2772.03</v>
      </c>
      <c r="O25" s="12">
        <f>AVERAGE(L25:N25)</f>
        <v>2780.19</v>
      </c>
      <c r="P25" s="11" t="s">
        <v>106</v>
      </c>
      <c r="S25" s="181" t="s">
        <v>105</v>
      </c>
      <c r="T25" s="181"/>
      <c r="U25" s="12">
        <v>4268.67</v>
      </c>
      <c r="V25" s="12">
        <v>4205.49</v>
      </c>
      <c r="W25" s="12">
        <v>4240.1000000000004</v>
      </c>
      <c r="X25" s="12">
        <f>AVERAGE(U25:W25)</f>
        <v>4238.086666666667</v>
      </c>
      <c r="Y25" s="11" t="s">
        <v>106</v>
      </c>
      <c r="AB25" s="181" t="s">
        <v>105</v>
      </c>
      <c r="AC25" s="181"/>
      <c r="AD25" s="12">
        <v>1176.3699999999999</v>
      </c>
      <c r="AE25" s="12">
        <v>1176.8699999999999</v>
      </c>
      <c r="AF25" s="12">
        <v>1206.1199999999999</v>
      </c>
      <c r="AG25" s="12">
        <f>AVERAGE(AD25:AF25)</f>
        <v>1186.4533333333331</v>
      </c>
      <c r="AH25" s="11" t="s">
        <v>106</v>
      </c>
      <c r="AK25" s="181" t="s">
        <v>105</v>
      </c>
      <c r="AL25" s="181"/>
      <c r="AM25" s="12">
        <v>1150.6199999999999</v>
      </c>
      <c r="AN25" s="12">
        <v>1157.1500000000001</v>
      </c>
      <c r="AO25" s="12">
        <v>1156.67</v>
      </c>
      <c r="AP25" s="12">
        <f>AVERAGE(AM25:AO25)</f>
        <v>1154.8133333333333</v>
      </c>
      <c r="AQ25" s="11" t="s">
        <v>106</v>
      </c>
      <c r="AT25" s="181" t="s">
        <v>105</v>
      </c>
      <c r="AU25" s="181"/>
      <c r="AV25" s="12">
        <v>925.96</v>
      </c>
      <c r="AW25" s="12">
        <v>932.17</v>
      </c>
      <c r="AX25" s="12">
        <v>921.35</v>
      </c>
      <c r="AY25" s="12">
        <f>AVERAGE(AV25:AX25)</f>
        <v>926.49333333333334</v>
      </c>
      <c r="AZ25" s="11" t="s">
        <v>106</v>
      </c>
    </row>
    <row r="26" spans="1:52" x14ac:dyDescent="0.25">
      <c r="H26" s="3"/>
      <c r="I26" s="3"/>
      <c r="J26" s="182" t="s">
        <v>107</v>
      </c>
      <c r="K26" s="182"/>
      <c r="L26" s="182"/>
      <c r="M26" s="182"/>
      <c r="N26" s="182"/>
      <c r="O26" s="182"/>
      <c r="P26" s="182"/>
      <c r="S26" s="182" t="s">
        <v>107</v>
      </c>
      <c r="T26" s="182"/>
      <c r="U26" s="182"/>
      <c r="V26" s="182"/>
      <c r="W26" s="182"/>
      <c r="X26" s="182"/>
      <c r="Y26" s="182"/>
      <c r="AB26" s="182" t="s">
        <v>107</v>
      </c>
      <c r="AC26" s="182"/>
      <c r="AD26" s="182"/>
      <c r="AE26" s="182"/>
      <c r="AF26" s="182"/>
      <c r="AG26" s="182"/>
      <c r="AH26" s="182"/>
      <c r="AK26" s="182" t="s">
        <v>107</v>
      </c>
      <c r="AL26" s="182"/>
      <c r="AM26" s="182"/>
      <c r="AN26" s="182"/>
      <c r="AO26" s="182"/>
      <c r="AP26" s="182"/>
      <c r="AQ26" s="182"/>
      <c r="AT26" s="182" t="s">
        <v>107</v>
      </c>
      <c r="AU26" s="182"/>
      <c r="AV26" s="182"/>
      <c r="AW26" s="182"/>
      <c r="AX26" s="182"/>
      <c r="AY26" s="182"/>
      <c r="AZ26" s="182"/>
    </row>
    <row r="27" spans="1:52" x14ac:dyDescent="0.25">
      <c r="H27" s="3"/>
      <c r="I27" s="3"/>
      <c r="J27" s="182" t="s">
        <v>111</v>
      </c>
      <c r="K27" s="13" t="s">
        <v>112</v>
      </c>
      <c r="L27" s="10">
        <v>10.78</v>
      </c>
      <c r="M27" s="10">
        <v>7.1</v>
      </c>
      <c r="N27" s="10">
        <v>7.36</v>
      </c>
      <c r="O27" s="10">
        <f>AVERAGE(L27:N27)</f>
        <v>8.4133333333333322</v>
      </c>
      <c r="P27" s="11" t="s">
        <v>108</v>
      </c>
      <c r="S27" s="182" t="s">
        <v>111</v>
      </c>
      <c r="T27" s="13" t="s">
        <v>112</v>
      </c>
      <c r="U27" s="10">
        <v>41.74</v>
      </c>
      <c r="V27" s="10">
        <v>27.47</v>
      </c>
      <c r="W27" s="10">
        <v>36.17</v>
      </c>
      <c r="X27" s="10">
        <f t="shared" ref="X27:X28" si="17">AVERAGE(U27:W27)</f>
        <v>35.126666666666672</v>
      </c>
      <c r="Y27" s="11" t="s">
        <v>108</v>
      </c>
      <c r="AB27" s="182" t="s">
        <v>111</v>
      </c>
      <c r="AC27" s="13" t="s">
        <v>112</v>
      </c>
      <c r="AD27" s="10">
        <v>14.84</v>
      </c>
      <c r="AE27" s="10">
        <v>16.149999999999999</v>
      </c>
      <c r="AF27" s="10">
        <v>14.46</v>
      </c>
      <c r="AG27" s="10">
        <f t="shared" ref="AG27:AG28" si="18">AVERAGE(AD27:AF27)</f>
        <v>15.15</v>
      </c>
      <c r="AH27" s="11" t="s">
        <v>108</v>
      </c>
      <c r="AK27" s="182" t="s">
        <v>111</v>
      </c>
      <c r="AL27" s="13" t="s">
        <v>112</v>
      </c>
      <c r="AM27" s="10">
        <v>9.68</v>
      </c>
      <c r="AN27" s="10">
        <v>8.18</v>
      </c>
      <c r="AO27" s="10">
        <v>7.7</v>
      </c>
      <c r="AP27" s="10">
        <f t="shared" ref="AP27:AP28" si="19">AVERAGE(AM27:AO27)</f>
        <v>8.52</v>
      </c>
      <c r="AQ27" s="11" t="s">
        <v>108</v>
      </c>
      <c r="AT27" s="182" t="s">
        <v>111</v>
      </c>
      <c r="AU27" s="13" t="s">
        <v>112</v>
      </c>
      <c r="AV27" s="10">
        <v>8.08</v>
      </c>
      <c r="AW27" s="10">
        <v>6.86</v>
      </c>
      <c r="AX27" s="10">
        <v>6.37</v>
      </c>
      <c r="AY27" s="10">
        <f t="shared" ref="AY27:AY28" si="20">AVERAGE(AV27:AX27)</f>
        <v>7.1033333333333344</v>
      </c>
      <c r="AZ27" s="11" t="s">
        <v>108</v>
      </c>
    </row>
    <row r="28" spans="1:52" x14ac:dyDescent="0.25">
      <c r="H28" s="3"/>
      <c r="I28" s="3"/>
      <c r="J28" s="182"/>
      <c r="K28" s="13" t="s">
        <v>109</v>
      </c>
      <c r="L28" s="10">
        <v>0.03</v>
      </c>
      <c r="M28" s="10">
        <v>0.02</v>
      </c>
      <c r="N28" s="10">
        <v>0.02</v>
      </c>
      <c r="O28" s="14">
        <f t="shared" ref="O28" si="21">AVERAGE(L28:N28)</f>
        <v>2.3333333333333334E-2</v>
      </c>
      <c r="P28" s="11" t="s">
        <v>110</v>
      </c>
      <c r="S28" s="182"/>
      <c r="T28" s="13" t="s">
        <v>109</v>
      </c>
      <c r="U28" s="10">
        <v>0.18</v>
      </c>
      <c r="V28" s="10">
        <v>0.12</v>
      </c>
      <c r="W28" s="10">
        <v>0.15</v>
      </c>
      <c r="X28" s="14">
        <f t="shared" si="17"/>
        <v>0.15</v>
      </c>
      <c r="Y28" s="11" t="s">
        <v>110</v>
      </c>
      <c r="AB28" s="182"/>
      <c r="AC28" s="13" t="s">
        <v>109</v>
      </c>
      <c r="AD28" s="10">
        <v>0.02</v>
      </c>
      <c r="AE28" s="10">
        <v>0.02</v>
      </c>
      <c r="AF28" s="10">
        <v>0.02</v>
      </c>
      <c r="AG28" s="14">
        <f t="shared" si="18"/>
        <v>0.02</v>
      </c>
      <c r="AH28" s="11" t="s">
        <v>110</v>
      </c>
      <c r="AK28" s="182"/>
      <c r="AL28" s="13" t="s">
        <v>109</v>
      </c>
      <c r="AM28" s="10">
        <v>0.01</v>
      </c>
      <c r="AN28" s="10">
        <v>0.01</v>
      </c>
      <c r="AO28" s="10">
        <v>0.01</v>
      </c>
      <c r="AP28" s="14">
        <f t="shared" si="19"/>
        <v>0.01</v>
      </c>
      <c r="AQ28" s="11" t="s">
        <v>110</v>
      </c>
      <c r="AT28" s="182"/>
      <c r="AU28" s="13" t="s">
        <v>109</v>
      </c>
      <c r="AV28" s="10">
        <v>0.01</v>
      </c>
      <c r="AW28" s="10">
        <v>0.01</v>
      </c>
      <c r="AX28" s="10">
        <v>0.01</v>
      </c>
      <c r="AY28" s="14">
        <f t="shared" si="20"/>
        <v>0.01</v>
      </c>
      <c r="AZ28" s="11" t="s">
        <v>110</v>
      </c>
    </row>
    <row r="29" spans="1:52" x14ac:dyDescent="0.25">
      <c r="H29" s="3"/>
      <c r="I29" s="3"/>
    </row>
    <row r="31" spans="1:52" x14ac:dyDescent="0.25">
      <c r="S31" s="183" t="s">
        <v>115</v>
      </c>
      <c r="T31" s="183"/>
      <c r="U31" s="183"/>
      <c r="V31" s="183"/>
      <c r="W31" s="183"/>
      <c r="X31" s="183"/>
      <c r="Y31" s="183"/>
      <c r="AB31" s="183" t="s">
        <v>120</v>
      </c>
      <c r="AC31" s="183"/>
      <c r="AD31" s="183"/>
      <c r="AE31" s="183"/>
      <c r="AF31" s="183"/>
      <c r="AG31" s="183"/>
      <c r="AH31" s="183"/>
      <c r="AK31" s="183" t="s">
        <v>125</v>
      </c>
      <c r="AL31" s="183"/>
      <c r="AM31" s="183"/>
      <c r="AN31" s="183"/>
      <c r="AO31" s="183"/>
      <c r="AP31" s="183"/>
      <c r="AQ31" s="183"/>
      <c r="AT31" s="183" t="s">
        <v>130</v>
      </c>
      <c r="AU31" s="183"/>
      <c r="AV31" s="183"/>
      <c r="AW31" s="183"/>
      <c r="AX31" s="183"/>
      <c r="AY31" s="183"/>
      <c r="AZ31" s="183"/>
    </row>
    <row r="32" spans="1:52" x14ac:dyDescent="0.25">
      <c r="S32" s="184" t="s">
        <v>118</v>
      </c>
      <c r="T32" s="184"/>
      <c r="U32" s="184"/>
      <c r="V32" s="184"/>
      <c r="W32" s="184"/>
      <c r="X32" s="184"/>
      <c r="Y32" s="184"/>
      <c r="AB32" s="184" t="s">
        <v>123</v>
      </c>
      <c r="AC32" s="184"/>
      <c r="AD32" s="184"/>
      <c r="AE32" s="184"/>
      <c r="AF32" s="184"/>
      <c r="AG32" s="184"/>
      <c r="AH32" s="184"/>
      <c r="AK32" s="184" t="s">
        <v>117</v>
      </c>
      <c r="AL32" s="184"/>
      <c r="AM32" s="184"/>
      <c r="AN32" s="184"/>
      <c r="AO32" s="184"/>
      <c r="AP32" s="184"/>
      <c r="AQ32" s="184"/>
      <c r="AT32" s="184" t="s">
        <v>132</v>
      </c>
      <c r="AU32" s="184"/>
      <c r="AV32" s="184"/>
      <c r="AW32" s="184"/>
      <c r="AX32" s="184"/>
      <c r="AY32" s="184"/>
      <c r="AZ32" s="184"/>
    </row>
    <row r="33" spans="1:52" x14ac:dyDescent="0.25">
      <c r="S33" s="182" t="s">
        <v>96</v>
      </c>
      <c r="T33" s="182"/>
      <c r="U33" s="188" t="s">
        <v>97</v>
      </c>
      <c r="V33" s="188"/>
      <c r="W33" s="188"/>
      <c r="X33" s="182" t="s">
        <v>98</v>
      </c>
      <c r="Y33" s="182" t="s">
        <v>99</v>
      </c>
      <c r="AB33" s="180" t="s">
        <v>96</v>
      </c>
      <c r="AC33" s="180"/>
      <c r="AD33" s="185" t="s">
        <v>97</v>
      </c>
      <c r="AE33" s="185"/>
      <c r="AF33" s="185"/>
      <c r="AG33" s="180" t="s">
        <v>98</v>
      </c>
      <c r="AH33" s="180" t="s">
        <v>99</v>
      </c>
      <c r="AK33" s="180" t="s">
        <v>96</v>
      </c>
      <c r="AL33" s="180"/>
      <c r="AM33" s="185" t="s">
        <v>97</v>
      </c>
      <c r="AN33" s="185"/>
      <c r="AO33" s="185"/>
      <c r="AP33" s="180" t="s">
        <v>98</v>
      </c>
      <c r="AQ33" s="180" t="s">
        <v>99</v>
      </c>
      <c r="AT33" s="180" t="s">
        <v>96</v>
      </c>
      <c r="AU33" s="180"/>
      <c r="AV33" s="185" t="s">
        <v>97</v>
      </c>
      <c r="AW33" s="185"/>
      <c r="AX33" s="185"/>
      <c r="AY33" s="180" t="s">
        <v>98</v>
      </c>
      <c r="AZ33" s="180" t="s">
        <v>99</v>
      </c>
    </row>
    <row r="34" spans="1:52" x14ac:dyDescent="0.25">
      <c r="S34" s="182"/>
      <c r="T34" s="182"/>
      <c r="U34" s="11">
        <v>1</v>
      </c>
      <c r="V34" s="11">
        <v>2</v>
      </c>
      <c r="W34" s="11">
        <v>3</v>
      </c>
      <c r="X34" s="182"/>
      <c r="Y34" s="182"/>
      <c r="AB34" s="180"/>
      <c r="AC34" s="180"/>
      <c r="AD34" s="9">
        <v>1</v>
      </c>
      <c r="AE34" s="9">
        <v>2</v>
      </c>
      <c r="AF34" s="9">
        <v>3</v>
      </c>
      <c r="AG34" s="180"/>
      <c r="AH34" s="180"/>
      <c r="AK34" s="180"/>
      <c r="AL34" s="180"/>
      <c r="AM34" s="9">
        <v>1</v>
      </c>
      <c r="AN34" s="9">
        <v>2</v>
      </c>
      <c r="AO34" s="9">
        <v>3</v>
      </c>
      <c r="AP34" s="180"/>
      <c r="AQ34" s="180"/>
      <c r="AT34" s="180"/>
      <c r="AU34" s="180"/>
      <c r="AV34" s="9">
        <v>1</v>
      </c>
      <c r="AW34" s="9">
        <v>2</v>
      </c>
      <c r="AX34" s="9">
        <v>3</v>
      </c>
      <c r="AY34" s="180"/>
      <c r="AZ34" s="180"/>
    </row>
    <row r="35" spans="1:52" x14ac:dyDescent="0.25">
      <c r="S35" s="182" t="s">
        <v>100</v>
      </c>
      <c r="T35" s="182"/>
      <c r="U35" s="182"/>
      <c r="V35" s="182"/>
      <c r="W35" s="182"/>
      <c r="X35" s="182"/>
      <c r="Y35" s="182"/>
      <c r="AB35" s="180" t="s">
        <v>100</v>
      </c>
      <c r="AC35" s="180"/>
      <c r="AD35" s="180"/>
      <c r="AE35" s="180"/>
      <c r="AF35" s="180"/>
      <c r="AG35" s="180"/>
      <c r="AH35" s="180"/>
      <c r="AK35" s="180" t="s">
        <v>100</v>
      </c>
      <c r="AL35" s="180"/>
      <c r="AM35" s="180"/>
      <c r="AN35" s="180"/>
      <c r="AO35" s="180"/>
      <c r="AP35" s="180"/>
      <c r="AQ35" s="180"/>
      <c r="AT35" s="180" t="s">
        <v>100</v>
      </c>
      <c r="AU35" s="180"/>
      <c r="AV35" s="180"/>
      <c r="AW35" s="180"/>
      <c r="AX35" s="180"/>
      <c r="AY35" s="180"/>
      <c r="AZ35" s="180"/>
    </row>
    <row r="36" spans="1:52" x14ac:dyDescent="0.25">
      <c r="S36" s="181" t="s">
        <v>113</v>
      </c>
      <c r="T36" s="181"/>
      <c r="U36" s="10">
        <v>313.83</v>
      </c>
      <c r="V36" s="10">
        <v>314.13</v>
      </c>
      <c r="W36" s="10">
        <v>313.79000000000002</v>
      </c>
      <c r="X36" s="10">
        <f>AVERAGE(U36:W36)</f>
        <v>313.91666666666669</v>
      </c>
      <c r="Y36" s="11" t="s">
        <v>114</v>
      </c>
      <c r="AB36" s="181" t="s">
        <v>113</v>
      </c>
      <c r="AC36" s="181"/>
      <c r="AD36" s="10">
        <v>306.04000000000002</v>
      </c>
      <c r="AE36" s="10">
        <v>304.95999999999998</v>
      </c>
      <c r="AF36" s="10">
        <v>304.88</v>
      </c>
      <c r="AG36" s="10">
        <f>AVERAGE(AD36:AF36)</f>
        <v>305.29333333333335</v>
      </c>
      <c r="AH36" s="11" t="s">
        <v>114</v>
      </c>
      <c r="AK36" s="181" t="s">
        <v>113</v>
      </c>
      <c r="AL36" s="181"/>
      <c r="AM36" s="10">
        <v>304.95999999999998</v>
      </c>
      <c r="AN36" s="10">
        <v>305.75</v>
      </c>
      <c r="AO36" s="10">
        <v>307</v>
      </c>
      <c r="AP36" s="10">
        <f>AVERAGE(AM36:AO36)</f>
        <v>305.90333333333336</v>
      </c>
      <c r="AQ36" s="11" t="s">
        <v>114</v>
      </c>
      <c r="AT36" s="181" t="s">
        <v>113</v>
      </c>
      <c r="AU36" s="181"/>
      <c r="AV36" s="10">
        <v>305.79000000000002</v>
      </c>
      <c r="AW36" s="10">
        <v>305.83</v>
      </c>
      <c r="AX36" s="10">
        <v>305.88</v>
      </c>
      <c r="AY36" s="10">
        <f>AVERAGE(AV36:AX36)</f>
        <v>305.83333333333331</v>
      </c>
      <c r="AZ36" s="11" t="s">
        <v>114</v>
      </c>
    </row>
    <row r="37" spans="1:52" x14ac:dyDescent="0.25">
      <c r="A37" s="19"/>
      <c r="S37" s="181" t="s">
        <v>101</v>
      </c>
      <c r="T37" s="181"/>
      <c r="U37" s="10">
        <v>4.59</v>
      </c>
      <c r="V37" s="10">
        <v>4.59</v>
      </c>
      <c r="W37" s="10">
        <v>4.59</v>
      </c>
      <c r="X37" s="10">
        <f t="shared" ref="X37" si="22">AVERAGE(U37:W37)</f>
        <v>4.59</v>
      </c>
      <c r="Y37" s="11" t="s">
        <v>102</v>
      </c>
      <c r="AB37" s="181" t="s">
        <v>101</v>
      </c>
      <c r="AC37" s="181"/>
      <c r="AD37" s="10">
        <v>5.16</v>
      </c>
      <c r="AE37" s="10">
        <v>5.15</v>
      </c>
      <c r="AF37" s="10">
        <v>5.0999999999999996</v>
      </c>
      <c r="AG37" s="10">
        <f t="shared" ref="AG37" si="23">AVERAGE(AD37:AF37)</f>
        <v>5.1366666666666667</v>
      </c>
      <c r="AH37" s="11" t="s">
        <v>102</v>
      </c>
      <c r="AK37" s="181" t="s">
        <v>101</v>
      </c>
      <c r="AL37" s="181"/>
      <c r="AM37" s="10">
        <v>16.07</v>
      </c>
      <c r="AN37" s="10">
        <v>16.18</v>
      </c>
      <c r="AO37" s="10">
        <v>16.41</v>
      </c>
      <c r="AP37" s="10">
        <f t="shared" ref="AP37" si="24">AVERAGE(AM37:AO37)</f>
        <v>16.22</v>
      </c>
      <c r="AQ37" s="11" t="s">
        <v>102</v>
      </c>
      <c r="AT37" s="181" t="s">
        <v>101</v>
      </c>
      <c r="AU37" s="181"/>
      <c r="AV37" s="10">
        <v>23.97</v>
      </c>
      <c r="AW37" s="10">
        <v>23.94</v>
      </c>
      <c r="AX37" s="10">
        <v>23.78</v>
      </c>
      <c r="AY37" s="10">
        <f t="shared" ref="AY37" si="25">AVERAGE(AV37:AX37)</f>
        <v>23.896666666666665</v>
      </c>
      <c r="AZ37" s="11" t="s">
        <v>102</v>
      </c>
    </row>
    <row r="38" spans="1:52" x14ac:dyDescent="0.25">
      <c r="A38" s="19"/>
      <c r="D38" s="38"/>
      <c r="H38" s="80"/>
      <c r="J38" s="1"/>
      <c r="K38" s="1"/>
      <c r="S38" s="181" t="s">
        <v>103</v>
      </c>
      <c r="T38" s="181"/>
      <c r="U38" s="12">
        <v>1166.8900000000001</v>
      </c>
      <c r="V38" s="12">
        <v>1168.26</v>
      </c>
      <c r="W38" s="12">
        <v>1168.25</v>
      </c>
      <c r="X38" s="12">
        <f>AVERAGE(U38:W38)</f>
        <v>1167.8</v>
      </c>
      <c r="Y38" s="11" t="s">
        <v>104</v>
      </c>
      <c r="AB38" s="181" t="s">
        <v>103</v>
      </c>
      <c r="AC38" s="181"/>
      <c r="AD38" s="12">
        <v>1313.65</v>
      </c>
      <c r="AE38" s="12">
        <v>1311.08</v>
      </c>
      <c r="AF38" s="12">
        <v>1297.56</v>
      </c>
      <c r="AG38" s="12">
        <f>AVERAGE(AD38:AF38)</f>
        <v>1307.43</v>
      </c>
      <c r="AH38" s="11" t="s">
        <v>104</v>
      </c>
      <c r="AK38" s="181" t="s">
        <v>103</v>
      </c>
      <c r="AL38" s="181"/>
      <c r="AM38" s="12">
        <v>4088.49</v>
      </c>
      <c r="AN38" s="12">
        <v>4117.25</v>
      </c>
      <c r="AO38" s="12">
        <v>4177.03</v>
      </c>
      <c r="AP38" s="12">
        <f>AVERAGE(AM38:AO38)</f>
        <v>4127.59</v>
      </c>
      <c r="AQ38" s="11" t="s">
        <v>104</v>
      </c>
      <c r="AT38" s="181" t="s">
        <v>103</v>
      </c>
      <c r="AU38" s="181"/>
      <c r="AV38" s="12">
        <v>6098.43</v>
      </c>
      <c r="AW38" s="12">
        <v>6093.12</v>
      </c>
      <c r="AX38" s="12">
        <v>6051.29</v>
      </c>
      <c r="AY38" s="12">
        <f>AVERAGE(AV38:AX38)</f>
        <v>6080.9466666666667</v>
      </c>
      <c r="AZ38" s="11" t="s">
        <v>104</v>
      </c>
    </row>
    <row r="39" spans="1:52" x14ac:dyDescent="0.25">
      <c r="A39" s="19"/>
      <c r="D39" s="38"/>
      <c r="H39" s="80"/>
      <c r="J39" s="1"/>
      <c r="K39" s="1"/>
      <c r="S39" s="181" t="s">
        <v>105</v>
      </c>
      <c r="T39" s="181"/>
      <c r="U39" s="12">
        <v>965.11</v>
      </c>
      <c r="V39" s="12">
        <v>961.61</v>
      </c>
      <c r="W39" s="12">
        <v>959.91</v>
      </c>
      <c r="X39" s="12">
        <f>AVERAGE(U39:W39)</f>
        <v>962.21</v>
      </c>
      <c r="Y39" s="11" t="s">
        <v>106</v>
      </c>
      <c r="AB39" s="181" t="s">
        <v>105</v>
      </c>
      <c r="AC39" s="181"/>
      <c r="AD39" s="12">
        <v>1092.04</v>
      </c>
      <c r="AE39" s="12">
        <v>1094.9000000000001</v>
      </c>
      <c r="AF39" s="12">
        <v>1087.94</v>
      </c>
      <c r="AG39" s="12">
        <f>AVERAGE(AD39:AF39)</f>
        <v>1091.6266666666668</v>
      </c>
      <c r="AH39" s="11" t="s">
        <v>106</v>
      </c>
      <c r="AK39" s="181" t="s">
        <v>105</v>
      </c>
      <c r="AL39" s="181"/>
      <c r="AM39" s="12">
        <v>3444.98</v>
      </c>
      <c r="AN39" s="12">
        <v>3498.72</v>
      </c>
      <c r="AO39" s="12">
        <v>3564.34</v>
      </c>
      <c r="AP39" s="12">
        <f>AVERAGE(AM39:AO39)</f>
        <v>3502.6800000000003</v>
      </c>
      <c r="AQ39" s="11" t="s">
        <v>106</v>
      </c>
      <c r="AT39" s="181" t="s">
        <v>105</v>
      </c>
      <c r="AU39" s="181"/>
      <c r="AV39" s="12">
        <v>5200.91</v>
      </c>
      <c r="AW39" s="12">
        <v>5189.04</v>
      </c>
      <c r="AX39" s="12">
        <v>5191.03</v>
      </c>
      <c r="AY39" s="12">
        <f>AVERAGE(AV39:AX39)</f>
        <v>5193.66</v>
      </c>
      <c r="AZ39" s="11" t="s">
        <v>106</v>
      </c>
    </row>
    <row r="40" spans="1:52" x14ac:dyDescent="0.25">
      <c r="H40" s="80"/>
      <c r="J40" s="1"/>
      <c r="K40" s="1"/>
      <c r="S40" s="182" t="s">
        <v>107</v>
      </c>
      <c r="T40" s="182"/>
      <c r="U40" s="182"/>
      <c r="V40" s="182"/>
      <c r="W40" s="182"/>
      <c r="X40" s="182"/>
      <c r="Y40" s="182"/>
      <c r="AB40" s="182" t="s">
        <v>107</v>
      </c>
      <c r="AC40" s="182"/>
      <c r="AD40" s="182"/>
      <c r="AE40" s="182"/>
      <c r="AF40" s="182"/>
      <c r="AG40" s="182"/>
      <c r="AH40" s="182"/>
      <c r="AK40" s="182" t="s">
        <v>107</v>
      </c>
      <c r="AL40" s="182"/>
      <c r="AM40" s="182"/>
      <c r="AN40" s="182"/>
      <c r="AO40" s="182"/>
      <c r="AP40" s="182"/>
      <c r="AQ40" s="182"/>
      <c r="AT40" s="182" t="s">
        <v>107</v>
      </c>
      <c r="AU40" s="182"/>
      <c r="AV40" s="182"/>
      <c r="AW40" s="182"/>
      <c r="AX40" s="182"/>
      <c r="AY40" s="182"/>
      <c r="AZ40" s="182"/>
    </row>
    <row r="41" spans="1:52" x14ac:dyDescent="0.25">
      <c r="H41" s="80"/>
      <c r="J41" s="1"/>
      <c r="K41" s="1"/>
      <c r="S41" s="182" t="s">
        <v>111</v>
      </c>
      <c r="T41" s="13" t="s">
        <v>112</v>
      </c>
      <c r="U41" s="10">
        <v>7.77</v>
      </c>
      <c r="V41" s="10">
        <v>5.38</v>
      </c>
      <c r="W41" s="10">
        <v>5.94</v>
      </c>
      <c r="X41" s="10">
        <f t="shared" ref="X41:X42" si="26">AVERAGE(U41:W41)</f>
        <v>6.3633333333333333</v>
      </c>
      <c r="Y41" s="11" t="s">
        <v>108</v>
      </c>
      <c r="AB41" s="182" t="s">
        <v>111</v>
      </c>
      <c r="AC41" s="13" t="s">
        <v>112</v>
      </c>
      <c r="AD41" s="10">
        <v>13.13</v>
      </c>
      <c r="AE41" s="10">
        <v>10.38</v>
      </c>
      <c r="AF41" s="10">
        <v>8.74</v>
      </c>
      <c r="AG41" s="10">
        <f t="shared" ref="AG41:AG42" si="27">AVERAGE(AD41:AF41)</f>
        <v>10.75</v>
      </c>
      <c r="AH41" s="11" t="s">
        <v>108</v>
      </c>
      <c r="AK41" s="182" t="s">
        <v>111</v>
      </c>
      <c r="AL41" s="13" t="s">
        <v>112</v>
      </c>
      <c r="AM41" s="10">
        <v>9.23</v>
      </c>
      <c r="AN41" s="10">
        <v>12.13</v>
      </c>
      <c r="AO41" s="10">
        <v>14.04</v>
      </c>
      <c r="AP41" s="10">
        <f t="shared" ref="AP41:AP42" si="28">AVERAGE(AM41:AO41)</f>
        <v>11.799999999999999</v>
      </c>
      <c r="AQ41" s="11" t="s">
        <v>108</v>
      </c>
      <c r="AT41" s="182" t="s">
        <v>111</v>
      </c>
      <c r="AU41" s="13" t="s">
        <v>112</v>
      </c>
      <c r="AV41" s="10">
        <v>6.07</v>
      </c>
      <c r="AW41" s="10">
        <v>7.37</v>
      </c>
      <c r="AX41" s="10">
        <v>7.96</v>
      </c>
      <c r="AY41" s="10">
        <f t="shared" ref="AY41:AY42" si="29">AVERAGE(AV41:AX41)</f>
        <v>7.1333333333333337</v>
      </c>
      <c r="AZ41" s="11" t="s">
        <v>108</v>
      </c>
    </row>
    <row r="42" spans="1:52" x14ac:dyDescent="0.25">
      <c r="H42" s="80"/>
      <c r="J42" s="1"/>
      <c r="K42" s="1"/>
      <c r="S42" s="182"/>
      <c r="T42" s="13" t="s">
        <v>109</v>
      </c>
      <c r="U42" s="10">
        <v>0.01</v>
      </c>
      <c r="V42" s="10">
        <v>0.01</v>
      </c>
      <c r="W42" s="10">
        <v>0.01</v>
      </c>
      <c r="X42" s="14">
        <f t="shared" si="26"/>
        <v>0.01</v>
      </c>
      <c r="Y42" s="11" t="s">
        <v>110</v>
      </c>
      <c r="AB42" s="182"/>
      <c r="AC42" s="13" t="s">
        <v>109</v>
      </c>
      <c r="AD42" s="10">
        <v>0.01</v>
      </c>
      <c r="AE42" s="10">
        <v>0.01</v>
      </c>
      <c r="AF42" s="10">
        <v>0.01</v>
      </c>
      <c r="AG42" s="14">
        <f t="shared" si="27"/>
        <v>0.01</v>
      </c>
      <c r="AH42" s="11" t="s">
        <v>110</v>
      </c>
      <c r="AK42" s="182"/>
      <c r="AL42" s="13" t="s">
        <v>109</v>
      </c>
      <c r="AM42" s="10">
        <v>0.03</v>
      </c>
      <c r="AN42" s="10">
        <v>0.04</v>
      </c>
      <c r="AO42" s="10">
        <v>0.05</v>
      </c>
      <c r="AP42" s="14">
        <f t="shared" si="28"/>
        <v>0.04</v>
      </c>
      <c r="AQ42" s="11" t="s">
        <v>110</v>
      </c>
      <c r="AT42" s="182"/>
      <c r="AU42" s="13" t="s">
        <v>109</v>
      </c>
      <c r="AV42" s="10">
        <v>0.03</v>
      </c>
      <c r="AW42" s="10">
        <v>0.04</v>
      </c>
      <c r="AX42" s="10">
        <v>0.04</v>
      </c>
      <c r="AY42" s="14">
        <f t="shared" si="29"/>
        <v>3.6666666666666674E-2</v>
      </c>
      <c r="AZ42" s="11" t="s">
        <v>110</v>
      </c>
    </row>
    <row r="43" spans="1:52" x14ac:dyDescent="0.25">
      <c r="H43" s="80"/>
      <c r="J43" s="1"/>
      <c r="K43" s="1"/>
    </row>
    <row r="44" spans="1:52" x14ac:dyDescent="0.25">
      <c r="H44" s="80"/>
      <c r="J44" s="1"/>
      <c r="K44" s="1"/>
    </row>
    <row r="45" spans="1:52" x14ac:dyDescent="0.25">
      <c r="S45" s="183" t="s">
        <v>115</v>
      </c>
      <c r="T45" s="183"/>
      <c r="U45" s="183"/>
      <c r="V45" s="183"/>
      <c r="W45" s="183"/>
      <c r="X45" s="183"/>
      <c r="Y45" s="183"/>
      <c r="AB45" s="183" t="s">
        <v>120</v>
      </c>
      <c r="AC45" s="183"/>
      <c r="AD45" s="183"/>
      <c r="AE45" s="183"/>
      <c r="AF45" s="183"/>
      <c r="AG45" s="183"/>
      <c r="AH45" s="183"/>
      <c r="AK45" s="183" t="s">
        <v>125</v>
      </c>
      <c r="AL45" s="183"/>
      <c r="AM45" s="183"/>
      <c r="AN45" s="183"/>
      <c r="AO45" s="183"/>
      <c r="AP45" s="183"/>
      <c r="AQ45" s="183"/>
      <c r="AT45" s="183" t="s">
        <v>130</v>
      </c>
      <c r="AU45" s="183"/>
      <c r="AV45" s="183"/>
      <c r="AW45" s="183"/>
      <c r="AX45" s="183"/>
      <c r="AY45" s="183"/>
      <c r="AZ45" s="183"/>
    </row>
    <row r="46" spans="1:52" x14ac:dyDescent="0.25">
      <c r="S46" s="184" t="s">
        <v>119</v>
      </c>
      <c r="T46" s="184"/>
      <c r="U46" s="184"/>
      <c r="V46" s="184"/>
      <c r="W46" s="184"/>
      <c r="X46" s="184"/>
      <c r="Y46" s="184"/>
      <c r="AB46" s="184" t="s">
        <v>124</v>
      </c>
      <c r="AC46" s="184"/>
      <c r="AD46" s="184"/>
      <c r="AE46" s="184"/>
      <c r="AF46" s="184"/>
      <c r="AG46" s="184"/>
      <c r="AH46" s="184"/>
      <c r="AK46" s="184" t="s">
        <v>127</v>
      </c>
      <c r="AL46" s="184"/>
      <c r="AM46" s="184"/>
      <c r="AN46" s="184"/>
      <c r="AO46" s="184"/>
      <c r="AP46" s="184"/>
      <c r="AQ46" s="184"/>
      <c r="AT46" s="184" t="s">
        <v>133</v>
      </c>
      <c r="AU46" s="184"/>
      <c r="AV46" s="184"/>
      <c r="AW46" s="184"/>
      <c r="AX46" s="184"/>
      <c r="AY46" s="184"/>
      <c r="AZ46" s="184"/>
    </row>
    <row r="47" spans="1:52" x14ac:dyDescent="0.25">
      <c r="S47" s="182" t="s">
        <v>96</v>
      </c>
      <c r="T47" s="182"/>
      <c r="U47" s="188" t="s">
        <v>97</v>
      </c>
      <c r="V47" s="188"/>
      <c r="W47" s="188"/>
      <c r="X47" s="182" t="s">
        <v>98</v>
      </c>
      <c r="Y47" s="182" t="s">
        <v>99</v>
      </c>
      <c r="AB47" s="180" t="s">
        <v>96</v>
      </c>
      <c r="AC47" s="180"/>
      <c r="AD47" s="185" t="s">
        <v>97</v>
      </c>
      <c r="AE47" s="185"/>
      <c r="AF47" s="185"/>
      <c r="AG47" s="180" t="s">
        <v>98</v>
      </c>
      <c r="AH47" s="180" t="s">
        <v>99</v>
      </c>
      <c r="AK47" s="180" t="s">
        <v>96</v>
      </c>
      <c r="AL47" s="180"/>
      <c r="AM47" s="185" t="s">
        <v>97</v>
      </c>
      <c r="AN47" s="185"/>
      <c r="AO47" s="185"/>
      <c r="AP47" s="180" t="s">
        <v>98</v>
      </c>
      <c r="AQ47" s="180" t="s">
        <v>99</v>
      </c>
      <c r="AT47" s="180" t="s">
        <v>96</v>
      </c>
      <c r="AU47" s="180"/>
      <c r="AV47" s="185" t="s">
        <v>97</v>
      </c>
      <c r="AW47" s="185"/>
      <c r="AX47" s="185"/>
      <c r="AY47" s="180" t="s">
        <v>98</v>
      </c>
      <c r="AZ47" s="180" t="s">
        <v>99</v>
      </c>
    </row>
    <row r="48" spans="1:52" x14ac:dyDescent="0.25">
      <c r="S48" s="182"/>
      <c r="T48" s="182"/>
      <c r="U48" s="11">
        <v>1</v>
      </c>
      <c r="V48" s="11">
        <v>2</v>
      </c>
      <c r="W48" s="11">
        <v>3</v>
      </c>
      <c r="X48" s="182"/>
      <c r="Y48" s="182"/>
      <c r="AB48" s="180"/>
      <c r="AC48" s="180"/>
      <c r="AD48" s="9">
        <v>1</v>
      </c>
      <c r="AE48" s="9">
        <v>2</v>
      </c>
      <c r="AF48" s="9">
        <v>3</v>
      </c>
      <c r="AG48" s="180"/>
      <c r="AH48" s="180"/>
      <c r="AK48" s="180"/>
      <c r="AL48" s="180"/>
      <c r="AM48" s="9">
        <v>1</v>
      </c>
      <c r="AN48" s="9">
        <v>2</v>
      </c>
      <c r="AO48" s="9">
        <v>3</v>
      </c>
      <c r="AP48" s="180"/>
      <c r="AQ48" s="180"/>
      <c r="AT48" s="180"/>
      <c r="AU48" s="180"/>
      <c r="AV48" s="9">
        <v>1</v>
      </c>
      <c r="AW48" s="9">
        <v>2</v>
      </c>
      <c r="AX48" s="9">
        <v>3</v>
      </c>
      <c r="AY48" s="180"/>
      <c r="AZ48" s="180"/>
    </row>
    <row r="49" spans="19:52" x14ac:dyDescent="0.25">
      <c r="S49" s="182" t="s">
        <v>100</v>
      </c>
      <c r="T49" s="182"/>
      <c r="U49" s="182"/>
      <c r="V49" s="182"/>
      <c r="W49" s="182"/>
      <c r="X49" s="182"/>
      <c r="Y49" s="182"/>
      <c r="AB49" s="180" t="s">
        <v>100</v>
      </c>
      <c r="AC49" s="180"/>
      <c r="AD49" s="180"/>
      <c r="AE49" s="180"/>
      <c r="AF49" s="180"/>
      <c r="AG49" s="180"/>
      <c r="AH49" s="180"/>
      <c r="AK49" s="180" t="s">
        <v>100</v>
      </c>
      <c r="AL49" s="180"/>
      <c r="AM49" s="180"/>
      <c r="AN49" s="180"/>
      <c r="AO49" s="180"/>
      <c r="AP49" s="180"/>
      <c r="AQ49" s="180"/>
      <c r="AT49" s="180" t="s">
        <v>100</v>
      </c>
      <c r="AU49" s="180"/>
      <c r="AV49" s="180"/>
      <c r="AW49" s="180"/>
      <c r="AX49" s="180"/>
      <c r="AY49" s="180"/>
      <c r="AZ49" s="180"/>
    </row>
    <row r="50" spans="19:52" x14ac:dyDescent="0.25">
      <c r="S50" s="181" t="s">
        <v>113</v>
      </c>
      <c r="T50" s="181"/>
      <c r="U50" s="10">
        <v>309.67</v>
      </c>
      <c r="V50" s="10">
        <v>310.29000000000002</v>
      </c>
      <c r="W50" s="10">
        <v>310.70999999999998</v>
      </c>
      <c r="X50" s="10">
        <f>AVERAGE(U50:W50)</f>
        <v>310.22333333333336</v>
      </c>
      <c r="Y50" s="11" t="s">
        <v>114</v>
      </c>
      <c r="AB50" s="181" t="s">
        <v>113</v>
      </c>
      <c r="AC50" s="181"/>
      <c r="AD50" s="10">
        <v>307.63</v>
      </c>
      <c r="AE50" s="10">
        <v>294.83</v>
      </c>
      <c r="AF50" s="10">
        <v>305.45999999999998</v>
      </c>
      <c r="AG50" s="10">
        <f>AVERAGE(AD50:AF50)</f>
        <v>302.64000000000004</v>
      </c>
      <c r="AH50" s="11" t="s">
        <v>114</v>
      </c>
      <c r="AK50" s="181" t="s">
        <v>113</v>
      </c>
      <c r="AL50" s="181"/>
      <c r="AM50" s="10">
        <v>305.29000000000002</v>
      </c>
      <c r="AN50" s="10">
        <v>304.88</v>
      </c>
      <c r="AO50" s="10">
        <v>305.13</v>
      </c>
      <c r="AP50" s="10">
        <f>AVERAGE(AM50:AO50)</f>
        <v>305.10000000000002</v>
      </c>
      <c r="AQ50" s="11" t="s">
        <v>114</v>
      </c>
      <c r="AT50" s="181" t="s">
        <v>113</v>
      </c>
      <c r="AU50" s="181"/>
      <c r="AV50" s="10">
        <v>306.13</v>
      </c>
      <c r="AW50" s="10">
        <v>308.17</v>
      </c>
      <c r="AX50" s="10">
        <v>308.08</v>
      </c>
      <c r="AY50" s="10">
        <f>AVERAGE(AV50:AX50)</f>
        <v>307.45999999999998</v>
      </c>
      <c r="AZ50" s="11" t="s">
        <v>114</v>
      </c>
    </row>
    <row r="51" spans="19:52" x14ac:dyDescent="0.25">
      <c r="S51" s="181" t="s">
        <v>101</v>
      </c>
      <c r="T51" s="181"/>
      <c r="U51" s="10">
        <v>11.22</v>
      </c>
      <c r="V51" s="10">
        <v>11.24</v>
      </c>
      <c r="W51" s="10">
        <v>11.25</v>
      </c>
      <c r="X51" s="10">
        <f t="shared" ref="X51" si="30">AVERAGE(U51:W51)</f>
        <v>11.236666666666666</v>
      </c>
      <c r="Y51" s="11" t="s">
        <v>102</v>
      </c>
      <c r="AB51" s="181" t="s">
        <v>101</v>
      </c>
      <c r="AC51" s="181"/>
      <c r="AD51" s="10">
        <v>12.37</v>
      </c>
      <c r="AE51" s="10">
        <v>12.11</v>
      </c>
      <c r="AF51" s="10">
        <v>12.33</v>
      </c>
      <c r="AG51" s="10">
        <f t="shared" ref="AG51" si="31">AVERAGE(AD51:AF51)</f>
        <v>12.269999999999998</v>
      </c>
      <c r="AH51" s="11" t="s">
        <v>102</v>
      </c>
      <c r="AK51" s="181" t="s">
        <v>101</v>
      </c>
      <c r="AL51" s="181"/>
      <c r="AM51" s="10">
        <v>16.54</v>
      </c>
      <c r="AN51" s="10">
        <v>16.559999999999999</v>
      </c>
      <c r="AO51" s="10">
        <v>16.75</v>
      </c>
      <c r="AP51" s="10">
        <f t="shared" ref="AP51" si="32">AVERAGE(AM51:AO51)</f>
        <v>16.616666666666664</v>
      </c>
      <c r="AQ51" s="11" t="s">
        <v>102</v>
      </c>
      <c r="AT51" s="181" t="s">
        <v>101</v>
      </c>
      <c r="AU51" s="181"/>
      <c r="AV51" s="10">
        <v>16.27</v>
      </c>
      <c r="AW51" s="10">
        <v>16.350000000000001</v>
      </c>
      <c r="AX51" s="10">
        <v>16.36</v>
      </c>
      <c r="AY51" s="10">
        <f t="shared" ref="AY51" si="33">AVERAGE(AV51:AX51)</f>
        <v>16.326666666666668</v>
      </c>
      <c r="AZ51" s="11" t="s">
        <v>102</v>
      </c>
    </row>
    <row r="52" spans="19:52" x14ac:dyDescent="0.25">
      <c r="S52" s="181" t="s">
        <v>103</v>
      </c>
      <c r="T52" s="181"/>
      <c r="U52" s="12">
        <v>2854.01</v>
      </c>
      <c r="V52" s="12">
        <v>2860.94</v>
      </c>
      <c r="W52" s="12">
        <v>2862.87</v>
      </c>
      <c r="X52" s="12">
        <f>AVERAGE(U52:W52)</f>
        <v>2859.2733333333331</v>
      </c>
      <c r="Y52" s="11" t="s">
        <v>104</v>
      </c>
      <c r="AB52" s="181" t="s">
        <v>103</v>
      </c>
      <c r="AC52" s="181"/>
      <c r="AD52" s="12">
        <v>3147.74</v>
      </c>
      <c r="AE52" s="12">
        <v>3082</v>
      </c>
      <c r="AF52" s="12">
        <v>3137.92</v>
      </c>
      <c r="AG52" s="12">
        <f>AVERAGE(AD52:AF52)</f>
        <v>3122.5533333333333</v>
      </c>
      <c r="AH52" s="11" t="s">
        <v>104</v>
      </c>
      <c r="AK52" s="181" t="s">
        <v>103</v>
      </c>
      <c r="AL52" s="181"/>
      <c r="AM52" s="12">
        <v>4208.97</v>
      </c>
      <c r="AN52" s="12">
        <v>4213.6099999999997</v>
      </c>
      <c r="AO52" s="12">
        <v>4262.2</v>
      </c>
      <c r="AP52" s="12">
        <f>AVERAGE(AM52:AO52)</f>
        <v>4228.2599999999993</v>
      </c>
      <c r="AQ52" s="11" t="s">
        <v>104</v>
      </c>
      <c r="AT52" s="181" t="s">
        <v>103</v>
      </c>
      <c r="AU52" s="181"/>
      <c r="AV52" s="12">
        <v>4140.16</v>
      </c>
      <c r="AW52" s="12">
        <v>4160.83</v>
      </c>
      <c r="AX52" s="12">
        <v>4163.54</v>
      </c>
      <c r="AY52" s="12">
        <f>AVERAGE(AV52:AX52)</f>
        <v>4154.8433333333332</v>
      </c>
      <c r="AZ52" s="11" t="s">
        <v>104</v>
      </c>
    </row>
    <row r="53" spans="19:52" x14ac:dyDescent="0.25">
      <c r="S53" s="181" t="s">
        <v>105</v>
      </c>
      <c r="T53" s="181"/>
      <c r="U53" s="12">
        <v>2378.4699999999998</v>
      </c>
      <c r="V53" s="12">
        <v>2361.0300000000002</v>
      </c>
      <c r="W53" s="12">
        <v>2359.42</v>
      </c>
      <c r="X53" s="12">
        <f>AVERAGE(U53:W53)</f>
        <v>2366.3066666666668</v>
      </c>
      <c r="Y53" s="11" t="s">
        <v>106</v>
      </c>
      <c r="AB53" s="181" t="s">
        <v>105</v>
      </c>
      <c r="AC53" s="181"/>
      <c r="AD53" s="12">
        <v>2639.53</v>
      </c>
      <c r="AE53" s="12">
        <v>2694.63</v>
      </c>
      <c r="AF53" s="12">
        <v>2644.01</v>
      </c>
      <c r="AG53" s="12">
        <f>AVERAGE(AD53:AF53)</f>
        <v>2659.39</v>
      </c>
      <c r="AH53" s="11" t="s">
        <v>106</v>
      </c>
      <c r="AK53" s="181" t="s">
        <v>105</v>
      </c>
      <c r="AL53" s="181"/>
      <c r="AM53" s="12">
        <v>3608.15</v>
      </c>
      <c r="AN53" s="12">
        <v>3572.68</v>
      </c>
      <c r="AO53" s="12">
        <v>3429.37</v>
      </c>
      <c r="AP53" s="12">
        <f>AVERAGE(AM53:AO53)</f>
        <v>3536.7333333333336</v>
      </c>
      <c r="AQ53" s="11" t="s">
        <v>106</v>
      </c>
      <c r="AT53" s="181" t="s">
        <v>105</v>
      </c>
      <c r="AU53" s="181"/>
      <c r="AV53" s="12">
        <v>3535.75</v>
      </c>
      <c r="AW53" s="12">
        <v>3517.49</v>
      </c>
      <c r="AX53" s="12">
        <v>3486.25</v>
      </c>
      <c r="AY53" s="12">
        <f>AVERAGE(AV53:AX53)</f>
        <v>3513.1633333333334</v>
      </c>
      <c r="AZ53" s="11" t="s">
        <v>106</v>
      </c>
    </row>
    <row r="54" spans="19:52" x14ac:dyDescent="0.25">
      <c r="S54" s="182" t="s">
        <v>107</v>
      </c>
      <c r="T54" s="182"/>
      <c r="U54" s="182"/>
      <c r="V54" s="182"/>
      <c r="W54" s="182"/>
      <c r="X54" s="182"/>
      <c r="Y54" s="182"/>
      <c r="AB54" s="182" t="s">
        <v>107</v>
      </c>
      <c r="AC54" s="182"/>
      <c r="AD54" s="182"/>
      <c r="AE54" s="182"/>
      <c r="AF54" s="182"/>
      <c r="AG54" s="182"/>
      <c r="AH54" s="182"/>
      <c r="AK54" s="182" t="s">
        <v>107</v>
      </c>
      <c r="AL54" s="182"/>
      <c r="AM54" s="182"/>
      <c r="AN54" s="182"/>
      <c r="AO54" s="182"/>
      <c r="AP54" s="182"/>
      <c r="AQ54" s="182"/>
      <c r="AT54" s="182" t="s">
        <v>107</v>
      </c>
      <c r="AU54" s="182"/>
      <c r="AV54" s="182"/>
      <c r="AW54" s="182"/>
      <c r="AX54" s="182"/>
      <c r="AY54" s="182"/>
      <c r="AZ54" s="182"/>
    </row>
    <row r="55" spans="19:52" x14ac:dyDescent="0.25">
      <c r="S55" s="182" t="s">
        <v>111</v>
      </c>
      <c r="T55" s="13" t="s">
        <v>112</v>
      </c>
      <c r="U55" s="10">
        <v>6.54</v>
      </c>
      <c r="V55" s="10">
        <v>7.64</v>
      </c>
      <c r="W55" s="10">
        <v>7.54</v>
      </c>
      <c r="X55" s="10">
        <f t="shared" ref="X55:X56" si="34">AVERAGE(U55:W55)</f>
        <v>7.2399999999999993</v>
      </c>
      <c r="Y55" s="11" t="s">
        <v>108</v>
      </c>
      <c r="AB55" s="182" t="s">
        <v>111</v>
      </c>
      <c r="AC55" s="13" t="s">
        <v>112</v>
      </c>
      <c r="AD55" s="10">
        <v>15.69</v>
      </c>
      <c r="AE55" s="10">
        <v>18.739999999999998</v>
      </c>
      <c r="AF55" s="10">
        <v>12.18</v>
      </c>
      <c r="AG55" s="10">
        <f t="shared" ref="AG55:AG56" si="35">AVERAGE(AD55:AF55)</f>
        <v>15.536666666666667</v>
      </c>
      <c r="AH55" s="11" t="s">
        <v>108</v>
      </c>
      <c r="AK55" s="182" t="s">
        <v>111</v>
      </c>
      <c r="AL55" s="13" t="s">
        <v>112</v>
      </c>
      <c r="AM55" s="10">
        <v>12.8</v>
      </c>
      <c r="AN55" s="10">
        <v>16.63</v>
      </c>
      <c r="AO55" s="10">
        <v>18.45</v>
      </c>
      <c r="AP55" s="10">
        <f t="shared" ref="AP55:AP56" si="36">AVERAGE(AM55:AO55)</f>
        <v>15.959999999999999</v>
      </c>
      <c r="AQ55" s="11" t="s">
        <v>108</v>
      </c>
      <c r="AT55" s="182" t="s">
        <v>111</v>
      </c>
      <c r="AU55" s="13" t="s">
        <v>112</v>
      </c>
      <c r="AV55" s="10">
        <v>8.82</v>
      </c>
      <c r="AW55" s="10">
        <v>9.3000000000000007</v>
      </c>
      <c r="AX55" s="10">
        <v>10.37</v>
      </c>
      <c r="AY55" s="10">
        <f t="shared" ref="AY55:AY56" si="37">AVERAGE(AV55:AX55)</f>
        <v>9.4966666666666679</v>
      </c>
      <c r="AZ55" s="11" t="s">
        <v>108</v>
      </c>
    </row>
    <row r="56" spans="19:52" x14ac:dyDescent="0.25">
      <c r="S56" s="182"/>
      <c r="T56" s="13" t="s">
        <v>109</v>
      </c>
      <c r="U56" s="10">
        <v>0.02</v>
      </c>
      <c r="V56" s="10">
        <v>0.02</v>
      </c>
      <c r="W56" s="10">
        <v>0.02</v>
      </c>
      <c r="X56" s="14">
        <f t="shared" si="34"/>
        <v>0.02</v>
      </c>
      <c r="Y56" s="11" t="s">
        <v>110</v>
      </c>
      <c r="AB56" s="182"/>
      <c r="AC56" s="13" t="s">
        <v>109</v>
      </c>
      <c r="AD56" s="10">
        <v>0.04</v>
      </c>
      <c r="AE56" s="10">
        <v>0.05</v>
      </c>
      <c r="AF56" s="10">
        <v>0.03</v>
      </c>
      <c r="AG56" s="14">
        <f t="shared" si="35"/>
        <v>0.04</v>
      </c>
      <c r="AH56" s="11" t="s">
        <v>110</v>
      </c>
      <c r="AK56" s="182"/>
      <c r="AL56" s="13" t="s">
        <v>109</v>
      </c>
      <c r="AM56" s="10">
        <v>0.05</v>
      </c>
      <c r="AN56" s="10">
        <v>0.06</v>
      </c>
      <c r="AO56" s="10">
        <v>0.06</v>
      </c>
      <c r="AP56" s="14">
        <f t="shared" si="36"/>
        <v>5.6666666666666664E-2</v>
      </c>
      <c r="AQ56" s="11" t="s">
        <v>110</v>
      </c>
      <c r="AT56" s="182"/>
      <c r="AU56" s="13" t="s">
        <v>109</v>
      </c>
      <c r="AV56" s="10">
        <v>0.03</v>
      </c>
      <c r="AW56" s="10">
        <v>0.03</v>
      </c>
      <c r="AX56" s="10">
        <v>0.04</v>
      </c>
      <c r="AY56" s="14">
        <f t="shared" si="37"/>
        <v>3.3333333333333333E-2</v>
      </c>
      <c r="AZ56" s="11" t="s">
        <v>110</v>
      </c>
    </row>
    <row r="59" spans="19:52" x14ac:dyDescent="0.25">
      <c r="AK59" s="183" t="s">
        <v>125</v>
      </c>
      <c r="AL59" s="183"/>
      <c r="AM59" s="183"/>
      <c r="AN59" s="183"/>
      <c r="AO59" s="183"/>
      <c r="AP59" s="183"/>
      <c r="AQ59" s="183"/>
    </row>
    <row r="60" spans="19:52" x14ac:dyDescent="0.25">
      <c r="AK60" s="184" t="s">
        <v>128</v>
      </c>
      <c r="AL60" s="184"/>
      <c r="AM60" s="184"/>
      <c r="AN60" s="184"/>
      <c r="AO60" s="184"/>
      <c r="AP60" s="184"/>
      <c r="AQ60" s="184"/>
    </row>
    <row r="61" spans="19:52" x14ac:dyDescent="0.25">
      <c r="AK61" s="180" t="s">
        <v>96</v>
      </c>
      <c r="AL61" s="180"/>
      <c r="AM61" s="185" t="s">
        <v>97</v>
      </c>
      <c r="AN61" s="185"/>
      <c r="AO61" s="185"/>
      <c r="AP61" s="180" t="s">
        <v>98</v>
      </c>
      <c r="AQ61" s="180" t="s">
        <v>99</v>
      </c>
    </row>
    <row r="62" spans="19:52" x14ac:dyDescent="0.25">
      <c r="AK62" s="180"/>
      <c r="AL62" s="180"/>
      <c r="AM62" s="9">
        <v>1</v>
      </c>
      <c r="AN62" s="9">
        <v>2</v>
      </c>
      <c r="AO62" s="9">
        <v>3</v>
      </c>
      <c r="AP62" s="180"/>
      <c r="AQ62" s="180"/>
    </row>
    <row r="63" spans="19:52" x14ac:dyDescent="0.25">
      <c r="AK63" s="180" t="s">
        <v>100</v>
      </c>
      <c r="AL63" s="180"/>
      <c r="AM63" s="180"/>
      <c r="AN63" s="180"/>
      <c r="AO63" s="180"/>
      <c r="AP63" s="180"/>
      <c r="AQ63" s="180"/>
    </row>
    <row r="64" spans="19:52" x14ac:dyDescent="0.25">
      <c r="AK64" s="181" t="s">
        <v>113</v>
      </c>
      <c r="AL64" s="181"/>
      <c r="AM64" s="10">
        <v>305.95999999999998</v>
      </c>
      <c r="AN64" s="10">
        <v>306.63</v>
      </c>
      <c r="AO64" s="10">
        <v>307.08</v>
      </c>
      <c r="AP64" s="10">
        <f>AVERAGE(AM64:AO64)</f>
        <v>306.55666666666662</v>
      </c>
      <c r="AQ64" s="11" t="s">
        <v>114</v>
      </c>
    </row>
    <row r="65" spans="37:43" x14ac:dyDescent="0.25">
      <c r="AK65" s="181" t="s">
        <v>101</v>
      </c>
      <c r="AL65" s="181"/>
      <c r="AM65" s="10">
        <v>4.8099999999999996</v>
      </c>
      <c r="AN65" s="10">
        <v>4.68</v>
      </c>
      <c r="AO65" s="10">
        <v>4.6900000000000004</v>
      </c>
      <c r="AP65" s="10">
        <f t="shared" ref="AP65" si="38">AVERAGE(AM65:AO65)</f>
        <v>4.7266666666666666</v>
      </c>
      <c r="AQ65" s="11" t="s">
        <v>102</v>
      </c>
    </row>
    <row r="66" spans="37:43" x14ac:dyDescent="0.25">
      <c r="AK66" s="181" t="s">
        <v>103</v>
      </c>
      <c r="AL66" s="181"/>
      <c r="AM66" s="12">
        <v>1223.1199999999999</v>
      </c>
      <c r="AN66" s="12">
        <v>1190.6600000000001</v>
      </c>
      <c r="AO66" s="12">
        <v>1192.8699999999999</v>
      </c>
      <c r="AP66" s="12">
        <f>AVERAGE(AM66:AO66)</f>
        <v>1202.2166666666665</v>
      </c>
      <c r="AQ66" s="11" t="s">
        <v>104</v>
      </c>
    </row>
    <row r="67" spans="37:43" x14ac:dyDescent="0.25">
      <c r="AK67" s="181" t="s">
        <v>105</v>
      </c>
      <c r="AL67" s="181"/>
      <c r="AM67" s="12">
        <v>1049.5999999999999</v>
      </c>
      <c r="AN67" s="12">
        <v>1021.3</v>
      </c>
      <c r="AO67" s="12">
        <v>1015.52</v>
      </c>
      <c r="AP67" s="12">
        <f>AVERAGE(AM67:AO67)</f>
        <v>1028.8066666666666</v>
      </c>
      <c r="AQ67" s="11" t="s">
        <v>106</v>
      </c>
    </row>
    <row r="68" spans="37:43" x14ac:dyDescent="0.25">
      <c r="AK68" s="182" t="s">
        <v>107</v>
      </c>
      <c r="AL68" s="182"/>
      <c r="AM68" s="182"/>
      <c r="AN68" s="182"/>
      <c r="AO68" s="182"/>
      <c r="AP68" s="182"/>
      <c r="AQ68" s="182"/>
    </row>
    <row r="69" spans="37:43" x14ac:dyDescent="0.25">
      <c r="AK69" s="182" t="s">
        <v>111</v>
      </c>
      <c r="AL69" s="13" t="s">
        <v>112</v>
      </c>
      <c r="AM69" s="10">
        <v>4.97</v>
      </c>
      <c r="AN69" s="10">
        <v>6.42</v>
      </c>
      <c r="AO69" s="10">
        <v>5.89</v>
      </c>
      <c r="AP69" s="10">
        <f t="shared" ref="AP69:AP70" si="39">AVERAGE(AM69:AO69)</f>
        <v>5.7600000000000007</v>
      </c>
      <c r="AQ69" s="11" t="s">
        <v>108</v>
      </c>
    </row>
    <row r="70" spans="37:43" x14ac:dyDescent="0.25">
      <c r="AK70" s="182"/>
      <c r="AL70" s="13" t="s">
        <v>109</v>
      </c>
      <c r="AM70" s="10">
        <v>0.01</v>
      </c>
      <c r="AN70" s="10">
        <v>0.01</v>
      </c>
      <c r="AO70" s="10">
        <v>0.01</v>
      </c>
      <c r="AP70" s="14">
        <f t="shared" si="39"/>
        <v>0.01</v>
      </c>
      <c r="AQ70" s="11" t="s">
        <v>110</v>
      </c>
    </row>
    <row r="73" spans="37:43" x14ac:dyDescent="0.25">
      <c r="AK73" s="183" t="s">
        <v>125</v>
      </c>
      <c r="AL73" s="183"/>
      <c r="AM73" s="183"/>
      <c r="AN73" s="183"/>
      <c r="AO73" s="183"/>
      <c r="AP73" s="183"/>
      <c r="AQ73" s="183"/>
    </row>
    <row r="74" spans="37:43" x14ac:dyDescent="0.25">
      <c r="AK74" s="184" t="s">
        <v>129</v>
      </c>
      <c r="AL74" s="184"/>
      <c r="AM74" s="184"/>
      <c r="AN74" s="184"/>
      <c r="AO74" s="184"/>
      <c r="AP74" s="184"/>
      <c r="AQ74" s="184"/>
    </row>
    <row r="75" spans="37:43" x14ac:dyDescent="0.25">
      <c r="AK75" s="180" t="s">
        <v>96</v>
      </c>
      <c r="AL75" s="180"/>
      <c r="AM75" s="185" t="s">
        <v>97</v>
      </c>
      <c r="AN75" s="185"/>
      <c r="AO75" s="185"/>
      <c r="AP75" s="180" t="s">
        <v>98</v>
      </c>
      <c r="AQ75" s="180" t="s">
        <v>99</v>
      </c>
    </row>
    <row r="76" spans="37:43" x14ac:dyDescent="0.25">
      <c r="AK76" s="180"/>
      <c r="AL76" s="180"/>
      <c r="AM76" s="9">
        <v>1</v>
      </c>
      <c r="AN76" s="9">
        <v>2</v>
      </c>
      <c r="AO76" s="9">
        <v>3</v>
      </c>
      <c r="AP76" s="180"/>
      <c r="AQ76" s="180"/>
    </row>
    <row r="77" spans="37:43" x14ac:dyDescent="0.25">
      <c r="AK77" s="180" t="s">
        <v>100</v>
      </c>
      <c r="AL77" s="180"/>
      <c r="AM77" s="180"/>
      <c r="AN77" s="180"/>
      <c r="AO77" s="180"/>
      <c r="AP77" s="180"/>
      <c r="AQ77" s="180"/>
    </row>
    <row r="78" spans="37:43" x14ac:dyDescent="0.25">
      <c r="AK78" s="181" t="s">
        <v>113</v>
      </c>
      <c r="AL78" s="181"/>
      <c r="AM78" s="10">
        <v>309.25</v>
      </c>
      <c r="AN78" s="10">
        <v>309.25</v>
      </c>
      <c r="AO78" s="10">
        <v>309.20999999999998</v>
      </c>
      <c r="AP78" s="10">
        <f>AVERAGE(AM78:AO78)</f>
        <v>309.23666666666668</v>
      </c>
      <c r="AQ78" s="11" t="s">
        <v>114</v>
      </c>
    </row>
    <row r="79" spans="37:43" x14ac:dyDescent="0.25">
      <c r="AK79" s="181" t="s">
        <v>101</v>
      </c>
      <c r="AL79" s="181"/>
      <c r="AM79" s="10">
        <v>29.64</v>
      </c>
      <c r="AN79" s="10">
        <v>29.51</v>
      </c>
      <c r="AO79" s="10">
        <v>29.54</v>
      </c>
      <c r="AP79" s="10">
        <f t="shared" ref="AP79" si="40">AVERAGE(AM79:AO79)</f>
        <v>29.563333333333333</v>
      </c>
      <c r="AQ79" s="11" t="s">
        <v>102</v>
      </c>
    </row>
    <row r="80" spans="37:43" x14ac:dyDescent="0.25">
      <c r="AK80" s="181" t="s">
        <v>103</v>
      </c>
      <c r="AL80" s="181"/>
      <c r="AM80" s="12">
        <v>7543.11</v>
      </c>
      <c r="AN80" s="12">
        <v>7508.57</v>
      </c>
      <c r="AO80" s="12">
        <v>7516.08</v>
      </c>
      <c r="AP80" s="12">
        <f>AVERAGE(AM80:AO80)</f>
        <v>7522.586666666667</v>
      </c>
      <c r="AQ80" s="11" t="s">
        <v>104</v>
      </c>
    </row>
    <row r="81" spans="37:43" x14ac:dyDescent="0.25">
      <c r="AK81" s="181" t="s">
        <v>105</v>
      </c>
      <c r="AL81" s="181"/>
      <c r="AM81" s="12">
        <v>6422.73</v>
      </c>
      <c r="AN81" s="12">
        <v>6432.03</v>
      </c>
      <c r="AO81" s="12">
        <v>6442.66</v>
      </c>
      <c r="AP81" s="12">
        <f>AVERAGE(AM81:AO81)</f>
        <v>6432.4733333333324</v>
      </c>
      <c r="AQ81" s="11" t="s">
        <v>106</v>
      </c>
    </row>
    <row r="82" spans="37:43" x14ac:dyDescent="0.25">
      <c r="AK82" s="182" t="s">
        <v>107</v>
      </c>
      <c r="AL82" s="182"/>
      <c r="AM82" s="182"/>
      <c r="AN82" s="182"/>
      <c r="AO82" s="182"/>
      <c r="AP82" s="182"/>
      <c r="AQ82" s="182"/>
    </row>
    <row r="83" spans="37:43" x14ac:dyDescent="0.25">
      <c r="AK83" s="182" t="s">
        <v>111</v>
      </c>
      <c r="AL83" s="13" t="s">
        <v>112</v>
      </c>
      <c r="AM83" s="10">
        <v>14.48</v>
      </c>
      <c r="AN83" s="10">
        <v>14.91</v>
      </c>
      <c r="AO83" s="10">
        <v>17.23</v>
      </c>
      <c r="AP83" s="10">
        <f t="shared" ref="AP83:AP84" si="41">AVERAGE(AM83:AO83)</f>
        <v>15.540000000000001</v>
      </c>
      <c r="AQ83" s="11" t="s">
        <v>108</v>
      </c>
    </row>
    <row r="84" spans="37:43" x14ac:dyDescent="0.25">
      <c r="AK84" s="182"/>
      <c r="AL84" s="13" t="s">
        <v>109</v>
      </c>
      <c r="AM84" s="10">
        <v>0.09</v>
      </c>
      <c r="AN84" s="10">
        <v>0.1</v>
      </c>
      <c r="AO84" s="10">
        <v>0.11</v>
      </c>
      <c r="AP84" s="14">
        <f t="shared" si="41"/>
        <v>9.9999999999999992E-2</v>
      </c>
      <c r="AQ84" s="11" t="s">
        <v>110</v>
      </c>
    </row>
  </sheetData>
  <sheetProtection password="B056" sheet="1" objects="1" scenarios="1"/>
  <mergeCells count="264">
    <mergeCell ref="J23:K23"/>
    <mergeCell ref="J24:K24"/>
    <mergeCell ref="J25:K25"/>
    <mergeCell ref="J26:P26"/>
    <mergeCell ref="J27:J28"/>
    <mergeCell ref="A3:G3"/>
    <mergeCell ref="A4:A5"/>
    <mergeCell ref="B4:F4"/>
    <mergeCell ref="G4:G5"/>
    <mergeCell ref="J3:P3"/>
    <mergeCell ref="J4:P4"/>
    <mergeCell ref="J5:K6"/>
    <mergeCell ref="L5:N5"/>
    <mergeCell ref="O5:O6"/>
    <mergeCell ref="P5:P6"/>
    <mergeCell ref="J22:K22"/>
    <mergeCell ref="J18:P18"/>
    <mergeCell ref="J12:P12"/>
    <mergeCell ref="J13:J14"/>
    <mergeCell ref="J7:P7"/>
    <mergeCell ref="J8:K8"/>
    <mergeCell ref="J9:K9"/>
    <mergeCell ref="J10:K10"/>
    <mergeCell ref="J11:K11"/>
    <mergeCell ref="J17:P17"/>
    <mergeCell ref="J19:K20"/>
    <mergeCell ref="L19:N19"/>
    <mergeCell ref="O19:O20"/>
    <mergeCell ref="P19:P20"/>
    <mergeCell ref="J21:P21"/>
    <mergeCell ref="S7:Y7"/>
    <mergeCell ref="S8:T8"/>
    <mergeCell ref="S9:T9"/>
    <mergeCell ref="S10:T10"/>
    <mergeCell ref="S11:T11"/>
    <mergeCell ref="S3:Y3"/>
    <mergeCell ref="S4:Y4"/>
    <mergeCell ref="S5:T6"/>
    <mergeCell ref="U5:W5"/>
    <mergeCell ref="X5:X6"/>
    <mergeCell ref="Y5:Y6"/>
    <mergeCell ref="S21:Y21"/>
    <mergeCell ref="S22:T22"/>
    <mergeCell ref="S23:T23"/>
    <mergeCell ref="S24:T24"/>
    <mergeCell ref="S25:T25"/>
    <mergeCell ref="S12:Y12"/>
    <mergeCell ref="S13:S14"/>
    <mergeCell ref="S17:Y17"/>
    <mergeCell ref="S18:Y18"/>
    <mergeCell ref="S19:T20"/>
    <mergeCell ref="U19:W19"/>
    <mergeCell ref="X19:X20"/>
    <mergeCell ref="Y19:Y20"/>
    <mergeCell ref="S35:Y35"/>
    <mergeCell ref="S36:T36"/>
    <mergeCell ref="S37:T37"/>
    <mergeCell ref="S38:T38"/>
    <mergeCell ref="S39:T39"/>
    <mergeCell ref="S26:Y26"/>
    <mergeCell ref="S27:S28"/>
    <mergeCell ref="S31:Y31"/>
    <mergeCell ref="S32:Y32"/>
    <mergeCell ref="S33:T34"/>
    <mergeCell ref="U33:W33"/>
    <mergeCell ref="X33:X34"/>
    <mergeCell ref="Y33:Y34"/>
    <mergeCell ref="S52:T52"/>
    <mergeCell ref="S53:T53"/>
    <mergeCell ref="S40:Y40"/>
    <mergeCell ref="S41:S42"/>
    <mergeCell ref="S45:Y45"/>
    <mergeCell ref="S46:Y46"/>
    <mergeCell ref="S47:T48"/>
    <mergeCell ref="U47:W47"/>
    <mergeCell ref="X47:X48"/>
    <mergeCell ref="Y47:Y48"/>
    <mergeCell ref="AB18:AH18"/>
    <mergeCell ref="AB19:AC20"/>
    <mergeCell ref="AD19:AF19"/>
    <mergeCell ref="AG19:AG20"/>
    <mergeCell ref="AH19:AH20"/>
    <mergeCell ref="S54:Y54"/>
    <mergeCell ref="S55:S56"/>
    <mergeCell ref="AB3:AH3"/>
    <mergeCell ref="AB4:AH4"/>
    <mergeCell ref="AB5:AC6"/>
    <mergeCell ref="AD5:AF5"/>
    <mergeCell ref="AG5:AG6"/>
    <mergeCell ref="AH5:AH6"/>
    <mergeCell ref="AB7:AH7"/>
    <mergeCell ref="AB8:AC8"/>
    <mergeCell ref="AB9:AC9"/>
    <mergeCell ref="AB10:AC10"/>
    <mergeCell ref="AB11:AC11"/>
    <mergeCell ref="AB12:AH12"/>
    <mergeCell ref="AB13:AB14"/>
    <mergeCell ref="AB17:AH17"/>
    <mergeCell ref="S49:Y49"/>
    <mergeCell ref="S50:T50"/>
    <mergeCell ref="S51:T51"/>
    <mergeCell ref="AB26:AH26"/>
    <mergeCell ref="AB27:AB28"/>
    <mergeCell ref="AB31:AH31"/>
    <mergeCell ref="AB32:AH32"/>
    <mergeCell ref="AB33:AC34"/>
    <mergeCell ref="AD33:AF33"/>
    <mergeCell ref="AG33:AG34"/>
    <mergeCell ref="AH33:AH34"/>
    <mergeCell ref="AB21:AH21"/>
    <mergeCell ref="AB22:AC22"/>
    <mergeCell ref="AB23:AC23"/>
    <mergeCell ref="AB24:AC24"/>
    <mergeCell ref="AB25:AC25"/>
    <mergeCell ref="AB47:AC48"/>
    <mergeCell ref="AD47:AF47"/>
    <mergeCell ref="AG47:AG48"/>
    <mergeCell ref="AH47:AH48"/>
    <mergeCell ref="AB35:AH35"/>
    <mergeCell ref="AB36:AC36"/>
    <mergeCell ref="AB37:AC37"/>
    <mergeCell ref="AB38:AC38"/>
    <mergeCell ref="AB39:AC39"/>
    <mergeCell ref="AB54:AH54"/>
    <mergeCell ref="AB55:AB56"/>
    <mergeCell ref="AK3:AQ3"/>
    <mergeCell ref="AK4:AQ4"/>
    <mergeCell ref="AK5:AL6"/>
    <mergeCell ref="AM5:AO5"/>
    <mergeCell ref="AP5:AP6"/>
    <mergeCell ref="AQ5:AQ6"/>
    <mergeCell ref="AK7:AQ7"/>
    <mergeCell ref="AK8:AL8"/>
    <mergeCell ref="AK9:AL9"/>
    <mergeCell ref="AK10:AL10"/>
    <mergeCell ref="AK11:AL11"/>
    <mergeCell ref="AK12:AQ12"/>
    <mergeCell ref="AK13:AK14"/>
    <mergeCell ref="AB49:AH49"/>
    <mergeCell ref="AB50:AC50"/>
    <mergeCell ref="AB51:AC51"/>
    <mergeCell ref="AB52:AC52"/>
    <mergeCell ref="AB53:AC53"/>
    <mergeCell ref="AB40:AH40"/>
    <mergeCell ref="AB41:AB42"/>
    <mergeCell ref="AB45:AH45"/>
    <mergeCell ref="AB46:AH46"/>
    <mergeCell ref="AK21:AQ21"/>
    <mergeCell ref="AK22:AL22"/>
    <mergeCell ref="AK23:AL23"/>
    <mergeCell ref="AK24:AL24"/>
    <mergeCell ref="AK25:AL25"/>
    <mergeCell ref="AK17:AQ17"/>
    <mergeCell ref="AK18:AQ18"/>
    <mergeCell ref="AK19:AL20"/>
    <mergeCell ref="AM19:AO19"/>
    <mergeCell ref="AP19:AP20"/>
    <mergeCell ref="AQ19:AQ20"/>
    <mergeCell ref="AK35:AQ35"/>
    <mergeCell ref="AK36:AL36"/>
    <mergeCell ref="AK37:AL37"/>
    <mergeCell ref="AK38:AL38"/>
    <mergeCell ref="AK39:AL39"/>
    <mergeCell ref="AK26:AQ26"/>
    <mergeCell ref="AK27:AK28"/>
    <mergeCell ref="AK31:AQ31"/>
    <mergeCell ref="AK32:AQ32"/>
    <mergeCell ref="AK33:AL34"/>
    <mergeCell ref="AM33:AO33"/>
    <mergeCell ref="AP33:AP34"/>
    <mergeCell ref="AQ33:AQ34"/>
    <mergeCell ref="AK49:AQ49"/>
    <mergeCell ref="AK50:AL50"/>
    <mergeCell ref="AK51:AL51"/>
    <mergeCell ref="AK52:AL52"/>
    <mergeCell ref="AK53:AL53"/>
    <mergeCell ref="AK40:AQ40"/>
    <mergeCell ref="AK41:AK42"/>
    <mergeCell ref="AK45:AQ45"/>
    <mergeCell ref="AK46:AQ46"/>
    <mergeCell ref="AK47:AL48"/>
    <mergeCell ref="AM47:AO47"/>
    <mergeCell ref="AP47:AP48"/>
    <mergeCell ref="AQ47:AQ48"/>
    <mergeCell ref="AK63:AQ63"/>
    <mergeCell ref="AK64:AL64"/>
    <mergeCell ref="AK65:AL65"/>
    <mergeCell ref="AK66:AL66"/>
    <mergeCell ref="AK67:AL67"/>
    <mergeCell ref="AK54:AQ54"/>
    <mergeCell ref="AK55:AK56"/>
    <mergeCell ref="AK59:AQ59"/>
    <mergeCell ref="AK60:AQ60"/>
    <mergeCell ref="AK61:AL62"/>
    <mergeCell ref="AM61:AO61"/>
    <mergeCell ref="AP61:AP62"/>
    <mergeCell ref="AQ61:AQ62"/>
    <mergeCell ref="AK80:AL80"/>
    <mergeCell ref="AK81:AL81"/>
    <mergeCell ref="AK68:AQ68"/>
    <mergeCell ref="AK69:AK70"/>
    <mergeCell ref="AK73:AQ73"/>
    <mergeCell ref="AK74:AQ74"/>
    <mergeCell ref="AK75:AL76"/>
    <mergeCell ref="AM75:AO75"/>
    <mergeCell ref="AP75:AP76"/>
    <mergeCell ref="AQ75:AQ76"/>
    <mergeCell ref="AT18:AZ18"/>
    <mergeCell ref="AT19:AU20"/>
    <mergeCell ref="AV19:AX19"/>
    <mergeCell ref="AY19:AY20"/>
    <mergeCell ref="AZ19:AZ20"/>
    <mergeCell ref="AK82:AQ82"/>
    <mergeCell ref="AK83:AK84"/>
    <mergeCell ref="AT3:AZ3"/>
    <mergeCell ref="AT4:AZ4"/>
    <mergeCell ref="AT5:AU6"/>
    <mergeCell ref="AV5:AX5"/>
    <mergeCell ref="AY5:AY6"/>
    <mergeCell ref="AZ5:AZ6"/>
    <mergeCell ref="AT7:AZ7"/>
    <mergeCell ref="AT8:AU8"/>
    <mergeCell ref="AT9:AU9"/>
    <mergeCell ref="AT10:AU10"/>
    <mergeCell ref="AT11:AU11"/>
    <mergeCell ref="AT12:AZ12"/>
    <mergeCell ref="AT13:AT14"/>
    <mergeCell ref="AT17:AZ17"/>
    <mergeCell ref="AK77:AQ77"/>
    <mergeCell ref="AK78:AL78"/>
    <mergeCell ref="AK79:AL79"/>
    <mergeCell ref="AT26:AZ26"/>
    <mergeCell ref="AT27:AT28"/>
    <mergeCell ref="AT31:AZ31"/>
    <mergeCell ref="AT32:AZ32"/>
    <mergeCell ref="AT33:AU34"/>
    <mergeCell ref="AV33:AX33"/>
    <mergeCell ref="AY33:AY34"/>
    <mergeCell ref="AZ33:AZ34"/>
    <mergeCell ref="AT21:AZ21"/>
    <mergeCell ref="AT22:AU22"/>
    <mergeCell ref="AT23:AU23"/>
    <mergeCell ref="AT24:AU24"/>
    <mergeCell ref="AT25:AU25"/>
    <mergeCell ref="AT35:AZ35"/>
    <mergeCell ref="AT36:AU36"/>
    <mergeCell ref="AT37:AU37"/>
    <mergeCell ref="AT38:AU38"/>
    <mergeCell ref="AT39:AU39"/>
    <mergeCell ref="AT54:AZ54"/>
    <mergeCell ref="AT55:AT56"/>
    <mergeCell ref="AT49:AZ49"/>
    <mergeCell ref="AT50:AU50"/>
    <mergeCell ref="AT51:AU51"/>
    <mergeCell ref="AT52:AU52"/>
    <mergeCell ref="AT53:AU53"/>
    <mergeCell ref="AT40:AZ40"/>
    <mergeCell ref="AT41:AT42"/>
    <mergeCell ref="AT45:AZ45"/>
    <mergeCell ref="AT46:AZ46"/>
    <mergeCell ref="AT47:AU48"/>
    <mergeCell ref="AV47:AX47"/>
    <mergeCell ref="AY47:AY48"/>
    <mergeCell ref="AZ47:AZ4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"/>
  <sheetViews>
    <sheetView topLeftCell="A22" zoomScaleNormal="100" workbookViewId="0">
      <selection activeCell="C13" sqref="C13:D13"/>
    </sheetView>
  </sheetViews>
  <sheetFormatPr defaultRowHeight="15" x14ac:dyDescent="0.25"/>
  <cols>
    <col min="1" max="1" width="41.85546875" customWidth="1"/>
    <col min="2" max="2" width="37.5703125" customWidth="1"/>
    <col min="3" max="3" width="31" customWidth="1"/>
    <col min="4" max="4" width="19.7109375" customWidth="1"/>
    <col min="5" max="5" width="30.42578125" customWidth="1"/>
    <col min="6" max="10" width="20.85546875" customWidth="1"/>
  </cols>
  <sheetData>
    <row r="1" spans="1:10" x14ac:dyDescent="0.25">
      <c r="A1" s="20" t="s">
        <v>191</v>
      </c>
    </row>
    <row r="2" spans="1:10" x14ac:dyDescent="0.25">
      <c r="A2" s="20"/>
    </row>
    <row r="3" spans="1:10" x14ac:dyDescent="0.25">
      <c r="A3" s="2" t="s">
        <v>139</v>
      </c>
      <c r="B3" s="22">
        <v>10</v>
      </c>
    </row>
    <row r="4" spans="1:10" x14ac:dyDescent="0.25">
      <c r="A4" s="142" t="s">
        <v>1</v>
      </c>
      <c r="B4" s="142"/>
      <c r="C4" s="142"/>
      <c r="D4" s="142"/>
      <c r="E4" s="4"/>
      <c r="F4" s="109"/>
      <c r="G4" s="109"/>
      <c r="H4" s="109"/>
      <c r="I4" s="109"/>
      <c r="J4" s="4"/>
    </row>
    <row r="5" spans="1:10" ht="28.5" customHeight="1" x14ac:dyDescent="0.25">
      <c r="A5" s="118" t="s">
        <v>5</v>
      </c>
      <c r="B5" s="79" t="s">
        <v>15</v>
      </c>
      <c r="C5" s="79" t="s">
        <v>16</v>
      </c>
      <c r="D5" s="119" t="s">
        <v>76</v>
      </c>
      <c r="E5" s="4"/>
      <c r="F5" s="110"/>
      <c r="G5" s="110"/>
      <c r="H5" s="110"/>
      <c r="I5" s="109"/>
      <c r="J5" s="4"/>
    </row>
    <row r="6" spans="1:10" x14ac:dyDescent="0.25">
      <c r="A6" s="4" t="s">
        <v>8</v>
      </c>
      <c r="B6" s="4" t="s">
        <v>7</v>
      </c>
      <c r="C6" s="6">
        <v>900</v>
      </c>
      <c r="D6" s="7">
        <v>24</v>
      </c>
      <c r="E6" s="4"/>
      <c r="F6" s="109"/>
      <c r="G6" s="109"/>
      <c r="H6" s="109"/>
      <c r="I6" s="109"/>
      <c r="J6" s="4"/>
    </row>
    <row r="7" spans="1:10" x14ac:dyDescent="0.25">
      <c r="A7" s="4" t="s">
        <v>8</v>
      </c>
      <c r="B7" s="4" t="s">
        <v>9</v>
      </c>
      <c r="C7" s="6">
        <v>150</v>
      </c>
      <c r="D7" s="7">
        <v>8</v>
      </c>
      <c r="E7" s="4"/>
      <c r="F7" s="4"/>
      <c r="G7" s="4"/>
      <c r="H7" s="4"/>
      <c r="I7" s="4"/>
      <c r="J7" s="4"/>
    </row>
    <row r="8" spans="1:10" x14ac:dyDescent="0.25">
      <c r="A8" s="4" t="s">
        <v>8</v>
      </c>
      <c r="B8" s="4" t="s">
        <v>10</v>
      </c>
      <c r="C8" s="6">
        <v>500</v>
      </c>
      <c r="D8" s="7">
        <v>8</v>
      </c>
      <c r="E8" s="4"/>
      <c r="F8" s="4"/>
      <c r="G8" s="4"/>
      <c r="H8" s="4"/>
      <c r="I8" s="4"/>
      <c r="J8" s="4"/>
    </row>
    <row r="9" spans="1:10" x14ac:dyDescent="0.25">
      <c r="A9" s="4" t="s">
        <v>8</v>
      </c>
      <c r="B9" s="4" t="s">
        <v>11</v>
      </c>
      <c r="C9" s="6">
        <v>600</v>
      </c>
      <c r="D9" s="7">
        <v>8</v>
      </c>
      <c r="E9" s="4"/>
      <c r="F9" s="4"/>
      <c r="G9" s="4"/>
      <c r="H9" s="4"/>
      <c r="I9" s="4"/>
      <c r="J9" s="4"/>
    </row>
    <row r="10" spans="1:10" x14ac:dyDescent="0.25">
      <c r="A10" s="4" t="s">
        <v>8</v>
      </c>
      <c r="B10" s="4" t="s">
        <v>12</v>
      </c>
      <c r="C10" s="6">
        <v>320</v>
      </c>
      <c r="D10" s="7">
        <v>8</v>
      </c>
      <c r="E10" s="4"/>
      <c r="F10" s="4"/>
      <c r="G10" s="4"/>
      <c r="H10" s="4"/>
      <c r="I10" s="4"/>
      <c r="J10" s="4"/>
    </row>
    <row r="11" spans="1:10" x14ac:dyDescent="0.25">
      <c r="A11" s="4" t="s">
        <v>8</v>
      </c>
      <c r="B11" s="4" t="s">
        <v>13</v>
      </c>
      <c r="C11" s="6">
        <v>2044</v>
      </c>
      <c r="D11" s="7">
        <v>24</v>
      </c>
      <c r="E11" s="4"/>
      <c r="F11" s="4"/>
      <c r="G11" s="4"/>
      <c r="H11" s="4"/>
      <c r="I11" s="4"/>
      <c r="J11" s="4"/>
    </row>
    <row r="12" spans="1:10" x14ac:dyDescent="0.25">
      <c r="A12" s="4" t="s">
        <v>8</v>
      </c>
      <c r="B12" s="4" t="s">
        <v>14</v>
      </c>
      <c r="C12" s="6">
        <v>750</v>
      </c>
      <c r="D12" s="7">
        <v>24</v>
      </c>
      <c r="E12" s="4"/>
      <c r="F12" s="4"/>
      <c r="G12" s="4"/>
      <c r="H12" s="4"/>
      <c r="I12" s="4"/>
      <c r="J12" s="4"/>
    </row>
    <row r="13" spans="1:10" x14ac:dyDescent="0.25">
      <c r="A13" s="142" t="s">
        <v>2</v>
      </c>
      <c r="B13" s="142"/>
      <c r="C13" s="194">
        <f>SUM(C6:C12)</f>
        <v>5264</v>
      </c>
      <c r="D13" s="19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142" t="s">
        <v>17</v>
      </c>
      <c r="B15" s="142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6" t="s">
        <v>18</v>
      </c>
      <c r="B16" s="6" t="s">
        <v>19</v>
      </c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6" t="s">
        <v>20</v>
      </c>
      <c r="B17" s="125">
        <v>24000</v>
      </c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6" t="s">
        <v>21</v>
      </c>
      <c r="B18" s="125">
        <v>30000</v>
      </c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6" t="s">
        <v>22</v>
      </c>
      <c r="B19" s="125">
        <v>10000</v>
      </c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6" t="s">
        <v>23</v>
      </c>
      <c r="B20" s="125">
        <v>3000</v>
      </c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6" t="s">
        <v>24</v>
      </c>
      <c r="B21" s="125">
        <v>10000</v>
      </c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6" t="s">
        <v>25</v>
      </c>
      <c r="B22" s="125">
        <v>20000</v>
      </c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6"/>
      <c r="B23" s="6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38.25" customHeight="1" x14ac:dyDescent="0.25">
      <c r="A26" s="105" t="s">
        <v>241</v>
      </c>
      <c r="B26" s="105" t="s">
        <v>319</v>
      </c>
      <c r="C26" s="105" t="s">
        <v>320</v>
      </c>
      <c r="D26" s="105" t="s">
        <v>321</v>
      </c>
      <c r="E26" s="105" t="s">
        <v>322</v>
      </c>
      <c r="F26" s="105" t="s">
        <v>323</v>
      </c>
      <c r="G26" s="105" t="s">
        <v>324</v>
      </c>
      <c r="H26" s="105" t="s">
        <v>325</v>
      </c>
      <c r="I26" s="105" t="s">
        <v>326</v>
      </c>
      <c r="J26" s="105" t="s">
        <v>2</v>
      </c>
    </row>
    <row r="27" spans="1:10" x14ac:dyDescent="0.25">
      <c r="A27" s="5" t="s">
        <v>242</v>
      </c>
      <c r="B27" s="5">
        <v>0</v>
      </c>
      <c r="C27" s="5">
        <v>0</v>
      </c>
      <c r="D27" s="5">
        <v>592.91</v>
      </c>
      <c r="E27" s="5">
        <v>0</v>
      </c>
      <c r="F27" s="5">
        <v>27.14</v>
      </c>
      <c r="G27" s="5">
        <v>0</v>
      </c>
      <c r="H27" s="5">
        <v>76</v>
      </c>
      <c r="I27" s="5">
        <v>1765.64</v>
      </c>
      <c r="J27" s="5">
        <v>2461.69</v>
      </c>
    </row>
    <row r="28" spans="1:10" x14ac:dyDescent="0.25">
      <c r="A28" s="5" t="s">
        <v>243</v>
      </c>
      <c r="B28" s="5">
        <v>0</v>
      </c>
      <c r="C28" s="5">
        <v>0</v>
      </c>
      <c r="D28" s="5">
        <v>1571.03</v>
      </c>
      <c r="E28" s="5">
        <v>0</v>
      </c>
      <c r="F28" s="5">
        <v>53.48</v>
      </c>
      <c r="G28" s="5">
        <v>539.48</v>
      </c>
      <c r="H28" s="5">
        <v>54</v>
      </c>
      <c r="I28" s="5">
        <v>671.97</v>
      </c>
      <c r="J28" s="5">
        <v>2889.96</v>
      </c>
    </row>
    <row r="29" spans="1:10" x14ac:dyDescent="0.25">
      <c r="A29" s="5" t="s">
        <v>244</v>
      </c>
      <c r="B29" s="5">
        <v>0</v>
      </c>
      <c r="C29" s="5">
        <v>0</v>
      </c>
      <c r="D29" s="5">
        <v>0</v>
      </c>
      <c r="E29" s="5">
        <v>0</v>
      </c>
      <c r="F29" s="5">
        <v>420.12</v>
      </c>
      <c r="G29" s="5">
        <v>154.88</v>
      </c>
      <c r="H29" s="5">
        <v>54</v>
      </c>
      <c r="I29" s="5">
        <v>379.45</v>
      </c>
      <c r="J29" s="5">
        <v>1008.45</v>
      </c>
    </row>
    <row r="30" spans="1:10" x14ac:dyDescent="0.25">
      <c r="A30" s="5" t="s">
        <v>245</v>
      </c>
      <c r="B30" s="5">
        <v>0</v>
      </c>
      <c r="C30" s="5">
        <v>519.29999999999995</v>
      </c>
      <c r="D30" s="5">
        <v>0</v>
      </c>
      <c r="E30" s="5">
        <v>0</v>
      </c>
      <c r="F30" s="5">
        <v>0</v>
      </c>
      <c r="G30" s="5">
        <v>241.76</v>
      </c>
      <c r="H30" s="5">
        <v>0</v>
      </c>
      <c r="I30" s="5">
        <v>720.79</v>
      </c>
      <c r="J30" s="5">
        <v>1481.85</v>
      </c>
    </row>
    <row r="31" spans="1:10" x14ac:dyDescent="0.25">
      <c r="A31" s="5" t="s">
        <v>246</v>
      </c>
      <c r="B31" s="5">
        <v>0</v>
      </c>
      <c r="C31" s="5">
        <v>171.64</v>
      </c>
      <c r="D31" s="5">
        <v>0</v>
      </c>
      <c r="E31" s="5">
        <v>0</v>
      </c>
      <c r="F31" s="5">
        <v>336.78</v>
      </c>
      <c r="G31" s="5">
        <v>0</v>
      </c>
      <c r="H31" s="5">
        <v>0</v>
      </c>
      <c r="I31" s="5">
        <v>689.39</v>
      </c>
      <c r="J31" s="5">
        <v>1197.81</v>
      </c>
    </row>
    <row r="32" spans="1:10" x14ac:dyDescent="0.25">
      <c r="A32" s="5" t="s">
        <v>247</v>
      </c>
      <c r="B32" s="5">
        <v>0</v>
      </c>
      <c r="C32" s="5">
        <v>0</v>
      </c>
      <c r="D32" s="5">
        <v>450.11</v>
      </c>
      <c r="E32" s="5">
        <v>0</v>
      </c>
      <c r="F32" s="5">
        <v>419.34</v>
      </c>
      <c r="G32" s="5">
        <v>0</v>
      </c>
      <c r="H32" s="5">
        <v>0</v>
      </c>
      <c r="I32" s="5">
        <v>1049.17</v>
      </c>
      <c r="J32" s="5">
        <v>1918.62</v>
      </c>
    </row>
    <row r="33" spans="1:10" x14ac:dyDescent="0.25">
      <c r="A33" s="5" t="s">
        <v>248</v>
      </c>
      <c r="B33" s="5">
        <v>0</v>
      </c>
      <c r="C33" s="5">
        <v>0</v>
      </c>
      <c r="D33" s="5">
        <v>404.15</v>
      </c>
      <c r="E33" s="5">
        <v>0</v>
      </c>
      <c r="F33" s="5">
        <v>3689.07</v>
      </c>
      <c r="G33" s="5">
        <v>0</v>
      </c>
      <c r="H33" s="5">
        <v>0</v>
      </c>
      <c r="I33" s="5">
        <v>773.37</v>
      </c>
      <c r="J33" s="5">
        <v>4866.59</v>
      </c>
    </row>
    <row r="34" spans="1:10" x14ac:dyDescent="0.25">
      <c r="A34" s="5" t="s">
        <v>249</v>
      </c>
      <c r="B34" s="5">
        <v>284.86</v>
      </c>
      <c r="C34" s="5">
        <v>0</v>
      </c>
      <c r="D34" s="5">
        <v>0</v>
      </c>
      <c r="E34" s="5">
        <v>0</v>
      </c>
      <c r="F34" s="5">
        <v>388.46</v>
      </c>
      <c r="G34" s="5">
        <v>0</v>
      </c>
      <c r="H34" s="5">
        <v>0</v>
      </c>
      <c r="I34" s="5">
        <v>1808.08</v>
      </c>
      <c r="J34" s="5">
        <v>2481.4</v>
      </c>
    </row>
    <row r="35" spans="1:10" x14ac:dyDescent="0.25">
      <c r="A35" s="5" t="s">
        <v>250</v>
      </c>
      <c r="B35" s="5">
        <v>0</v>
      </c>
      <c r="C35" s="5">
        <v>0</v>
      </c>
      <c r="D35" s="5">
        <v>114.85</v>
      </c>
      <c r="E35" s="5">
        <v>0</v>
      </c>
      <c r="F35" s="5">
        <v>447</v>
      </c>
      <c r="G35" s="5">
        <v>189.51</v>
      </c>
      <c r="H35" s="5">
        <v>0</v>
      </c>
      <c r="I35" s="5">
        <v>948.74</v>
      </c>
      <c r="J35" s="5">
        <v>1700.1</v>
      </c>
    </row>
    <row r="36" spans="1:10" x14ac:dyDescent="0.25">
      <c r="A36" s="5" t="s">
        <v>251</v>
      </c>
      <c r="B36" s="5">
        <v>321.99</v>
      </c>
      <c r="C36" s="5">
        <v>0</v>
      </c>
      <c r="D36" s="5">
        <v>866.96</v>
      </c>
      <c r="E36" s="5">
        <v>144.61000000000001</v>
      </c>
      <c r="F36" s="5">
        <v>1098.8399999999999</v>
      </c>
      <c r="G36" s="5">
        <v>395.45</v>
      </c>
      <c r="H36" s="5">
        <v>90</v>
      </c>
      <c r="I36" s="5">
        <v>1022.59</v>
      </c>
      <c r="J36" s="5">
        <v>3940.44</v>
      </c>
    </row>
    <row r="37" spans="1:10" x14ac:dyDescent="0.25">
      <c r="A37" s="5" t="s">
        <v>252</v>
      </c>
      <c r="B37" s="5">
        <v>0</v>
      </c>
      <c r="C37" s="5">
        <v>0</v>
      </c>
      <c r="D37" s="5">
        <v>239.83</v>
      </c>
      <c r="E37" s="5">
        <v>103.99</v>
      </c>
      <c r="F37" s="5">
        <v>262.17</v>
      </c>
      <c r="G37" s="5">
        <v>335.68</v>
      </c>
      <c r="H37" s="5">
        <v>87.5</v>
      </c>
      <c r="I37" s="5">
        <v>395.89</v>
      </c>
      <c r="J37" s="5">
        <v>1425.06</v>
      </c>
    </row>
    <row r="38" spans="1:10" x14ac:dyDescent="0.25">
      <c r="A38" s="5" t="s">
        <v>253</v>
      </c>
      <c r="B38" s="5">
        <v>270.14</v>
      </c>
      <c r="C38" s="5">
        <v>0</v>
      </c>
      <c r="D38" s="5">
        <v>0</v>
      </c>
      <c r="E38" s="5">
        <v>88.33</v>
      </c>
      <c r="F38" s="5">
        <v>168.8</v>
      </c>
      <c r="G38" s="5">
        <v>0</v>
      </c>
      <c r="H38" s="5">
        <v>0</v>
      </c>
      <c r="I38" s="5">
        <v>567.16999999999996</v>
      </c>
      <c r="J38" s="5">
        <v>1094.44</v>
      </c>
    </row>
    <row r="39" spans="1:10" x14ac:dyDescent="0.25">
      <c r="A39" s="105" t="s">
        <v>2</v>
      </c>
      <c r="B39" s="6">
        <f>SUM(B27:B38)</f>
        <v>876.99</v>
      </c>
      <c r="C39" s="6">
        <f t="shared" ref="C39:J39" si="0">SUM(C27:C38)</f>
        <v>690.93999999999994</v>
      </c>
      <c r="D39" s="6">
        <f t="shared" si="0"/>
        <v>4239.84</v>
      </c>
      <c r="E39" s="6">
        <f t="shared" si="0"/>
        <v>336.93</v>
      </c>
      <c r="F39" s="6">
        <f t="shared" si="0"/>
        <v>7311.2000000000007</v>
      </c>
      <c r="G39" s="6">
        <f t="shared" si="0"/>
        <v>1856.7600000000002</v>
      </c>
      <c r="H39" s="6">
        <f t="shared" si="0"/>
        <v>361.5</v>
      </c>
      <c r="I39" s="6">
        <f>SUM(I27:I38)</f>
        <v>10792.25</v>
      </c>
      <c r="J39" s="6">
        <f t="shared" si="0"/>
        <v>26466.409999999996</v>
      </c>
    </row>
    <row r="42" spans="1:10" x14ac:dyDescent="0.25">
      <c r="A42" s="142" t="s">
        <v>3</v>
      </c>
      <c r="B42" s="142"/>
      <c r="C42" s="2"/>
      <c r="D42" s="2"/>
      <c r="E42" s="2"/>
    </row>
    <row r="43" spans="1:10" x14ac:dyDescent="0.25">
      <c r="A43" s="84" t="s">
        <v>4</v>
      </c>
      <c r="B43" s="84" t="s">
        <v>5</v>
      </c>
      <c r="C43" s="2"/>
      <c r="D43" s="2"/>
      <c r="E43" s="2"/>
    </row>
    <row r="44" spans="1:10" x14ac:dyDescent="0.25">
      <c r="A44" s="84">
        <v>8</v>
      </c>
      <c r="B44" s="84" t="s">
        <v>6</v>
      </c>
      <c r="C44" s="2"/>
      <c r="D44" s="2"/>
      <c r="E44" s="2"/>
    </row>
    <row r="45" spans="1:10" x14ac:dyDescent="0.25">
      <c r="A45" s="2"/>
      <c r="B45" s="2"/>
      <c r="C45" s="2"/>
      <c r="D45" s="2"/>
      <c r="E45" s="2"/>
    </row>
    <row r="46" spans="1:10" x14ac:dyDescent="0.25">
      <c r="A46" s="2"/>
      <c r="B46" s="2"/>
      <c r="C46" s="2"/>
      <c r="D46" s="2"/>
      <c r="E46" s="2"/>
    </row>
    <row r="47" spans="1:10" x14ac:dyDescent="0.25">
      <c r="A47" s="142" t="s">
        <v>26</v>
      </c>
      <c r="B47" s="142"/>
      <c r="C47" s="142"/>
      <c r="D47" s="142"/>
      <c r="E47" s="2"/>
    </row>
    <row r="48" spans="1:10" x14ac:dyDescent="0.25">
      <c r="A48" s="3" t="s">
        <v>27</v>
      </c>
      <c r="B48" s="3" t="s">
        <v>47</v>
      </c>
      <c r="C48" s="3" t="s">
        <v>45</v>
      </c>
      <c r="D48" s="3" t="s">
        <v>46</v>
      </c>
      <c r="E48" s="2"/>
    </row>
    <row r="49" spans="1:5" x14ac:dyDescent="0.25">
      <c r="A49" s="3" t="s">
        <v>28</v>
      </c>
      <c r="B49" s="3" t="s">
        <v>32</v>
      </c>
      <c r="C49" s="3">
        <v>1</v>
      </c>
      <c r="D49" s="3">
        <v>8</v>
      </c>
      <c r="E49" s="2"/>
    </row>
    <row r="50" spans="1:5" x14ac:dyDescent="0.25">
      <c r="A50" s="3" t="s">
        <v>28</v>
      </c>
      <c r="B50" s="3" t="s">
        <v>33</v>
      </c>
      <c r="C50" s="3">
        <v>1</v>
      </c>
      <c r="D50" s="3">
        <v>8</v>
      </c>
      <c r="E50" s="2"/>
    </row>
    <row r="51" spans="1:5" x14ac:dyDescent="0.25">
      <c r="A51" s="3" t="s">
        <v>28</v>
      </c>
      <c r="B51" s="3" t="s">
        <v>34</v>
      </c>
      <c r="C51" s="3">
        <v>1</v>
      </c>
      <c r="D51" s="3">
        <v>8</v>
      </c>
      <c r="E51" s="2"/>
    </row>
    <row r="52" spans="1:5" x14ac:dyDescent="0.25">
      <c r="A52" s="3" t="s">
        <v>29</v>
      </c>
      <c r="B52" s="3" t="s">
        <v>35</v>
      </c>
      <c r="C52" s="3">
        <v>1</v>
      </c>
      <c r="D52" s="3">
        <v>8</v>
      </c>
      <c r="E52" s="2"/>
    </row>
    <row r="53" spans="1:5" x14ac:dyDescent="0.25">
      <c r="A53" s="3" t="s">
        <v>30</v>
      </c>
      <c r="B53" s="3" t="s">
        <v>36</v>
      </c>
      <c r="C53" s="3">
        <v>1</v>
      </c>
      <c r="D53" s="3">
        <v>8</v>
      </c>
      <c r="E53" s="2"/>
    </row>
    <row r="54" spans="1:5" x14ac:dyDescent="0.25">
      <c r="A54" s="3" t="s">
        <v>30</v>
      </c>
      <c r="B54" s="3" t="s">
        <v>37</v>
      </c>
      <c r="C54" s="3">
        <v>1</v>
      </c>
      <c r="D54" s="3">
        <v>8</v>
      </c>
      <c r="E54" s="2"/>
    </row>
    <row r="55" spans="1:5" x14ac:dyDescent="0.25">
      <c r="A55" s="3" t="s">
        <v>31</v>
      </c>
      <c r="B55" s="3" t="s">
        <v>38</v>
      </c>
      <c r="C55" s="3">
        <v>1</v>
      </c>
      <c r="D55" s="3">
        <v>8</v>
      </c>
      <c r="E55" s="2"/>
    </row>
    <row r="56" spans="1:5" x14ac:dyDescent="0.25">
      <c r="A56" s="3" t="s">
        <v>31</v>
      </c>
      <c r="B56" s="3" t="s">
        <v>39</v>
      </c>
      <c r="C56" s="3">
        <v>1</v>
      </c>
      <c r="D56" s="3">
        <v>8</v>
      </c>
      <c r="E56" s="2"/>
    </row>
    <row r="57" spans="1:5" x14ac:dyDescent="0.25">
      <c r="A57" s="3" t="s">
        <v>31</v>
      </c>
      <c r="B57" s="3" t="s">
        <v>40</v>
      </c>
      <c r="C57" s="3">
        <v>1</v>
      </c>
      <c r="D57" s="3">
        <v>8</v>
      </c>
      <c r="E57" s="2"/>
    </row>
    <row r="58" spans="1:5" x14ac:dyDescent="0.25">
      <c r="A58" s="3" t="s">
        <v>31</v>
      </c>
      <c r="B58" s="3" t="s">
        <v>41</v>
      </c>
      <c r="C58" s="3">
        <v>1</v>
      </c>
      <c r="D58" s="3">
        <v>8</v>
      </c>
      <c r="E58" s="2"/>
    </row>
    <row r="59" spans="1:5" x14ac:dyDescent="0.25">
      <c r="A59" s="3" t="s">
        <v>31</v>
      </c>
      <c r="B59" s="3" t="s">
        <v>42</v>
      </c>
      <c r="C59" s="3">
        <v>1</v>
      </c>
      <c r="D59" s="3">
        <v>8</v>
      </c>
      <c r="E59" s="2"/>
    </row>
    <row r="60" spans="1:5" x14ac:dyDescent="0.25">
      <c r="A60" s="3" t="s">
        <v>31</v>
      </c>
      <c r="B60" s="3" t="s">
        <v>43</v>
      </c>
      <c r="C60" s="3">
        <v>1</v>
      </c>
      <c r="D60" s="3">
        <v>8</v>
      </c>
      <c r="E60" s="2"/>
    </row>
    <row r="61" spans="1:5" x14ac:dyDescent="0.25">
      <c r="A61" s="3" t="s">
        <v>31</v>
      </c>
      <c r="B61" s="3" t="s">
        <v>44</v>
      </c>
      <c r="C61" s="3">
        <v>1</v>
      </c>
      <c r="D61" s="3">
        <v>8</v>
      </c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142" t="s">
        <v>48</v>
      </c>
      <c r="B64" s="142"/>
      <c r="C64" s="2"/>
      <c r="D64" s="2"/>
      <c r="E64" s="2"/>
    </row>
    <row r="65" spans="1:9" x14ac:dyDescent="0.25">
      <c r="A65" s="3" t="s">
        <v>15</v>
      </c>
      <c r="B65" s="3" t="s">
        <v>50</v>
      </c>
      <c r="C65" s="2"/>
      <c r="D65" s="2"/>
      <c r="E65" s="2"/>
    </row>
    <row r="66" spans="1:9" x14ac:dyDescent="0.25">
      <c r="A66" s="3" t="s">
        <v>49</v>
      </c>
      <c r="B66" s="3">
        <v>12</v>
      </c>
      <c r="C66" s="2"/>
      <c r="D66" s="2"/>
      <c r="E66" s="2"/>
    </row>
    <row r="67" spans="1:9" x14ac:dyDescent="0.25">
      <c r="A67" s="2"/>
      <c r="B67" s="2"/>
      <c r="C67" s="2"/>
      <c r="D67" s="2"/>
      <c r="E67" s="2"/>
    </row>
    <row r="68" spans="1:9" x14ac:dyDescent="0.25">
      <c r="A68" s="2"/>
      <c r="B68" s="2"/>
      <c r="C68" s="2"/>
      <c r="D68" s="2"/>
      <c r="E68" s="2"/>
    </row>
    <row r="69" spans="1:9" x14ac:dyDescent="0.25">
      <c r="A69" s="142" t="s">
        <v>51</v>
      </c>
      <c r="B69" s="142"/>
      <c r="C69" s="142"/>
      <c r="D69" s="142"/>
      <c r="E69" s="142"/>
      <c r="F69" s="142"/>
      <c r="G69" s="142"/>
      <c r="H69" s="142"/>
      <c r="I69" s="142"/>
    </row>
    <row r="70" spans="1:9" x14ac:dyDescent="0.25">
      <c r="A70" s="105" t="s">
        <v>52</v>
      </c>
      <c r="B70" s="105" t="s">
        <v>64</v>
      </c>
      <c r="C70" s="105" t="s">
        <v>73</v>
      </c>
      <c r="D70" s="105" t="s">
        <v>74</v>
      </c>
      <c r="E70" s="105" t="s">
        <v>75</v>
      </c>
      <c r="F70" s="105" t="s">
        <v>77</v>
      </c>
      <c r="G70" s="105" t="s">
        <v>78</v>
      </c>
      <c r="H70" s="105" t="s">
        <v>79</v>
      </c>
      <c r="I70" s="105" t="s">
        <v>80</v>
      </c>
    </row>
    <row r="71" spans="1:9" x14ac:dyDescent="0.25">
      <c r="A71" s="3" t="s">
        <v>315</v>
      </c>
      <c r="B71" s="3" t="s">
        <v>65</v>
      </c>
      <c r="C71" s="3" t="s">
        <v>0</v>
      </c>
      <c r="D71" s="3">
        <v>-20.161971999999999</v>
      </c>
      <c r="E71" s="82">
        <v>-40.230806000000001</v>
      </c>
      <c r="F71" s="82">
        <v>0.3</v>
      </c>
      <c r="G71" s="82">
        <v>728.21</v>
      </c>
      <c r="H71" s="82">
        <v>55</v>
      </c>
      <c r="I71" s="82">
        <v>25.3</v>
      </c>
    </row>
    <row r="72" spans="1:9" x14ac:dyDescent="0.25">
      <c r="A72" s="24" t="s">
        <v>53</v>
      </c>
      <c r="B72" s="3" t="s">
        <v>66</v>
      </c>
      <c r="C72" s="3" t="s">
        <v>0</v>
      </c>
      <c r="D72" s="3">
        <v>-20.1615</v>
      </c>
      <c r="E72" s="82">
        <v>-40.230167000000002</v>
      </c>
      <c r="F72" s="82">
        <v>0.3</v>
      </c>
      <c r="G72" s="82">
        <v>3519.64</v>
      </c>
      <c r="H72" s="82">
        <v>43</v>
      </c>
      <c r="I72" s="82">
        <v>5.6</v>
      </c>
    </row>
    <row r="73" spans="1:9" x14ac:dyDescent="0.25">
      <c r="A73" s="24" t="s">
        <v>138</v>
      </c>
      <c r="B73" s="3" t="s">
        <v>67</v>
      </c>
      <c r="C73" s="3" t="s">
        <v>0</v>
      </c>
      <c r="D73" s="3">
        <v>-20.161083000000001</v>
      </c>
      <c r="E73" s="82">
        <v>-40.230167000000002</v>
      </c>
      <c r="F73" s="82">
        <v>0.3</v>
      </c>
      <c r="G73" s="82">
        <v>2997.35</v>
      </c>
      <c r="H73" s="82">
        <v>140</v>
      </c>
      <c r="I73" s="82">
        <v>20</v>
      </c>
    </row>
    <row r="74" spans="1:9" x14ac:dyDescent="0.25">
      <c r="A74" s="24" t="s">
        <v>54</v>
      </c>
      <c r="B74" s="3" t="s">
        <v>67</v>
      </c>
      <c r="C74" s="3" t="s">
        <v>0</v>
      </c>
      <c r="D74" s="3">
        <v>-20.161138999999999</v>
      </c>
      <c r="E74" s="82">
        <v>-40.230027999999997</v>
      </c>
      <c r="F74" s="82">
        <v>0.3</v>
      </c>
      <c r="G74" s="82">
        <v>3444.85</v>
      </c>
      <c r="H74" s="82">
        <v>44</v>
      </c>
      <c r="I74" s="82">
        <v>24</v>
      </c>
    </row>
    <row r="75" spans="1:9" x14ac:dyDescent="0.25">
      <c r="A75" s="24" t="s">
        <v>55</v>
      </c>
      <c r="B75" s="3" t="s">
        <v>68</v>
      </c>
      <c r="C75" s="3" t="s">
        <v>0</v>
      </c>
      <c r="D75" s="3">
        <v>-20.161971999999999</v>
      </c>
      <c r="E75" s="82">
        <v>-40.230694</v>
      </c>
      <c r="F75" s="82">
        <v>0.3</v>
      </c>
      <c r="G75" s="82">
        <v>1140.3699999999999</v>
      </c>
      <c r="H75" s="82">
        <v>45</v>
      </c>
      <c r="I75" s="82">
        <v>10.7</v>
      </c>
    </row>
    <row r="76" spans="1:9" x14ac:dyDescent="0.25">
      <c r="A76" s="24" t="s">
        <v>56</v>
      </c>
      <c r="B76" s="3" t="s">
        <v>68</v>
      </c>
      <c r="C76" s="3" t="s">
        <v>0</v>
      </c>
      <c r="D76" s="3">
        <v>-20.161971999999999</v>
      </c>
      <c r="E76" s="82">
        <v>-40.23075</v>
      </c>
      <c r="F76" s="82">
        <v>0.3</v>
      </c>
      <c r="G76" s="82">
        <v>1372.07</v>
      </c>
      <c r="H76" s="82">
        <v>44</v>
      </c>
      <c r="I76" s="82">
        <v>10.7</v>
      </c>
    </row>
    <row r="77" spans="1:9" x14ac:dyDescent="0.25">
      <c r="A77" s="24" t="s">
        <v>57</v>
      </c>
      <c r="B77" s="3" t="s">
        <v>68</v>
      </c>
      <c r="C77" s="3" t="s">
        <v>0</v>
      </c>
      <c r="D77" s="3">
        <v>-20.161943999999998</v>
      </c>
      <c r="E77" s="82">
        <v>-40.23075</v>
      </c>
      <c r="F77" s="82">
        <v>0.3</v>
      </c>
      <c r="G77" s="82">
        <v>1220.45</v>
      </c>
      <c r="H77" s="82">
        <v>37</v>
      </c>
      <c r="I77" s="82">
        <v>13.5</v>
      </c>
    </row>
    <row r="78" spans="1:9" x14ac:dyDescent="0.25">
      <c r="A78" s="24" t="s">
        <v>58</v>
      </c>
      <c r="B78" s="3" t="s">
        <v>69</v>
      </c>
      <c r="C78" s="3" t="s">
        <v>0</v>
      </c>
      <c r="D78" s="3">
        <v>-20.162500000000001</v>
      </c>
      <c r="E78" s="82">
        <v>-40.229666999999999</v>
      </c>
      <c r="F78" s="82">
        <v>0.3</v>
      </c>
      <c r="G78" s="82">
        <v>900.71</v>
      </c>
      <c r="H78" s="82">
        <v>47</v>
      </c>
      <c r="I78" s="82">
        <v>24.5</v>
      </c>
    </row>
    <row r="79" spans="1:9" x14ac:dyDescent="0.25">
      <c r="A79" s="24" t="s">
        <v>59</v>
      </c>
      <c r="B79" s="3" t="s">
        <v>70</v>
      </c>
      <c r="C79" s="3" t="s">
        <v>0</v>
      </c>
      <c r="D79" s="3">
        <v>-20.161750000000001</v>
      </c>
      <c r="E79" s="82">
        <v>-40.230638999999996</v>
      </c>
      <c r="F79" s="82">
        <v>0.3</v>
      </c>
      <c r="G79" s="82">
        <v>1766.79</v>
      </c>
      <c r="H79" s="82">
        <v>54</v>
      </c>
      <c r="I79" s="82">
        <v>13</v>
      </c>
    </row>
    <row r="80" spans="1:9" x14ac:dyDescent="0.25">
      <c r="A80" s="24" t="s">
        <v>60</v>
      </c>
      <c r="B80" s="3" t="s">
        <v>71</v>
      </c>
      <c r="C80" s="3" t="s">
        <v>0</v>
      </c>
      <c r="D80" s="3">
        <v>-20.161417</v>
      </c>
      <c r="E80" s="82">
        <v>-40.231250000000003</v>
      </c>
      <c r="F80" s="82">
        <v>0.3</v>
      </c>
      <c r="G80" s="82">
        <v>2780.19</v>
      </c>
      <c r="H80" s="82">
        <v>33</v>
      </c>
      <c r="I80" s="82">
        <v>6.8</v>
      </c>
    </row>
    <row r="81" spans="1:9" x14ac:dyDescent="0.25">
      <c r="A81" s="24" t="s">
        <v>61</v>
      </c>
      <c r="B81" s="3" t="s">
        <v>71</v>
      </c>
      <c r="C81" s="3" t="s">
        <v>0</v>
      </c>
      <c r="D81" s="3">
        <v>-20.161443999999999</v>
      </c>
      <c r="E81" s="82">
        <v>-40.230694</v>
      </c>
      <c r="F81" s="82">
        <v>0.3</v>
      </c>
      <c r="G81" s="82">
        <v>3866.19</v>
      </c>
      <c r="H81" s="82">
        <v>29.4</v>
      </c>
      <c r="I81" s="82">
        <v>6</v>
      </c>
    </row>
    <row r="82" spans="1:9" x14ac:dyDescent="0.25">
      <c r="A82" s="3" t="s">
        <v>62</v>
      </c>
      <c r="B82" s="3" t="s">
        <v>72</v>
      </c>
      <c r="C82" s="3" t="s">
        <v>0</v>
      </c>
      <c r="D82" s="3">
        <v>-20.156694000000002</v>
      </c>
      <c r="E82" s="24">
        <v>-40.366667</v>
      </c>
      <c r="F82" s="82">
        <v>0.3</v>
      </c>
      <c r="G82" s="82">
        <v>1192.08</v>
      </c>
      <c r="H82" s="82">
        <v>43.5</v>
      </c>
      <c r="I82" s="82">
        <v>6.7</v>
      </c>
    </row>
    <row r="83" spans="1:9" x14ac:dyDescent="0.25">
      <c r="A83" s="3" t="s">
        <v>63</v>
      </c>
      <c r="B83" s="3" t="s">
        <v>72</v>
      </c>
      <c r="C83" s="3" t="s">
        <v>0</v>
      </c>
      <c r="D83" s="3">
        <v>-20.273499999999999</v>
      </c>
      <c r="E83" s="24">
        <v>-40.364027999999998</v>
      </c>
      <c r="F83" s="82">
        <v>0.3</v>
      </c>
      <c r="G83" s="82">
        <v>2092.3200000000002</v>
      </c>
      <c r="H83" s="82">
        <v>31.5</v>
      </c>
      <c r="I83" s="82">
        <v>6.3</v>
      </c>
    </row>
    <row r="84" spans="1:9" x14ac:dyDescent="0.25">
      <c r="A84" s="2"/>
      <c r="B84" s="2"/>
      <c r="C84" s="2"/>
      <c r="D84" s="2"/>
      <c r="E84" s="2"/>
    </row>
    <row r="85" spans="1:9" x14ac:dyDescent="0.25">
      <c r="C85" s="2"/>
      <c r="D85" s="2"/>
      <c r="E85" s="2"/>
    </row>
    <row r="86" spans="1:9" x14ac:dyDescent="0.25">
      <c r="A86" s="142" t="s">
        <v>81</v>
      </c>
      <c r="B86" s="142"/>
      <c r="C86" s="142"/>
      <c r="D86" s="2"/>
      <c r="E86" s="2"/>
    </row>
    <row r="87" spans="1:9" x14ac:dyDescent="0.25">
      <c r="A87" s="62" t="s">
        <v>15</v>
      </c>
      <c r="B87" s="63" t="s">
        <v>5</v>
      </c>
      <c r="C87" s="63" t="s">
        <v>84</v>
      </c>
      <c r="D87" s="2"/>
      <c r="E87" s="2"/>
    </row>
    <row r="88" spans="1:9" x14ac:dyDescent="0.25">
      <c r="A88" s="41" t="s">
        <v>82</v>
      </c>
      <c r="B88" s="41" t="s">
        <v>86</v>
      </c>
      <c r="C88" s="41" t="s">
        <v>85</v>
      </c>
      <c r="D88" s="2"/>
      <c r="E88" s="2"/>
    </row>
    <row r="89" spans="1:9" x14ac:dyDescent="0.25">
      <c r="A89" s="41" t="s">
        <v>83</v>
      </c>
      <c r="B89" s="41" t="s">
        <v>86</v>
      </c>
      <c r="C89" s="41" t="s">
        <v>85</v>
      </c>
      <c r="D89" s="2"/>
      <c r="E89" s="2"/>
    </row>
    <row r="90" spans="1:9" x14ac:dyDescent="0.25">
      <c r="A90" s="41" t="s">
        <v>87</v>
      </c>
      <c r="B90" s="41" t="s">
        <v>88</v>
      </c>
      <c r="C90" s="41" t="s">
        <v>254</v>
      </c>
      <c r="D90" s="2"/>
      <c r="E90" s="2"/>
    </row>
    <row r="91" spans="1:9" x14ac:dyDescent="0.25">
      <c r="A91" s="41" t="s">
        <v>91</v>
      </c>
      <c r="B91" s="41" t="s">
        <v>92</v>
      </c>
      <c r="C91" s="41" t="s">
        <v>0</v>
      </c>
      <c r="D91" s="2"/>
      <c r="E91" s="2"/>
    </row>
    <row r="92" spans="1:9" x14ac:dyDescent="0.25">
      <c r="A92" s="41" t="s">
        <v>89</v>
      </c>
      <c r="B92" s="41" t="s">
        <v>90</v>
      </c>
      <c r="C92" s="41" t="s">
        <v>0</v>
      </c>
      <c r="D92" s="2"/>
      <c r="E92" s="2"/>
    </row>
    <row r="93" spans="1:9" x14ac:dyDescent="0.25">
      <c r="A93" s="2"/>
      <c r="B93" s="2"/>
      <c r="C93" s="2"/>
      <c r="D93" s="2"/>
      <c r="E93" s="2"/>
    </row>
    <row r="94" spans="1:9" x14ac:dyDescent="0.25">
      <c r="A94" s="2"/>
      <c r="B94" s="2"/>
      <c r="C94" s="2"/>
      <c r="D94" s="2"/>
      <c r="E94" s="2"/>
    </row>
    <row r="95" spans="1:9" x14ac:dyDescent="0.25">
      <c r="A95" s="2"/>
      <c r="B95" s="2"/>
      <c r="C95" s="2"/>
      <c r="D95" s="2"/>
      <c r="E95" s="2"/>
    </row>
    <row r="96" spans="1:9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</sheetData>
  <sheetProtection password="B056" sheet="1" objects="1" scenarios="1"/>
  <mergeCells count="9">
    <mergeCell ref="A69:I69"/>
    <mergeCell ref="A86:C86"/>
    <mergeCell ref="A42:B42"/>
    <mergeCell ref="A4:D4"/>
    <mergeCell ref="A15:B15"/>
    <mergeCell ref="A47:D47"/>
    <mergeCell ref="A64:B64"/>
    <mergeCell ref="A13:B13"/>
    <mergeCell ref="C13:D1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opLeftCell="B1" zoomScaleNormal="100" workbookViewId="0">
      <selection activeCell="M20" sqref="M20"/>
    </sheetView>
  </sheetViews>
  <sheetFormatPr defaultRowHeight="15" x14ac:dyDescent="0.25"/>
  <cols>
    <col min="1" max="1" width="36.7109375" customWidth="1"/>
    <col min="2" max="2" width="30.28515625" customWidth="1"/>
    <col min="3" max="3" width="25" customWidth="1"/>
    <col min="4" max="5" width="12.7109375" customWidth="1"/>
    <col min="6" max="15" width="10.7109375" customWidth="1"/>
  </cols>
  <sheetData>
    <row r="1" spans="1:16" x14ac:dyDescent="0.25">
      <c r="A1" s="68" t="s">
        <v>263</v>
      </c>
      <c r="B1" s="69">
        <v>10</v>
      </c>
    </row>
    <row r="2" spans="1:16" x14ac:dyDescent="0.25">
      <c r="A2" s="68" t="s">
        <v>404</v>
      </c>
      <c r="B2" s="104">
        <f>Dados!B19/COUNTA(C8,C18,C19)/(365*24)</f>
        <v>0.38051750380517507</v>
      </c>
    </row>
    <row r="4" spans="1:16" x14ac:dyDescent="0.25">
      <c r="A4" s="20" t="s">
        <v>309</v>
      </c>
    </row>
    <row r="5" spans="1:16" ht="22.5" customHeight="1" x14ac:dyDescent="0.25">
      <c r="A5" s="199" t="s">
        <v>179</v>
      </c>
      <c r="B5" s="200" t="s">
        <v>255</v>
      </c>
      <c r="C5" s="200" t="s">
        <v>301</v>
      </c>
      <c r="D5" s="199" t="s">
        <v>302</v>
      </c>
      <c r="E5" s="199" t="s">
        <v>303</v>
      </c>
      <c r="F5" s="199" t="s">
        <v>304</v>
      </c>
      <c r="G5" s="199" t="s">
        <v>305</v>
      </c>
      <c r="H5" s="199" t="s">
        <v>414</v>
      </c>
      <c r="I5" s="199" t="s">
        <v>306</v>
      </c>
      <c r="J5" s="199" t="s">
        <v>307</v>
      </c>
      <c r="K5" s="208" t="s">
        <v>327</v>
      </c>
      <c r="L5" s="209"/>
      <c r="M5" s="201" t="s">
        <v>184</v>
      </c>
      <c r="N5" s="202"/>
      <c r="O5" s="202"/>
      <c r="P5" s="202"/>
    </row>
    <row r="6" spans="1:16" x14ac:dyDescent="0.25">
      <c r="A6" s="200"/>
      <c r="B6" s="204"/>
      <c r="C6" s="204"/>
      <c r="D6" s="200"/>
      <c r="E6" s="200"/>
      <c r="F6" s="200"/>
      <c r="G6" s="200"/>
      <c r="H6" s="200"/>
      <c r="I6" s="200"/>
      <c r="J6" s="200"/>
      <c r="K6" s="86" t="s">
        <v>189</v>
      </c>
      <c r="L6" s="86" t="s">
        <v>269</v>
      </c>
      <c r="M6" s="67" t="s">
        <v>185</v>
      </c>
      <c r="N6" s="67" t="s">
        <v>189</v>
      </c>
      <c r="O6" s="67" t="s">
        <v>269</v>
      </c>
      <c r="P6" s="98" t="s">
        <v>442</v>
      </c>
    </row>
    <row r="7" spans="1:16" x14ac:dyDescent="0.25">
      <c r="A7" s="54" t="s">
        <v>415</v>
      </c>
      <c r="B7" s="65" t="s">
        <v>65</v>
      </c>
      <c r="C7" s="65" t="s">
        <v>260</v>
      </c>
      <c r="D7" s="115">
        <v>-20.161971999999999</v>
      </c>
      <c r="E7" s="115">
        <v>-40.230806000000001</v>
      </c>
      <c r="F7" s="65">
        <v>0.3</v>
      </c>
      <c r="G7" s="116">
        <f>AVERAGE(Monitoramento!X25,Monitoramento!AP39)</f>
        <v>3870.3833333333337</v>
      </c>
      <c r="H7" s="116">
        <f>AVERAGE(Monitoramento!X24,Monitoramento!AP38)</f>
        <v>4637.6466666666674</v>
      </c>
      <c r="I7" s="24">
        <v>55</v>
      </c>
      <c r="J7" s="65">
        <v>25.3</v>
      </c>
      <c r="K7" s="84">
        <v>85</v>
      </c>
      <c r="L7" s="84">
        <v>30</v>
      </c>
      <c r="M7" s="78">
        <f>Monitoramento!G6</f>
        <v>9.5100740822222224E-2</v>
      </c>
      <c r="N7" s="88">
        <f>M7*K7/100</f>
        <v>8.0835629698888897E-2</v>
      </c>
      <c r="O7" s="88">
        <f>M7*L7/100</f>
        <v>2.8530222246666667E-2</v>
      </c>
      <c r="P7" s="1" t="s">
        <v>0</v>
      </c>
    </row>
    <row r="8" spans="1:16" x14ac:dyDescent="0.25">
      <c r="A8" s="20" t="s">
        <v>425</v>
      </c>
      <c r="B8" s="111" t="s">
        <v>66</v>
      </c>
      <c r="C8" s="111" t="s">
        <v>260</v>
      </c>
      <c r="D8" s="115">
        <v>-20.1615</v>
      </c>
      <c r="E8" s="115">
        <v>-40.230167000000002</v>
      </c>
      <c r="F8" s="111">
        <v>0.3</v>
      </c>
      <c r="G8" s="116">
        <f>AVERAGE(Monitoramento!X53,Monitoramento!AY59)</f>
        <v>2366.3066666666668</v>
      </c>
      <c r="H8" s="116">
        <f>AVERAGE(Monitoramento!X52,Monitoramento!AY58)</f>
        <v>2859.2733333333331</v>
      </c>
      <c r="I8" s="112">
        <v>43</v>
      </c>
      <c r="J8" s="112">
        <v>5.6</v>
      </c>
      <c r="K8" s="114">
        <v>85</v>
      </c>
      <c r="L8" s="112">
        <v>30</v>
      </c>
      <c r="M8" s="113">
        <f>Monitoramento!G7</f>
        <v>2.7090084133333338E-2</v>
      </c>
      <c r="N8" s="113">
        <f>M8*K8/100</f>
        <v>2.3026571513333337E-2</v>
      </c>
      <c r="O8" s="113">
        <f>M8*L8/100</f>
        <v>8.1270252400000003E-3</v>
      </c>
      <c r="P8" s="113" t="s">
        <v>0</v>
      </c>
    </row>
    <row r="9" spans="1:16" x14ac:dyDescent="0.25">
      <c r="A9" s="117" t="s">
        <v>426</v>
      </c>
      <c r="B9" s="65" t="s">
        <v>67</v>
      </c>
      <c r="C9" s="83" t="s">
        <v>260</v>
      </c>
      <c r="D9" s="115">
        <v>-20.161083000000001</v>
      </c>
      <c r="E9" s="115">
        <v>-40.230167000000002</v>
      </c>
      <c r="F9" s="65">
        <v>0.3</v>
      </c>
      <c r="G9" s="116">
        <f>AVERAGE(Monitoramento!X11,Monitoramento!AY11)</f>
        <v>2678.9216666666671</v>
      </c>
      <c r="H9" s="116">
        <f>AVERAGE(Monitoramento!X10,Monitoramento!AY10)</f>
        <v>3283.09</v>
      </c>
      <c r="I9" s="24">
        <v>140</v>
      </c>
      <c r="J9" s="65">
        <v>20</v>
      </c>
      <c r="K9" s="84">
        <v>74</v>
      </c>
      <c r="L9" s="84">
        <v>42</v>
      </c>
      <c r="M9" s="88">
        <f>Monitoramento!G8</f>
        <v>4.3946568661111116E-2</v>
      </c>
      <c r="N9" s="88">
        <f>M9*K9/100</f>
        <v>3.2520460809222225E-2</v>
      </c>
      <c r="O9" s="88">
        <f>M9*L9/100</f>
        <v>1.8457558837666668E-2</v>
      </c>
      <c r="P9" s="1" t="s">
        <v>0</v>
      </c>
    </row>
    <row r="10" spans="1:16" s="19" customFormat="1" x14ac:dyDescent="0.25">
      <c r="A10" s="117" t="s">
        <v>427</v>
      </c>
      <c r="B10" s="24" t="s">
        <v>67</v>
      </c>
      <c r="C10" s="24" t="s">
        <v>260</v>
      </c>
      <c r="D10" s="122">
        <v>-20.161138999999999</v>
      </c>
      <c r="E10" s="122">
        <v>-40.230027999999997</v>
      </c>
      <c r="F10" s="24">
        <v>0.3</v>
      </c>
      <c r="G10" s="116">
        <f>Dados!G74</f>
        <v>3444.85</v>
      </c>
      <c r="H10" s="116">
        <f>G10*(273.15+I10)/273.15</f>
        <v>3999.7590243455979</v>
      </c>
      <c r="I10" s="24">
        <v>44</v>
      </c>
      <c r="J10" s="24">
        <v>24</v>
      </c>
      <c r="K10" s="24">
        <v>74</v>
      </c>
      <c r="L10" s="24">
        <v>42</v>
      </c>
      <c r="M10" s="88">
        <f>G10*50/1000000</f>
        <v>0.17224249999999999</v>
      </c>
      <c r="N10" s="88">
        <f t="shared" ref="N10:N17" si="0">M10*K10/100</f>
        <v>0.12745945</v>
      </c>
      <c r="O10" s="88">
        <f>M10*L10/100</f>
        <v>7.2341849999999999E-2</v>
      </c>
      <c r="P10" s="123" t="s">
        <v>0</v>
      </c>
    </row>
    <row r="11" spans="1:16" x14ac:dyDescent="0.25">
      <c r="A11" s="117" t="s">
        <v>428</v>
      </c>
      <c r="B11" s="65" t="s">
        <v>68</v>
      </c>
      <c r="C11" s="83" t="s">
        <v>260</v>
      </c>
      <c r="D11" s="115">
        <v>-20.161971999999999</v>
      </c>
      <c r="E11" s="115">
        <v>-40.230694</v>
      </c>
      <c r="F11" s="65">
        <v>0.3</v>
      </c>
      <c r="G11" s="116">
        <f>AVERAGE(Monitoramento!AP53)</f>
        <v>3536.7333333333336</v>
      </c>
      <c r="H11" s="116">
        <f>AVERAGE(Monitoramento!AP52)</f>
        <v>4228.2599999999993</v>
      </c>
      <c r="I11" s="24">
        <v>45</v>
      </c>
      <c r="J11" s="65">
        <v>10.7</v>
      </c>
      <c r="K11" s="84">
        <v>85</v>
      </c>
      <c r="L11" s="84">
        <v>30</v>
      </c>
      <c r="M11" s="88">
        <f>Monitoramento!G9</f>
        <v>5.6446264000000003E-2</v>
      </c>
      <c r="N11" s="88">
        <f t="shared" si="0"/>
        <v>4.7979324400000002E-2</v>
      </c>
      <c r="O11" s="88">
        <f t="shared" ref="O11:O17" si="1">M11*L11/100</f>
        <v>1.6933879200000002E-2</v>
      </c>
      <c r="P11" s="1" t="s">
        <v>0</v>
      </c>
    </row>
    <row r="12" spans="1:16" x14ac:dyDescent="0.25">
      <c r="A12" s="117" t="s">
        <v>429</v>
      </c>
      <c r="B12" s="65" t="s">
        <v>68</v>
      </c>
      <c r="C12" s="83" t="s">
        <v>260</v>
      </c>
      <c r="D12" s="115">
        <v>-20.161971999999999</v>
      </c>
      <c r="E12" s="115">
        <v>-40.23075</v>
      </c>
      <c r="F12" s="65">
        <v>0.3</v>
      </c>
      <c r="G12" s="116">
        <f>AVERAGE(Monitoramento!O11)</f>
        <v>1226.8</v>
      </c>
      <c r="H12" s="116">
        <f>AVERAGE(Monitoramento!O10)</f>
        <v>1423.5166666666667</v>
      </c>
      <c r="I12" s="24">
        <v>44</v>
      </c>
      <c r="J12" s="65">
        <v>10.7</v>
      </c>
      <c r="K12" s="84">
        <v>85</v>
      </c>
      <c r="L12" s="84">
        <v>30</v>
      </c>
      <c r="M12" s="88">
        <f>Monitoramento!G10</f>
        <v>1.0714053333333331E-2</v>
      </c>
      <c r="N12" s="88">
        <f t="shared" si="0"/>
        <v>9.1069453333333314E-3</v>
      </c>
      <c r="O12" s="88">
        <f t="shared" si="1"/>
        <v>3.2142159999999993E-3</v>
      </c>
      <c r="P12" s="1" t="s">
        <v>0</v>
      </c>
    </row>
    <row r="13" spans="1:16" x14ac:dyDescent="0.25">
      <c r="A13" s="117" t="s">
        <v>430</v>
      </c>
      <c r="B13" s="65" t="s">
        <v>68</v>
      </c>
      <c r="C13" s="83" t="s">
        <v>260</v>
      </c>
      <c r="D13" s="115">
        <v>-20.161943999999998</v>
      </c>
      <c r="E13" s="115">
        <v>-40.23075</v>
      </c>
      <c r="F13" s="65">
        <v>0.3</v>
      </c>
      <c r="G13" s="116">
        <f>AVERAGE(Monitoramento!AP67)</f>
        <v>1028.8066666666666</v>
      </c>
      <c r="H13" s="116">
        <f>AVERAGE(Monitoramento!AP66)</f>
        <v>1202.2166666666665</v>
      </c>
      <c r="I13" s="24">
        <v>37</v>
      </c>
      <c r="J13" s="65">
        <v>13.5</v>
      </c>
      <c r="K13" s="84">
        <v>85</v>
      </c>
      <c r="L13" s="84">
        <v>30</v>
      </c>
      <c r="M13" s="88">
        <f>Monitoramento!G11</f>
        <v>5.9259263999999999E-3</v>
      </c>
      <c r="N13" s="88">
        <f t="shared" si="0"/>
        <v>5.0370374399999994E-3</v>
      </c>
      <c r="O13" s="88">
        <f t="shared" si="1"/>
        <v>1.7777779199999999E-3</v>
      </c>
      <c r="P13" s="1" t="s">
        <v>0</v>
      </c>
    </row>
    <row r="14" spans="1:16" x14ac:dyDescent="0.25">
      <c r="A14" s="117" t="s">
        <v>431</v>
      </c>
      <c r="B14" s="65" t="s">
        <v>69</v>
      </c>
      <c r="C14" s="83" t="s">
        <v>260</v>
      </c>
      <c r="D14" s="115">
        <v>-20.162500000000001</v>
      </c>
      <c r="E14" s="115">
        <v>-40.229666999999999</v>
      </c>
      <c r="F14" s="65">
        <v>0.3</v>
      </c>
      <c r="G14" s="116">
        <f>AVERAGE(Monitoramento!X39,Monitoramento!AP25)</f>
        <v>1058.5116666666668</v>
      </c>
      <c r="H14" s="116">
        <f>AVERAGE(Monitoramento!X38,Monitoramento!AP24)</f>
        <v>1257.5216666666668</v>
      </c>
      <c r="I14" s="24">
        <v>47</v>
      </c>
      <c r="J14" s="65">
        <v>24.5</v>
      </c>
      <c r="K14" s="84">
        <v>85</v>
      </c>
      <c r="L14" s="84">
        <v>30</v>
      </c>
      <c r="M14" s="88">
        <f>Monitoramento!G12</f>
        <v>7.9809362833333335E-3</v>
      </c>
      <c r="N14" s="88">
        <f t="shared" si="0"/>
        <v>6.7837958408333331E-3</v>
      </c>
      <c r="O14" s="88">
        <f t="shared" si="1"/>
        <v>2.3942808849999999E-3</v>
      </c>
      <c r="P14" s="1" t="s">
        <v>0</v>
      </c>
    </row>
    <row r="15" spans="1:16" x14ac:dyDescent="0.25">
      <c r="A15" s="117" t="s">
        <v>432</v>
      </c>
      <c r="B15" s="65" t="s">
        <v>70</v>
      </c>
      <c r="C15" s="83" t="s">
        <v>260</v>
      </c>
      <c r="D15" s="115">
        <v>-20.161750000000001</v>
      </c>
      <c r="E15" s="115">
        <v>-40.230638999999996</v>
      </c>
      <c r="F15" s="65">
        <v>0.3</v>
      </c>
      <c r="G15" s="116">
        <f>AVERAGE(Monitoramento!AG11,Monitoramento!AP81)</f>
        <v>5343.3583333333327</v>
      </c>
      <c r="H15" s="116">
        <f>AVERAGE(Monitoramento!AG10,Monitoramento!AP80)</f>
        <v>7258.6116666666667</v>
      </c>
      <c r="I15" s="24">
        <v>54</v>
      </c>
      <c r="J15" s="65">
        <v>13</v>
      </c>
      <c r="K15" s="84">
        <v>85</v>
      </c>
      <c r="L15" s="84">
        <v>30</v>
      </c>
      <c r="M15" s="88">
        <f>Monitoramento!G13</f>
        <v>0.12918014785555554</v>
      </c>
      <c r="N15" s="88">
        <f t="shared" si="0"/>
        <v>0.10980312567722221</v>
      </c>
      <c r="O15" s="88">
        <f t="shared" si="1"/>
        <v>3.8754044356666656E-2</v>
      </c>
      <c r="P15" s="1" t="s">
        <v>0</v>
      </c>
    </row>
    <row r="16" spans="1:16" x14ac:dyDescent="0.25">
      <c r="A16" s="117" t="s">
        <v>433</v>
      </c>
      <c r="B16" s="65" t="s">
        <v>71</v>
      </c>
      <c r="C16" s="83" t="s">
        <v>260</v>
      </c>
      <c r="D16" s="115">
        <v>-20.161417</v>
      </c>
      <c r="E16" s="115">
        <v>-40.231250000000003</v>
      </c>
      <c r="F16" s="65">
        <v>0.3</v>
      </c>
      <c r="G16" s="116">
        <f>AVERAGE(Monitoramento!O25,Monitoramento!AY53)</f>
        <v>3146.6766666666667</v>
      </c>
      <c r="H16" s="116">
        <f>AVERAGE(Monitoramento!O24,Monitoramento!AY52)</f>
        <v>3703.52</v>
      </c>
      <c r="I16" s="24">
        <v>33</v>
      </c>
      <c r="J16" s="65">
        <v>6.8</v>
      </c>
      <c r="K16" s="84">
        <v>85</v>
      </c>
      <c r="L16" s="84">
        <v>30</v>
      </c>
      <c r="M16" s="88">
        <f>Monitoramento!G14</f>
        <v>2.8377003161111115E-2</v>
      </c>
      <c r="N16" s="88">
        <f t="shared" si="0"/>
        <v>2.412045268694445E-2</v>
      </c>
      <c r="O16" s="88">
        <f t="shared" si="1"/>
        <v>8.5131009483333346E-3</v>
      </c>
      <c r="P16" s="1" t="s">
        <v>0</v>
      </c>
    </row>
    <row r="17" spans="1:16" x14ac:dyDescent="0.25">
      <c r="A17" s="117" t="s">
        <v>434</v>
      </c>
      <c r="B17" s="65" t="s">
        <v>71</v>
      </c>
      <c r="C17" s="83" t="s">
        <v>260</v>
      </c>
      <c r="D17" s="115">
        <v>-20.161443999999999</v>
      </c>
      <c r="E17" s="115">
        <v>-40.230694</v>
      </c>
      <c r="F17" s="65">
        <v>0.3</v>
      </c>
      <c r="G17" s="116">
        <f>AVERAGE(Monitoramento!AG53,Monitoramento!AP11)</f>
        <v>3031.16</v>
      </c>
      <c r="H17" s="116">
        <f>AVERAGE(Monitoramento!AG52,Monitoramento!AP10)</f>
        <v>3546.3433333333332</v>
      </c>
      <c r="I17" s="24">
        <v>29.4</v>
      </c>
      <c r="J17" s="65">
        <v>6</v>
      </c>
      <c r="K17" s="84">
        <v>85</v>
      </c>
      <c r="L17" s="84">
        <v>30</v>
      </c>
      <c r="M17" s="88">
        <f>Monitoramento!G15</f>
        <v>4.7241582833333337E-2</v>
      </c>
      <c r="N17" s="88">
        <f t="shared" si="0"/>
        <v>4.0155345408333334E-2</v>
      </c>
      <c r="O17" s="88">
        <f t="shared" si="1"/>
        <v>1.417247485E-2</v>
      </c>
      <c r="P17" s="1" t="s">
        <v>0</v>
      </c>
    </row>
    <row r="18" spans="1:16" x14ac:dyDescent="0.25">
      <c r="A18" s="20" t="s">
        <v>435</v>
      </c>
      <c r="B18" s="112" t="s">
        <v>72</v>
      </c>
      <c r="C18" s="112" t="s">
        <v>260</v>
      </c>
      <c r="D18" s="115">
        <v>-20.161933000000001</v>
      </c>
      <c r="E18" s="115">
        <v>-40.229733000000003</v>
      </c>
      <c r="F18" s="111">
        <v>0.3</v>
      </c>
      <c r="G18" s="116">
        <f>AVERAGE(Monitoramento!AG25)</f>
        <v>1186.4533333333331</v>
      </c>
      <c r="H18" s="116">
        <f>AVERAGE(Monitoramento!AG24)</f>
        <v>1526.0833333333333</v>
      </c>
      <c r="I18" s="112">
        <v>43.5</v>
      </c>
      <c r="J18" s="112">
        <v>6.7</v>
      </c>
      <c r="K18" s="112">
        <v>53</v>
      </c>
      <c r="L18" s="112">
        <v>18</v>
      </c>
      <c r="M18" s="113">
        <f>Monitoramento!G16</f>
        <v>1.7974767999999995E-2</v>
      </c>
      <c r="N18" s="113">
        <f>M18*K18/100</f>
        <v>9.5266270399999974E-3</v>
      </c>
      <c r="O18" s="113">
        <f>M18*L18/100</f>
        <v>3.2354582399999991E-3</v>
      </c>
      <c r="P18" s="113">
        <f>$B$2*'FE-Calcinação'!$C$4</f>
        <v>1.1415525114155252E-2</v>
      </c>
    </row>
    <row r="19" spans="1:16" x14ac:dyDescent="0.25">
      <c r="A19" s="20" t="s">
        <v>436</v>
      </c>
      <c r="B19" s="112" t="s">
        <v>72</v>
      </c>
      <c r="C19" s="111" t="s">
        <v>260</v>
      </c>
      <c r="D19" s="115">
        <v>-20.161805999999999</v>
      </c>
      <c r="E19" s="115">
        <v>-40.229750000000003</v>
      </c>
      <c r="F19" s="111">
        <v>0.3</v>
      </c>
      <c r="G19" s="127">
        <f>AVERAGE(Monitoramento!AY25)</f>
        <v>926.49333333333334</v>
      </c>
      <c r="H19" s="127">
        <f>AVERAGE(Monitoramento!AY24)</f>
        <v>1154.9466666666667</v>
      </c>
      <c r="I19" s="112">
        <v>31.5</v>
      </c>
      <c r="J19" s="112">
        <v>6.3</v>
      </c>
      <c r="K19" s="112">
        <v>53</v>
      </c>
      <c r="L19" s="112">
        <v>18</v>
      </c>
      <c r="M19" s="113">
        <f>Monitoramento!G17</f>
        <v>6.5811909777777795E-3</v>
      </c>
      <c r="N19" s="113">
        <f>M19*K19/100</f>
        <v>3.4880312182222232E-3</v>
      </c>
      <c r="O19" s="113">
        <f>M19*L19/100</f>
        <v>1.1846143760000003E-3</v>
      </c>
      <c r="P19" s="113">
        <f>$B$2*'FE-Calcinação'!$C$4</f>
        <v>1.1415525114155252E-2</v>
      </c>
    </row>
    <row r="20" spans="1:16" x14ac:dyDescent="0.25">
      <c r="A20" s="203" t="s">
        <v>270</v>
      </c>
      <c r="B20" s="152"/>
      <c r="C20" s="152"/>
      <c r="D20" s="152"/>
      <c r="E20" s="152"/>
      <c r="F20" s="152"/>
      <c r="G20" s="152"/>
      <c r="H20" s="152"/>
      <c r="I20" s="152"/>
      <c r="J20" s="152"/>
      <c r="K20" s="85"/>
      <c r="L20" s="85"/>
      <c r="M20" s="79">
        <f>SUM(M7:M19)</f>
        <v>0.6488017664611111</v>
      </c>
      <c r="N20" s="79">
        <f>SUM(N7:N19)</f>
        <v>0.51984279706633341</v>
      </c>
      <c r="O20" s="79">
        <f>SUM(O7:O19)</f>
        <v>0.21763650310033331</v>
      </c>
      <c r="P20" s="79">
        <f>SUM(P7:P19)</f>
        <v>2.2831050228310504E-2</v>
      </c>
    </row>
    <row r="23" spans="1:16" x14ac:dyDescent="0.25">
      <c r="A23" s="195" t="s">
        <v>167</v>
      </c>
      <c r="B23" s="205"/>
    </row>
    <row r="24" spans="1:16" x14ac:dyDescent="0.25">
      <c r="A24" s="196"/>
      <c r="B24" s="206"/>
    </row>
    <row r="25" spans="1:16" x14ac:dyDescent="0.25">
      <c r="A25" s="196"/>
      <c r="B25" s="207"/>
    </row>
    <row r="26" spans="1:16" x14ac:dyDescent="0.25">
      <c r="A26" s="196"/>
      <c r="B26" s="198" t="s">
        <v>308</v>
      </c>
    </row>
    <row r="27" spans="1:16" x14ac:dyDescent="0.25">
      <c r="A27" s="196"/>
      <c r="B27" s="198"/>
    </row>
    <row r="28" spans="1:16" x14ac:dyDescent="0.25">
      <c r="A28" s="196"/>
      <c r="B28" s="198"/>
    </row>
    <row r="29" spans="1:16" x14ac:dyDescent="0.25">
      <c r="A29" s="197"/>
      <c r="B29" s="198"/>
    </row>
    <row r="30" spans="1:16" x14ac:dyDescent="0.25">
      <c r="A30" s="2"/>
      <c r="B30" s="2"/>
    </row>
    <row r="34" ht="15" customHeight="1" x14ac:dyDescent="0.25"/>
  </sheetData>
  <sheetProtection password="B056" sheet="1" objects="1" scenarios="1"/>
  <mergeCells count="16">
    <mergeCell ref="A23:A29"/>
    <mergeCell ref="B26:B29"/>
    <mergeCell ref="J5:J6"/>
    <mergeCell ref="M5:P5"/>
    <mergeCell ref="A20:J20"/>
    <mergeCell ref="A5:A6"/>
    <mergeCell ref="B5:B6"/>
    <mergeCell ref="C5:C6"/>
    <mergeCell ref="F5:F6"/>
    <mergeCell ref="G5:G6"/>
    <mergeCell ref="I5:I6"/>
    <mergeCell ref="D5:D6"/>
    <mergeCell ref="E5:E6"/>
    <mergeCell ref="B23:B25"/>
    <mergeCell ref="H5:H6"/>
    <mergeCell ref="K5:L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opLeftCell="E1" zoomScaleNormal="100" workbookViewId="0">
      <selection activeCell="O30" sqref="O30"/>
    </sheetView>
  </sheetViews>
  <sheetFormatPr defaultRowHeight="15" x14ac:dyDescent="0.25"/>
  <cols>
    <col min="1" max="1" width="26.42578125" customWidth="1"/>
    <col min="2" max="2" width="21.5703125" customWidth="1"/>
    <col min="3" max="3" width="19.28515625" customWidth="1"/>
    <col min="4" max="4" width="30.140625" bestFit="1" customWidth="1"/>
    <col min="5" max="13" width="13.7109375" customWidth="1"/>
    <col min="14" max="19" width="8.7109375" customWidth="1"/>
    <col min="20" max="20" width="10.42578125" bestFit="1" customWidth="1"/>
  </cols>
  <sheetData>
    <row r="1" spans="1:20" x14ac:dyDescent="0.25">
      <c r="A1" s="20" t="s">
        <v>191</v>
      </c>
      <c r="H1" s="20"/>
    </row>
    <row r="3" spans="1:20" x14ac:dyDescent="0.25">
      <c r="A3" s="211" t="s">
        <v>179</v>
      </c>
      <c r="B3" s="211" t="s">
        <v>47</v>
      </c>
      <c r="C3" s="211" t="s">
        <v>180</v>
      </c>
      <c r="D3" s="211" t="s">
        <v>181</v>
      </c>
      <c r="E3" s="199" t="s">
        <v>302</v>
      </c>
      <c r="F3" s="199" t="s">
        <v>303</v>
      </c>
      <c r="G3" s="211" t="s">
        <v>45</v>
      </c>
      <c r="H3" s="211" t="s">
        <v>182</v>
      </c>
      <c r="I3" s="213" t="s">
        <v>183</v>
      </c>
      <c r="J3" s="214"/>
      <c r="K3" s="214"/>
      <c r="L3" s="214"/>
      <c r="M3" s="215"/>
      <c r="N3" s="213" t="s">
        <v>184</v>
      </c>
      <c r="O3" s="214"/>
      <c r="P3" s="214"/>
      <c r="Q3" s="214"/>
      <c r="R3" s="214"/>
      <c r="S3" s="214"/>
      <c r="T3" s="214"/>
    </row>
    <row r="4" spans="1:20" x14ac:dyDescent="0.25">
      <c r="A4" s="212"/>
      <c r="B4" s="212"/>
      <c r="C4" s="212"/>
      <c r="D4" s="212"/>
      <c r="E4" s="199"/>
      <c r="F4" s="199"/>
      <c r="G4" s="212"/>
      <c r="H4" s="212"/>
      <c r="I4" s="36" t="s">
        <v>185</v>
      </c>
      <c r="J4" s="36" t="s">
        <v>186</v>
      </c>
      <c r="K4" s="36" t="s">
        <v>187</v>
      </c>
      <c r="L4" s="36" t="s">
        <v>188</v>
      </c>
      <c r="M4" s="36" t="s">
        <v>442</v>
      </c>
      <c r="N4" s="36" t="s">
        <v>185</v>
      </c>
      <c r="O4" s="36" t="s">
        <v>189</v>
      </c>
      <c r="P4" s="36" t="s">
        <v>190</v>
      </c>
      <c r="Q4" s="36" t="s">
        <v>186</v>
      </c>
      <c r="R4" s="36" t="s">
        <v>187</v>
      </c>
      <c r="S4" s="36" t="s">
        <v>188</v>
      </c>
      <c r="T4" s="36" t="s">
        <v>442</v>
      </c>
    </row>
    <row r="5" spans="1:20" x14ac:dyDescent="0.25">
      <c r="A5" s="20" t="str">
        <f>Dados!A49</f>
        <v>Pá Carregadeira</v>
      </c>
      <c r="B5" s="117" t="str">
        <f>Dados!B49</f>
        <v>L60F Volvo</v>
      </c>
      <c r="C5" s="37">
        <v>155</v>
      </c>
      <c r="D5" s="38" t="s">
        <v>154</v>
      </c>
      <c r="E5" s="216">
        <v>-20.161643999999999</v>
      </c>
      <c r="F5" s="216">
        <v>-40.229785</v>
      </c>
      <c r="G5" s="136">
        <f>Dados!C49</f>
        <v>1</v>
      </c>
      <c r="H5" s="37">
        <f>Dados!D49</f>
        <v>8</v>
      </c>
      <c r="I5" s="113">
        <f t="shared" ref="I5:I17" si="0">(INDEX(FE_Equip,MATCH($D5,Pot_Equip,0),2))</f>
        <v>3.4873730864910753E-2</v>
      </c>
      <c r="J5" s="113">
        <f t="shared" ref="J5:J17" si="1">(INDEX(FE_Equip,MATCH($D5,Pot_Equip,0),3))</f>
        <v>0.62819014565488085</v>
      </c>
      <c r="K5" s="113">
        <f t="shared" ref="K5:K17" si="2">(INDEX(FE_Equip,MATCH($D5,Pot_Equip,0),4))</f>
        <v>5.4259968788077681E-4</v>
      </c>
      <c r="L5" s="113">
        <f t="shared" ref="L5:L17" si="3">(INDEX(FE_Equip,MATCH($D5,Pot_Equip,0),5))</f>
        <v>0.29143683660988179</v>
      </c>
      <c r="M5" s="113">
        <f t="shared" ref="M5:M17" si="4">(INDEX(FE_Equip,MATCH($D5,Pot_Equip,0),6))</f>
        <v>7.9806989940830519E-2</v>
      </c>
      <c r="N5" s="113">
        <f>I5*G5*H5/(24)</f>
        <v>1.1624576954970251E-2</v>
      </c>
      <c r="O5" s="113">
        <f>N5</f>
        <v>1.1624576954970251E-2</v>
      </c>
      <c r="P5" s="113">
        <f>N5</f>
        <v>1.1624576954970251E-2</v>
      </c>
      <c r="Q5" s="113">
        <f>J5*$G5*$H5/(24)</f>
        <v>0.20939671521829362</v>
      </c>
      <c r="R5" s="113">
        <f t="shared" ref="R5:T16" si="5">K5*$G5*$H5/(24)</f>
        <v>1.8086656262692561E-4</v>
      </c>
      <c r="S5" s="113">
        <f t="shared" si="5"/>
        <v>9.714561220329393E-2</v>
      </c>
      <c r="T5" s="113">
        <f t="shared" si="5"/>
        <v>2.660232998027684E-2</v>
      </c>
    </row>
    <row r="6" spans="1:20" x14ac:dyDescent="0.25">
      <c r="A6" s="20" t="str">
        <f>Dados!A50</f>
        <v>Pá Carregadeira</v>
      </c>
      <c r="B6" s="117" t="str">
        <f>Dados!B50</f>
        <v>ZL938-03</v>
      </c>
      <c r="C6" s="37">
        <v>155</v>
      </c>
      <c r="D6" s="38" t="s">
        <v>154</v>
      </c>
      <c r="E6" s="217"/>
      <c r="F6" s="217"/>
      <c r="G6" s="136">
        <f>Dados!C50</f>
        <v>1</v>
      </c>
      <c r="H6" s="37">
        <f>Dados!D50</f>
        <v>8</v>
      </c>
      <c r="I6" s="113">
        <f t="shared" si="0"/>
        <v>3.4873730864910753E-2</v>
      </c>
      <c r="J6" s="113">
        <f t="shared" si="1"/>
        <v>0.62819014565488085</v>
      </c>
      <c r="K6" s="113">
        <f t="shared" si="2"/>
        <v>5.4259968788077681E-4</v>
      </c>
      <c r="L6" s="113">
        <f t="shared" si="3"/>
        <v>0.29143683660988179</v>
      </c>
      <c r="M6" s="113">
        <f t="shared" si="4"/>
        <v>7.9806989940830519E-2</v>
      </c>
      <c r="N6" s="113">
        <f t="shared" ref="N6:N16" si="6">I6*G6*H6/(24)</f>
        <v>1.1624576954970251E-2</v>
      </c>
      <c r="O6" s="113">
        <f>N6</f>
        <v>1.1624576954970251E-2</v>
      </c>
      <c r="P6" s="113">
        <f t="shared" ref="P6:P16" si="7">N6</f>
        <v>1.1624576954970251E-2</v>
      </c>
      <c r="Q6" s="113">
        <f t="shared" ref="Q6:Q16" si="8">J6*$G6*$H6/(24)</f>
        <v>0.20939671521829362</v>
      </c>
      <c r="R6" s="113">
        <f t="shared" si="5"/>
        <v>1.8086656262692561E-4</v>
      </c>
      <c r="S6" s="113">
        <f t="shared" si="5"/>
        <v>9.714561220329393E-2</v>
      </c>
      <c r="T6" s="113">
        <f t="shared" si="5"/>
        <v>2.660232998027684E-2</v>
      </c>
    </row>
    <row r="7" spans="1:20" x14ac:dyDescent="0.25">
      <c r="A7" s="20" t="str">
        <f>Dados!A51</f>
        <v>Pá Carregadeira</v>
      </c>
      <c r="B7" s="117" t="str">
        <f>Dados!B51</f>
        <v>ZL938-047</v>
      </c>
      <c r="C7" s="37">
        <v>155</v>
      </c>
      <c r="D7" s="38" t="s">
        <v>154</v>
      </c>
      <c r="E7" s="217"/>
      <c r="F7" s="217"/>
      <c r="G7" s="136">
        <f>Dados!C51</f>
        <v>1</v>
      </c>
      <c r="H7" s="37">
        <f>Dados!D51</f>
        <v>8</v>
      </c>
      <c r="I7" s="113">
        <f t="shared" si="0"/>
        <v>3.4873730864910753E-2</v>
      </c>
      <c r="J7" s="113">
        <f t="shared" si="1"/>
        <v>0.62819014565488085</v>
      </c>
      <c r="K7" s="113">
        <f t="shared" si="2"/>
        <v>5.4259968788077681E-4</v>
      </c>
      <c r="L7" s="113">
        <f t="shared" si="3"/>
        <v>0.29143683660988179</v>
      </c>
      <c r="M7" s="113">
        <f t="shared" si="4"/>
        <v>7.9806989940830519E-2</v>
      </c>
      <c r="N7" s="113">
        <f t="shared" si="6"/>
        <v>1.1624576954970251E-2</v>
      </c>
      <c r="O7" s="113">
        <f t="shared" ref="O7:O16" si="9">N7</f>
        <v>1.1624576954970251E-2</v>
      </c>
      <c r="P7" s="113">
        <f t="shared" si="7"/>
        <v>1.1624576954970251E-2</v>
      </c>
      <c r="Q7" s="113">
        <f t="shared" si="8"/>
        <v>0.20939671521829362</v>
      </c>
      <c r="R7" s="113">
        <f t="shared" si="5"/>
        <v>1.8086656262692561E-4</v>
      </c>
      <c r="S7" s="113">
        <f t="shared" si="5"/>
        <v>9.714561220329393E-2</v>
      </c>
      <c r="T7" s="113">
        <f t="shared" si="5"/>
        <v>2.660232998027684E-2</v>
      </c>
    </row>
    <row r="8" spans="1:20" x14ac:dyDescent="0.25">
      <c r="A8" s="20" t="str">
        <f>Dados!A52</f>
        <v>Retroescavadeira</v>
      </c>
      <c r="B8" s="117" t="str">
        <f>Dados!B52</f>
        <v>416 E</v>
      </c>
      <c r="C8" s="37">
        <f>58*1.34</f>
        <v>77.72</v>
      </c>
      <c r="D8" s="38" t="s">
        <v>162</v>
      </c>
      <c r="E8" s="217"/>
      <c r="F8" s="217"/>
      <c r="G8" s="136">
        <f>Dados!C52</f>
        <v>1</v>
      </c>
      <c r="H8" s="37">
        <f>Dados!D52</f>
        <v>8</v>
      </c>
      <c r="I8" s="113">
        <f t="shared" si="0"/>
        <v>2.8793655488323529E-2</v>
      </c>
      <c r="J8" s="113">
        <f t="shared" si="1"/>
        <v>0.31658028839538099</v>
      </c>
      <c r="K8" s="113">
        <f t="shared" si="2"/>
        <v>2.7523798360286437E-4</v>
      </c>
      <c r="L8" s="113">
        <f t="shared" si="3"/>
        <v>0.1700059255667182</v>
      </c>
      <c r="M8" s="113">
        <f t="shared" si="4"/>
        <v>5.3477532985904644E-2</v>
      </c>
      <c r="N8" s="113">
        <f t="shared" si="6"/>
        <v>9.5978851627745096E-3</v>
      </c>
      <c r="O8" s="113">
        <f t="shared" si="9"/>
        <v>9.5978851627745096E-3</v>
      </c>
      <c r="P8" s="113">
        <f t="shared" si="7"/>
        <v>9.5978851627745096E-3</v>
      </c>
      <c r="Q8" s="113">
        <f t="shared" si="8"/>
        <v>0.10552676279846034</v>
      </c>
      <c r="R8" s="113">
        <f t="shared" si="5"/>
        <v>9.1745994534288118E-5</v>
      </c>
      <c r="S8" s="113">
        <f t="shared" si="5"/>
        <v>5.6668641855572736E-2</v>
      </c>
      <c r="T8" s="113">
        <f t="shared" si="5"/>
        <v>1.782584432863488E-2</v>
      </c>
    </row>
    <row r="9" spans="1:20" x14ac:dyDescent="0.25">
      <c r="A9" s="20" t="str">
        <f>Dados!A53</f>
        <v>Mini Carregadeira</v>
      </c>
      <c r="B9" s="117" t="str">
        <f>Dados!B53</f>
        <v>MC110 B 01</v>
      </c>
      <c r="C9" s="37">
        <f>60*1.34</f>
        <v>80.400000000000006</v>
      </c>
      <c r="D9" s="38" t="s">
        <v>177</v>
      </c>
      <c r="E9" s="217"/>
      <c r="F9" s="217"/>
      <c r="G9" s="136">
        <f>Dados!C53</f>
        <v>1</v>
      </c>
      <c r="H9" s="37">
        <f>Dados!D53</f>
        <v>8</v>
      </c>
      <c r="I9" s="113">
        <f t="shared" si="0"/>
        <v>2.0641434815897017E-2</v>
      </c>
      <c r="J9" s="113">
        <f t="shared" si="1"/>
        <v>0.23839718560019418</v>
      </c>
      <c r="K9" s="113">
        <f t="shared" si="2"/>
        <v>2.2753002280805838E-4</v>
      </c>
      <c r="L9" s="113">
        <f t="shared" si="3"/>
        <v>0.13258663706736068</v>
      </c>
      <c r="M9" s="113">
        <f t="shared" si="4"/>
        <v>3.8096185371746936E-2</v>
      </c>
      <c r="N9" s="113">
        <f t="shared" si="6"/>
        <v>6.880478271965672E-3</v>
      </c>
      <c r="O9" s="113">
        <f t="shared" si="9"/>
        <v>6.880478271965672E-3</v>
      </c>
      <c r="P9" s="113">
        <f t="shared" si="7"/>
        <v>6.880478271965672E-3</v>
      </c>
      <c r="Q9" s="113">
        <f t="shared" si="8"/>
        <v>7.9465728533398061E-2</v>
      </c>
      <c r="R9" s="113">
        <f t="shared" si="5"/>
        <v>7.5843340936019459E-5</v>
      </c>
      <c r="S9" s="113">
        <f t="shared" si="5"/>
        <v>4.4195545689120229E-2</v>
      </c>
      <c r="T9" s="113">
        <f t="shared" si="5"/>
        <v>1.2698728457248979E-2</v>
      </c>
    </row>
    <row r="10" spans="1:20" x14ac:dyDescent="0.25">
      <c r="A10" s="20" t="str">
        <f>Dados!A54</f>
        <v>Mini Carregadeira</v>
      </c>
      <c r="B10" s="117" t="str">
        <f>Dados!B54</f>
        <v>MC110 B 03</v>
      </c>
      <c r="C10" s="37">
        <f>60*1.34</f>
        <v>80.400000000000006</v>
      </c>
      <c r="D10" s="38" t="s">
        <v>177</v>
      </c>
      <c r="E10" s="217"/>
      <c r="F10" s="217"/>
      <c r="G10" s="136">
        <f>Dados!C54</f>
        <v>1</v>
      </c>
      <c r="H10" s="37">
        <f>Dados!D54</f>
        <v>8</v>
      </c>
      <c r="I10" s="113">
        <f t="shared" si="0"/>
        <v>2.0641434815897017E-2</v>
      </c>
      <c r="J10" s="113">
        <f t="shared" si="1"/>
        <v>0.23839718560019418</v>
      </c>
      <c r="K10" s="113">
        <f t="shared" si="2"/>
        <v>2.2753002280805838E-4</v>
      </c>
      <c r="L10" s="113">
        <f t="shared" si="3"/>
        <v>0.13258663706736068</v>
      </c>
      <c r="M10" s="113">
        <f t="shared" si="4"/>
        <v>3.8096185371746936E-2</v>
      </c>
      <c r="N10" s="113">
        <f t="shared" si="6"/>
        <v>6.880478271965672E-3</v>
      </c>
      <c r="O10" s="113">
        <f t="shared" si="9"/>
        <v>6.880478271965672E-3</v>
      </c>
      <c r="P10" s="113">
        <f t="shared" si="7"/>
        <v>6.880478271965672E-3</v>
      </c>
      <c r="Q10" s="113">
        <f t="shared" si="8"/>
        <v>7.9465728533398061E-2</v>
      </c>
      <c r="R10" s="113">
        <f t="shared" si="5"/>
        <v>7.5843340936019459E-5</v>
      </c>
      <c r="S10" s="113">
        <f t="shared" si="5"/>
        <v>4.4195545689120229E-2</v>
      </c>
      <c r="T10" s="113">
        <f t="shared" si="5"/>
        <v>1.2698728457248979E-2</v>
      </c>
    </row>
    <row r="11" spans="1:20" x14ac:dyDescent="0.25">
      <c r="A11" s="20" t="str">
        <f>Dados!A55</f>
        <v>Empilhadeira</v>
      </c>
      <c r="B11" s="117" t="str">
        <f>Dados!B55</f>
        <v>Yale Mod GP050VX</v>
      </c>
      <c r="C11" s="37">
        <v>62</v>
      </c>
      <c r="D11" s="38" t="s">
        <v>171</v>
      </c>
      <c r="E11" s="217"/>
      <c r="F11" s="217"/>
      <c r="G11" s="136">
        <f>Dados!C55</f>
        <v>1</v>
      </c>
      <c r="H11" s="37">
        <f>Dados!D55</f>
        <v>8</v>
      </c>
      <c r="I11" s="113">
        <f t="shared" si="0"/>
        <v>1.9432717920016346E-2</v>
      </c>
      <c r="J11" s="113">
        <f t="shared" si="1"/>
        <v>0.19770476916405869</v>
      </c>
      <c r="K11" s="113">
        <f t="shared" si="2"/>
        <v>1.6614354833010314E-4</v>
      </c>
      <c r="L11" s="113">
        <f t="shared" si="3"/>
        <v>0.10602299202233414</v>
      </c>
      <c r="M11" s="113">
        <f t="shared" si="4"/>
        <v>3.5663485612068627E-2</v>
      </c>
      <c r="N11" s="113">
        <f t="shared" si="6"/>
        <v>6.4775726400054488E-3</v>
      </c>
      <c r="O11" s="113">
        <f t="shared" si="9"/>
        <v>6.4775726400054488E-3</v>
      </c>
      <c r="P11" s="113">
        <f t="shared" si="7"/>
        <v>6.4775726400054488E-3</v>
      </c>
      <c r="Q11" s="113">
        <f t="shared" si="8"/>
        <v>6.5901589721352891E-2</v>
      </c>
      <c r="R11" s="113">
        <f t="shared" si="5"/>
        <v>5.5381182776701045E-5</v>
      </c>
      <c r="S11" s="113">
        <f t="shared" si="5"/>
        <v>3.5340997340778051E-2</v>
      </c>
      <c r="T11" s="113">
        <f t="shared" si="5"/>
        <v>1.1887828537356209E-2</v>
      </c>
    </row>
    <row r="12" spans="1:20" x14ac:dyDescent="0.25">
      <c r="A12" s="20" t="str">
        <f>Dados!A56</f>
        <v>Empilhadeira</v>
      </c>
      <c r="B12" s="117" t="str">
        <f>Dados!B56</f>
        <v>Yale 01</v>
      </c>
      <c r="C12" s="37">
        <f>C11</f>
        <v>62</v>
      </c>
      <c r="D12" s="38" t="s">
        <v>171</v>
      </c>
      <c r="E12" s="217"/>
      <c r="F12" s="217"/>
      <c r="G12" s="136">
        <f>Dados!C56</f>
        <v>1</v>
      </c>
      <c r="H12" s="37">
        <f>Dados!D56</f>
        <v>8</v>
      </c>
      <c r="I12" s="113">
        <f t="shared" si="0"/>
        <v>1.9432717920016346E-2</v>
      </c>
      <c r="J12" s="113">
        <f t="shared" si="1"/>
        <v>0.19770476916405869</v>
      </c>
      <c r="K12" s="113">
        <f t="shared" si="2"/>
        <v>1.6614354833010314E-4</v>
      </c>
      <c r="L12" s="113">
        <f t="shared" si="3"/>
        <v>0.10602299202233414</v>
      </c>
      <c r="M12" s="113">
        <f t="shared" si="4"/>
        <v>3.5663485612068627E-2</v>
      </c>
      <c r="N12" s="113">
        <f t="shared" si="6"/>
        <v>6.4775726400054488E-3</v>
      </c>
      <c r="O12" s="113">
        <f t="shared" si="9"/>
        <v>6.4775726400054488E-3</v>
      </c>
      <c r="P12" s="113">
        <f t="shared" si="7"/>
        <v>6.4775726400054488E-3</v>
      </c>
      <c r="Q12" s="113">
        <f t="shared" si="8"/>
        <v>6.5901589721352891E-2</v>
      </c>
      <c r="R12" s="113">
        <f t="shared" si="5"/>
        <v>5.5381182776701045E-5</v>
      </c>
      <c r="S12" s="113">
        <f t="shared" si="5"/>
        <v>3.5340997340778051E-2</v>
      </c>
      <c r="T12" s="113">
        <f t="shared" si="5"/>
        <v>1.1887828537356209E-2</v>
      </c>
    </row>
    <row r="13" spans="1:20" x14ac:dyDescent="0.25">
      <c r="A13" s="20" t="str">
        <f>Dados!A57</f>
        <v>Empilhadeira</v>
      </c>
      <c r="B13" s="117" t="str">
        <f>Dados!B57</f>
        <v>Yale 02</v>
      </c>
      <c r="C13" s="37">
        <f>C11</f>
        <v>62</v>
      </c>
      <c r="D13" s="38" t="s">
        <v>171</v>
      </c>
      <c r="E13" s="217"/>
      <c r="F13" s="217"/>
      <c r="G13" s="136">
        <f>Dados!C57</f>
        <v>1</v>
      </c>
      <c r="H13" s="37">
        <f>Dados!D57</f>
        <v>8</v>
      </c>
      <c r="I13" s="113">
        <f t="shared" si="0"/>
        <v>1.9432717920016346E-2</v>
      </c>
      <c r="J13" s="113">
        <f t="shared" si="1"/>
        <v>0.19770476916405869</v>
      </c>
      <c r="K13" s="113">
        <f t="shared" si="2"/>
        <v>1.6614354833010314E-4</v>
      </c>
      <c r="L13" s="113">
        <f t="shared" si="3"/>
        <v>0.10602299202233414</v>
      </c>
      <c r="M13" s="113">
        <f t="shared" si="4"/>
        <v>3.5663485612068627E-2</v>
      </c>
      <c r="N13" s="113">
        <f t="shared" si="6"/>
        <v>6.4775726400054488E-3</v>
      </c>
      <c r="O13" s="113">
        <f t="shared" si="9"/>
        <v>6.4775726400054488E-3</v>
      </c>
      <c r="P13" s="113">
        <f t="shared" si="7"/>
        <v>6.4775726400054488E-3</v>
      </c>
      <c r="Q13" s="113">
        <f t="shared" si="8"/>
        <v>6.5901589721352891E-2</v>
      </c>
      <c r="R13" s="113">
        <f t="shared" si="5"/>
        <v>5.5381182776701045E-5</v>
      </c>
      <c r="S13" s="113">
        <f t="shared" si="5"/>
        <v>3.5340997340778051E-2</v>
      </c>
      <c r="T13" s="113">
        <f t="shared" si="5"/>
        <v>1.1887828537356209E-2</v>
      </c>
    </row>
    <row r="14" spans="1:20" x14ac:dyDescent="0.25">
      <c r="A14" s="20" t="str">
        <f>Dados!A58</f>
        <v>Empilhadeira</v>
      </c>
      <c r="B14" s="117" t="str">
        <f>Dados!B58</f>
        <v>Clark 02</v>
      </c>
      <c r="C14" s="37">
        <v>63</v>
      </c>
      <c r="D14" s="38" t="s">
        <v>171</v>
      </c>
      <c r="E14" s="217"/>
      <c r="F14" s="217"/>
      <c r="G14" s="136">
        <f>Dados!C58</f>
        <v>1</v>
      </c>
      <c r="H14" s="37">
        <f>Dados!D58</f>
        <v>8</v>
      </c>
      <c r="I14" s="113">
        <f t="shared" si="0"/>
        <v>1.9432717920016346E-2</v>
      </c>
      <c r="J14" s="113">
        <f t="shared" si="1"/>
        <v>0.19770476916405869</v>
      </c>
      <c r="K14" s="113">
        <f t="shared" si="2"/>
        <v>1.6614354833010314E-4</v>
      </c>
      <c r="L14" s="113">
        <f t="shared" si="3"/>
        <v>0.10602299202233414</v>
      </c>
      <c r="M14" s="113">
        <f t="shared" si="4"/>
        <v>3.5663485612068627E-2</v>
      </c>
      <c r="N14" s="113">
        <f t="shared" si="6"/>
        <v>6.4775726400054488E-3</v>
      </c>
      <c r="O14" s="113">
        <f t="shared" si="9"/>
        <v>6.4775726400054488E-3</v>
      </c>
      <c r="P14" s="113">
        <f t="shared" si="7"/>
        <v>6.4775726400054488E-3</v>
      </c>
      <c r="Q14" s="113">
        <f t="shared" si="8"/>
        <v>6.5901589721352891E-2</v>
      </c>
      <c r="R14" s="113">
        <f t="shared" si="5"/>
        <v>5.5381182776701045E-5</v>
      </c>
      <c r="S14" s="113">
        <f t="shared" si="5"/>
        <v>3.5340997340778051E-2</v>
      </c>
      <c r="T14" s="113">
        <f t="shared" si="5"/>
        <v>1.1887828537356209E-2</v>
      </c>
    </row>
    <row r="15" spans="1:20" x14ac:dyDescent="0.25">
      <c r="A15" s="20" t="str">
        <f>Dados!A59</f>
        <v>Empilhadeira</v>
      </c>
      <c r="B15" s="117" t="str">
        <f>Dados!B59</f>
        <v>Clark 03</v>
      </c>
      <c r="C15" s="37">
        <v>63</v>
      </c>
      <c r="D15" s="38" t="s">
        <v>171</v>
      </c>
      <c r="E15" s="217"/>
      <c r="F15" s="217"/>
      <c r="G15" s="136">
        <f>Dados!C59</f>
        <v>1</v>
      </c>
      <c r="H15" s="37">
        <f>Dados!D59</f>
        <v>8</v>
      </c>
      <c r="I15" s="113">
        <f t="shared" si="0"/>
        <v>1.9432717920016346E-2</v>
      </c>
      <c r="J15" s="113">
        <f t="shared" si="1"/>
        <v>0.19770476916405869</v>
      </c>
      <c r="K15" s="113">
        <f t="shared" si="2"/>
        <v>1.6614354833010314E-4</v>
      </c>
      <c r="L15" s="113">
        <f t="shared" si="3"/>
        <v>0.10602299202233414</v>
      </c>
      <c r="M15" s="113">
        <f t="shared" si="4"/>
        <v>3.5663485612068627E-2</v>
      </c>
      <c r="N15" s="113">
        <f t="shared" si="6"/>
        <v>6.4775726400054488E-3</v>
      </c>
      <c r="O15" s="113">
        <f t="shared" si="9"/>
        <v>6.4775726400054488E-3</v>
      </c>
      <c r="P15" s="113">
        <f t="shared" si="7"/>
        <v>6.4775726400054488E-3</v>
      </c>
      <c r="Q15" s="113">
        <f t="shared" si="8"/>
        <v>6.5901589721352891E-2</v>
      </c>
      <c r="R15" s="113">
        <f t="shared" si="5"/>
        <v>5.5381182776701045E-5</v>
      </c>
      <c r="S15" s="113">
        <f t="shared" si="5"/>
        <v>3.5340997340778051E-2</v>
      </c>
      <c r="T15" s="113">
        <f t="shared" si="5"/>
        <v>1.1887828537356209E-2</v>
      </c>
    </row>
    <row r="16" spans="1:20" x14ac:dyDescent="0.25">
      <c r="A16" s="20" t="str">
        <f>Dados!A60</f>
        <v>Empilhadeira</v>
      </c>
      <c r="B16" s="117" t="str">
        <f>Dados!B60</f>
        <v>Clark 06</v>
      </c>
      <c r="C16" s="37">
        <v>63</v>
      </c>
      <c r="D16" s="38" t="s">
        <v>171</v>
      </c>
      <c r="E16" s="217"/>
      <c r="F16" s="217"/>
      <c r="G16" s="136">
        <f>Dados!C60</f>
        <v>1</v>
      </c>
      <c r="H16" s="37">
        <f>Dados!D60</f>
        <v>8</v>
      </c>
      <c r="I16" s="113">
        <f t="shared" si="0"/>
        <v>1.9432717920016346E-2</v>
      </c>
      <c r="J16" s="113">
        <f t="shared" si="1"/>
        <v>0.19770476916405869</v>
      </c>
      <c r="K16" s="113">
        <f t="shared" si="2"/>
        <v>1.6614354833010314E-4</v>
      </c>
      <c r="L16" s="113">
        <f t="shared" si="3"/>
        <v>0.10602299202233414</v>
      </c>
      <c r="M16" s="113">
        <f t="shared" si="4"/>
        <v>3.5663485612068627E-2</v>
      </c>
      <c r="N16" s="113">
        <f t="shared" si="6"/>
        <v>6.4775726400054488E-3</v>
      </c>
      <c r="O16" s="113">
        <f t="shared" si="9"/>
        <v>6.4775726400054488E-3</v>
      </c>
      <c r="P16" s="113">
        <f t="shared" si="7"/>
        <v>6.4775726400054488E-3</v>
      </c>
      <c r="Q16" s="113">
        <f t="shared" si="8"/>
        <v>6.5901589721352891E-2</v>
      </c>
      <c r="R16" s="113">
        <f t="shared" si="5"/>
        <v>5.5381182776701045E-5</v>
      </c>
      <c r="S16" s="113">
        <f t="shared" si="5"/>
        <v>3.5340997340778051E-2</v>
      </c>
      <c r="T16" s="113">
        <f t="shared" si="5"/>
        <v>1.1887828537356209E-2</v>
      </c>
    </row>
    <row r="17" spans="1:20" x14ac:dyDescent="0.25">
      <c r="A17" s="20" t="str">
        <f>Dados!A61</f>
        <v>Empilhadeira</v>
      </c>
      <c r="B17" s="117" t="str">
        <f>Dados!B61</f>
        <v>Clark 08</v>
      </c>
      <c r="C17" s="37">
        <v>63</v>
      </c>
      <c r="D17" s="38" t="s">
        <v>171</v>
      </c>
      <c r="E17" s="217"/>
      <c r="F17" s="217"/>
      <c r="G17" s="136">
        <f>Dados!C61</f>
        <v>1</v>
      </c>
      <c r="H17" s="37">
        <f>Dados!D61</f>
        <v>8</v>
      </c>
      <c r="I17" s="113">
        <f t="shared" si="0"/>
        <v>1.9432717920016346E-2</v>
      </c>
      <c r="J17" s="113">
        <f t="shared" si="1"/>
        <v>0.19770476916405869</v>
      </c>
      <c r="K17" s="113">
        <f t="shared" si="2"/>
        <v>1.6614354833010314E-4</v>
      </c>
      <c r="L17" s="113">
        <f t="shared" si="3"/>
        <v>0.10602299202233414</v>
      </c>
      <c r="M17" s="113">
        <f t="shared" si="4"/>
        <v>3.5663485612068627E-2</v>
      </c>
      <c r="N17" s="113">
        <f t="shared" ref="N17" si="10">I17*G17*H17/(24)</f>
        <v>6.4775726400054488E-3</v>
      </c>
      <c r="O17" s="113">
        <f t="shared" ref="O17" si="11">N17</f>
        <v>6.4775726400054488E-3</v>
      </c>
      <c r="P17" s="113">
        <f t="shared" ref="P17" si="12">N17</f>
        <v>6.4775726400054488E-3</v>
      </c>
      <c r="Q17" s="113">
        <f t="shared" ref="Q17" si="13">J17*$G17*$H17/(24)</f>
        <v>6.5901589721352891E-2</v>
      </c>
      <c r="R17" s="113">
        <f t="shared" ref="R17" si="14">K17*$G17*$H17/(24)</f>
        <v>5.5381182776701045E-5</v>
      </c>
      <c r="S17" s="113">
        <f t="shared" ref="S17" si="15">L17*$G17*$H17/(24)</f>
        <v>3.5340997340778051E-2</v>
      </c>
      <c r="T17" s="113">
        <f t="shared" ref="T17" si="16">M17*$G17*$H17/(24)</f>
        <v>1.1887828537356209E-2</v>
      </c>
    </row>
    <row r="18" spans="1:20" x14ac:dyDescent="0.25">
      <c r="A18" s="210" t="s">
        <v>270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40">
        <f>SUM(N5:N17)</f>
        <v>0.10357558105165478</v>
      </c>
      <c r="O18" s="40">
        <f>SUM(O5:O17)</f>
        <v>0.10357558105165478</v>
      </c>
      <c r="P18" s="40">
        <f>SUM(P5:P17)</f>
        <v>0.10357558105165478</v>
      </c>
      <c r="Q18" s="40">
        <f t="shared" ref="Q18:T18" si="17">SUM(Q5:Q17)</f>
        <v>1.3539594935696073</v>
      </c>
      <c r="R18" s="40">
        <f t="shared" si="17"/>
        <v>1.1737006437240113E-3</v>
      </c>
      <c r="S18" s="40">
        <f t="shared" si="17"/>
        <v>0.68388355122914102</v>
      </c>
      <c r="T18" s="40">
        <f t="shared" si="17"/>
        <v>0.20624509094545679</v>
      </c>
    </row>
  </sheetData>
  <sheetProtection password="B056" sheet="1" objects="1" scenarios="1"/>
  <mergeCells count="13">
    <mergeCell ref="A18:M18"/>
    <mergeCell ref="G3:G4"/>
    <mergeCell ref="H3:H4"/>
    <mergeCell ref="I3:M3"/>
    <mergeCell ref="N3:T3"/>
    <mergeCell ref="A3:A4"/>
    <mergeCell ref="B3:B4"/>
    <mergeCell ref="C3:C4"/>
    <mergeCell ref="D3:D4"/>
    <mergeCell ref="E3:E4"/>
    <mergeCell ref="F3:F4"/>
    <mergeCell ref="E5:E17"/>
    <mergeCell ref="F5:F17"/>
  </mergeCells>
  <dataValidations disablePrompts="1" count="1">
    <dataValidation type="list" allowBlank="1" showInputMessage="1" showErrorMessage="1" sqref="D5:D17">
      <formula1>Pot_Equip</formula1>
    </dataValidation>
  </dataValidations>
  <pageMargins left="0.511811024" right="0.511811024" top="0.78740157499999996" bottom="0.78740157499999996" header="0.31496062000000002" footer="0.31496062000000002"/>
  <ignoredErrors>
    <ignoredError sqref="S11:T11 S13:T14 S16:T16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FE-Calcinação</vt:lpstr>
      <vt:lpstr>FE-Transfer</vt:lpstr>
      <vt:lpstr>FE-Vias</vt:lpstr>
      <vt:lpstr>FE-Maq Equip</vt:lpstr>
      <vt:lpstr>Controles</vt:lpstr>
      <vt:lpstr>Monitoramento</vt:lpstr>
      <vt:lpstr>Dados</vt:lpstr>
      <vt:lpstr>Emissão Chaminés</vt:lpstr>
      <vt:lpstr>Emissão Maq e Equip</vt:lpstr>
      <vt:lpstr>Emissão Transferências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2018-12-29T12:30:56Z</dcterms:created>
  <dcterms:modified xsi:type="dcterms:W3CDTF">2019-06-06T19:19:46Z</dcterms:modified>
</cp:coreProperties>
</file>