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defaultThemeVersion="153222"/>
  <mc:AlternateContent xmlns:mc="http://schemas.openxmlformats.org/markup-compatibility/2006">
    <mc:Choice Requires="x15">
      <x15ac:absPath xmlns:x15ac="http://schemas.microsoft.com/office/spreadsheetml/2010/11/ac" url="N:\Clientes\PRJ1301096-Estudo QAr RGV\02-Inventário\Memorial de Cálculo\2 Memorial_IEMA_R1\Vila Mix\"/>
    </mc:Choice>
  </mc:AlternateContent>
  <bookViews>
    <workbookView xWindow="0" yWindow="0" windowWidth="24000" windowHeight="9135" tabRatio="911" activeTab="7"/>
  </bookViews>
  <sheets>
    <sheet name="FE-Transferências" sheetId="26" r:id="rId1"/>
    <sheet name="FE-Maq e Equip" sheetId="23" r:id="rId2"/>
    <sheet name="Dados" sheetId="32" r:id="rId3"/>
    <sheet name="Emissão Chaminé" sheetId="33" r:id="rId4"/>
    <sheet name="Emissão Maq e Equip" sheetId="24" r:id="rId5"/>
    <sheet name="Emissão Transferências" sheetId="27" r:id="rId6"/>
    <sheet name="Emissão Vias" sheetId="34" r:id="rId7"/>
    <sheet name="Resumo" sheetId="28" r:id="rId8"/>
    <sheet name="ppm to mg.m-3" sheetId="6" state="hidden" r:id="rId9"/>
  </sheets>
  <externalReferences>
    <externalReference r:id="rId10"/>
  </externalReferences>
  <definedNames>
    <definedName name="FE_Maq_Equip" localSheetId="6">'[1]FE - Maq e Equip'!$B$4:$I$11</definedName>
    <definedName name="FE_Maq_Equip">'FE-Maq e Equip'!$B$4:$I$11</definedName>
    <definedName name="Pot_Equip" localSheetId="6">'[1]FE - Maq e Equip'!$B$4:$B$11</definedName>
    <definedName name="Pot_Equip">'FE-Maq e Equip'!$B$4:$B$11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7" i="24" l="1"/>
  <c r="Q7" i="24"/>
  <c r="P7" i="24"/>
  <c r="O7" i="24"/>
  <c r="L16" i="27" l="1"/>
  <c r="L10" i="27"/>
  <c r="F6" i="24"/>
  <c r="F5" i="33"/>
  <c r="B19" i="32" l="1"/>
  <c r="F11" i="32" s="1"/>
  <c r="E5" i="33" s="1"/>
  <c r="G5" i="33" l="1"/>
  <c r="L6" i="24" l="1"/>
  <c r="K6" i="24"/>
  <c r="B6" i="24"/>
  <c r="B6" i="32" l="1"/>
  <c r="B4" i="27" s="1"/>
  <c r="B5" i="32"/>
  <c r="C14" i="27" l="1"/>
  <c r="C12" i="27"/>
  <c r="C10" i="27"/>
  <c r="J6" i="24" l="1"/>
  <c r="I6" i="24"/>
  <c r="H6" i="24"/>
  <c r="G6" i="24" l="1"/>
  <c r="B2" i="27"/>
  <c r="B3" i="27" l="1"/>
  <c r="F10" i="27" s="1"/>
  <c r="Q6" i="24" l="1"/>
  <c r="R6" i="24"/>
  <c r="M6" i="24"/>
  <c r="N6" i="24" s="1"/>
  <c r="S6" i="24"/>
  <c r="P6" i="24"/>
  <c r="H5" i="33" l="1"/>
  <c r="J5" i="33" l="1"/>
  <c r="I5" i="33"/>
  <c r="I6" i="33" s="1"/>
  <c r="C3" i="28" s="1"/>
  <c r="J6" i="33"/>
  <c r="D3" i="28" s="1"/>
  <c r="H6" i="33"/>
  <c r="B3" i="28" s="1"/>
  <c r="A6" i="24"/>
  <c r="F15" i="27" l="1"/>
  <c r="F13" i="27" l="1"/>
  <c r="F14" i="27"/>
  <c r="F12" i="27"/>
  <c r="I10" i="27" l="1"/>
  <c r="K15" i="27" l="1"/>
  <c r="I15" i="27"/>
  <c r="J14" i="27"/>
  <c r="J15" i="27"/>
  <c r="K14" i="27"/>
  <c r="I14" i="27"/>
  <c r="J10" i="27"/>
  <c r="K13" i="27"/>
  <c r="N13" i="27" s="1"/>
  <c r="K12" i="27"/>
  <c r="N12" i="27" s="1"/>
  <c r="J13" i="27"/>
  <c r="M13" i="27" s="1"/>
  <c r="J12" i="27"/>
  <c r="M12" i="27" s="1"/>
  <c r="I13" i="27"/>
  <c r="L13" i="27" s="1"/>
  <c r="I12" i="27"/>
  <c r="L12" i="27" s="1"/>
  <c r="F11" i="27"/>
  <c r="K11" i="27"/>
  <c r="K10" i="27"/>
  <c r="J11" i="27"/>
  <c r="I11" i="27"/>
  <c r="N15" i="27" l="1"/>
  <c r="L15" i="27"/>
  <c r="M15" i="27"/>
  <c r="L11" i="27"/>
  <c r="M11" i="27"/>
  <c r="N11" i="27"/>
  <c r="H16" i="26"/>
  <c r="H15" i="26"/>
  <c r="M14" i="27" l="1"/>
  <c r="N14" i="27"/>
  <c r="L14" i="27"/>
  <c r="M10" i="27"/>
  <c r="N10" i="27"/>
  <c r="N16" i="27" l="1"/>
  <c r="D4" i="28" s="1"/>
  <c r="M16" i="27"/>
  <c r="C4" i="28" s="1"/>
  <c r="B4" i="28"/>
  <c r="O6" i="24" l="1"/>
  <c r="R7" i="24" l="1"/>
  <c r="G5" i="28" s="1"/>
  <c r="G7" i="28" s="1"/>
  <c r="M7" i="24"/>
  <c r="B5" i="28" s="1"/>
  <c r="B7" i="28" s="1"/>
  <c r="H5" i="28"/>
  <c r="H7" i="28" s="1"/>
  <c r="F5" i="28"/>
  <c r="F7" i="28" s="1"/>
  <c r="E5" i="28"/>
  <c r="E7" i="28" s="1"/>
  <c r="N7" i="24" l="1"/>
  <c r="C5" i="28" s="1"/>
  <c r="C7" i="28" s="1"/>
  <c r="D5" i="28"/>
  <c r="D7" i="28" s="1"/>
  <c r="F13" i="6"/>
  <c r="F21" i="6" l="1"/>
  <c r="F20" i="6"/>
  <c r="F14" i="6"/>
  <c r="F18" i="6"/>
  <c r="F17" i="6"/>
  <c r="F15" i="6"/>
  <c r="F16" i="6"/>
  <c r="F19" i="6"/>
  <c r="G17" i="6" l="1"/>
  <c r="H17" i="6" s="1"/>
  <c r="J17" i="6" s="1"/>
  <c r="G13" i="6"/>
  <c r="H13" i="6" s="1"/>
  <c r="J13" i="6" s="1"/>
  <c r="G20" i="6"/>
  <c r="H20" i="6" s="1"/>
  <c r="J20" i="6" s="1"/>
  <c r="G18" i="6"/>
  <c r="H18" i="6" s="1"/>
  <c r="J18" i="6" s="1"/>
  <c r="G16" i="6"/>
  <c r="H16" i="6" s="1"/>
  <c r="J16" i="6" s="1"/>
  <c r="G15" i="6"/>
  <c r="H15" i="6" s="1"/>
  <c r="J15" i="6" s="1"/>
  <c r="G14" i="6"/>
  <c r="H14" i="6" s="1"/>
  <c r="J14" i="6" s="1"/>
  <c r="G21" i="6"/>
  <c r="H21" i="6" s="1"/>
  <c r="J21" i="6" s="1"/>
  <c r="G19" i="6"/>
  <c r="H19" i="6" s="1"/>
  <c r="J19" i="6" s="1"/>
</calcChain>
</file>

<file path=xl/comments1.xml><?xml version="1.0" encoding="utf-8"?>
<comments xmlns="http://schemas.openxmlformats.org/spreadsheetml/2006/main">
  <authors>
    <author>Andrielly Moutinho Knupp</author>
    <author>Gabriel Aarão Gonçalves</author>
  </authors>
  <commentList>
    <comment ref="A6" authorId="0" shapeId="0">
      <text>
        <r>
          <rPr>
            <b/>
            <sz val="9"/>
            <color indexed="81"/>
            <rFont val="Segoe UI"/>
            <family val="2"/>
          </rPr>
          <t>Rating A</t>
        </r>
        <r>
          <rPr>
            <sz val="9"/>
            <color indexed="81"/>
            <rFont val="Segoe UI"/>
            <family val="2"/>
          </rPr>
          <t xml:space="preserve">
</t>
        </r>
      </text>
    </comment>
    <comment ref="H15" authorId="1" shapeId="0">
      <text>
        <r>
          <rPr>
            <sz val="9"/>
            <color indexed="81"/>
            <rFont val="Segoe UI"/>
            <family val="2"/>
          </rPr>
          <t xml:space="preserve">Fonte: https://repositorio.unesp.br/bitstream/handle/11449/90740/menossi_rt_me_ilha.pdf?sequence
</t>
        </r>
      </text>
    </comment>
    <comment ref="H16" authorId="1" shapeId="0">
      <text>
        <r>
          <rPr>
            <sz val="9"/>
            <color indexed="81"/>
            <rFont val="Segoe UI"/>
            <family val="2"/>
          </rPr>
          <t>Fonte: https://repositorio.unesp.br/bitstream/handle/11449/90740/menossi_rt_me_ilha.pdf?sequence</t>
        </r>
      </text>
    </comment>
  </commentList>
</comments>
</file>

<file path=xl/comments2.xml><?xml version="1.0" encoding="utf-8"?>
<comments xmlns="http://schemas.openxmlformats.org/spreadsheetml/2006/main">
  <authors>
    <author>Gabriel Aarão Gonçalves</author>
  </authors>
  <commentList>
    <comment ref="B2" authorId="0" shapeId="0">
      <text>
        <r>
          <rPr>
            <sz val="9"/>
            <color indexed="81"/>
            <rFont val="Segoe UI"/>
            <family val="2"/>
          </rPr>
          <t>Ano de fabricação dos equipamentos do empreendimento não informado. Portanto, foi consideradoo ano de 2007 (mais conservador)</t>
        </r>
      </text>
    </comment>
  </commentList>
</comments>
</file>

<file path=xl/comments3.xml><?xml version="1.0" encoding="utf-8"?>
<comments xmlns="http://schemas.openxmlformats.org/spreadsheetml/2006/main">
  <authors>
    <author>Gabriel Aarão Gonçalves</author>
  </authors>
  <commentList>
    <comment ref="B6" authorId="0" shapeId="0">
      <text>
        <r>
          <rPr>
            <sz val="9"/>
            <color indexed="81"/>
            <rFont val="Segoe UI"/>
            <family val="2"/>
          </rPr>
          <t xml:space="preserve">Valor do mês de fevereiro (1.88,42) corrigido para 1.088,42
</t>
        </r>
      </text>
    </comment>
    <comment ref="E11" authorId="0" shapeId="0">
      <text>
        <r>
          <rPr>
            <sz val="9"/>
            <color indexed="81"/>
            <rFont val="Segoe UI"/>
            <family val="2"/>
          </rPr>
          <t>Temperatura de trabalho não fornecida pela empresa. Portanto, foi considerado o valor de 35ºC, temperatura média de trabalho do filtro de mangas da empresa Granito Concreto Vila Velha, que utiliza o filtro de mangas com a mesma finalidade que a Concrelagos</t>
        </r>
        <r>
          <rPr>
            <sz val="9"/>
            <color indexed="81"/>
            <rFont val="Segoe UI"/>
            <family val="2"/>
          </rPr>
          <t xml:space="preserve">
</t>
        </r>
      </text>
    </comment>
    <comment ref="F11" authorId="0" shapeId="0">
      <text>
        <r>
          <rPr>
            <sz val="9"/>
            <color indexed="81"/>
            <rFont val="Segoe UI"/>
            <family val="2"/>
          </rPr>
          <t>Informação sobre a capacidade volumétrica não fornecida pelo empreendimento. Portanto, foi considerada a média da capacidade máxima volumétrica do filtro de mangas das empresas produtoras de concreto, que utilizam o filtro de mangas com a mesma finalidade que a Vila Mix</t>
        </r>
      </text>
    </comment>
  </commentList>
</comments>
</file>

<file path=xl/comments4.xml><?xml version="1.0" encoding="utf-8"?>
<comments xmlns="http://schemas.openxmlformats.org/spreadsheetml/2006/main">
  <authors>
    <author>Gabriel Aarão Gonçalves</author>
  </authors>
  <commentList>
    <comment ref="I4" authorId="0" shapeId="0">
      <text>
        <r>
          <rPr>
            <sz val="9"/>
            <color indexed="81"/>
            <rFont val="Segoe UI"/>
            <family val="2"/>
          </rPr>
          <t xml:space="preserve">Devido a ausência de informações, a taxa de emissão para o PM10 foi relacionada com a distribuição de tamanho de partículas, de acordo com o Apêndice B.2 da AP-42. 
Fonte: AP-42 (1986) - GENERALIZED PARTICLE SIZE DISTRIBUTIONS: https://www3.epa.gov/ttn/chief/ap42/appendix/appb-2.pdf
</t>
        </r>
      </text>
    </comment>
    <comment ref="J4" authorId="0" shapeId="0">
      <text>
        <r>
          <rPr>
            <sz val="9"/>
            <color indexed="81"/>
            <rFont val="Segoe UI"/>
            <family val="2"/>
          </rPr>
          <t xml:space="preserve">Devido a ausência de informações, a taxa de emissão para o PM2,5 foi relacionada com a distribuição de tamanho de partículas, de acordo com o Apêndice B.2 da AP-42. 
Fonte: AP-42 (1986) - GENERALIZED PARTICLE SIZE DISTRIBUTIONS: https://www3.epa.gov/ttn/chief/ap42/appendix/appb-2.pdf
</t>
        </r>
      </text>
    </comment>
    <comment ref="E5" authorId="0" shapeId="0">
      <text>
        <r>
          <rPr>
            <sz val="9"/>
            <color indexed="81"/>
            <rFont val="Segoe UI"/>
            <family val="2"/>
          </rPr>
          <t>Informação da vazão do filtro de mangas não fornecida pelo empreendimento. Portanto, foi consideradoI foi considerada a média da capacidade máxima volumétrica do filtro de manga das empresas produtoras de concreto, que utilizam o filtro de mangas com a mesma finalidade que a Vila Mix</t>
        </r>
      </text>
    </comment>
  </commentList>
</comments>
</file>

<file path=xl/comments5.xml><?xml version="1.0" encoding="utf-8"?>
<comments xmlns="http://schemas.openxmlformats.org/spreadsheetml/2006/main">
  <authors>
    <author>Andrielly Moutinho Knupp</author>
    <author>Gabriel Aarão Gonçalves</author>
  </authors>
  <commentList>
    <comment ref="J5" authorId="0" shapeId="0">
      <text>
        <r>
          <rPr>
            <sz val="9"/>
            <color indexed="81"/>
            <rFont val="Segoe UI"/>
            <family val="2"/>
          </rPr>
          <t>Devido à inexistência de fator para SO2, foi considerado fator de SOx para SO2.</t>
        </r>
      </text>
    </comment>
    <comment ref="L5" authorId="0" shapeId="0">
      <text>
        <r>
          <rPr>
            <sz val="9"/>
            <color indexed="81"/>
            <rFont val="Segoe UI"/>
            <family val="2"/>
          </rPr>
          <t>Devido à inexistência de fator para COV, foi considerado o fator de emissão de ROG. Pois, a maioria dos componentes de ROG são COV (https://www.arb.ca.gov/ei/speciate/voc_rog_dfn_1_09.pdf).</t>
        </r>
      </text>
    </comment>
    <comment ref="N5" authorId="0" shapeId="0">
      <text>
        <r>
          <rPr>
            <sz val="9"/>
            <color indexed="81"/>
            <rFont val="Segoe UI"/>
            <family val="2"/>
          </rPr>
          <t>Devido à inexistência de fator para PM10, foi considerado PM10 = PM.</t>
        </r>
      </text>
    </comment>
    <comment ref="O5" authorId="0" shapeId="0">
      <text>
        <r>
          <rPr>
            <sz val="9"/>
            <color indexed="81"/>
            <rFont val="Segoe UI"/>
            <family val="2"/>
          </rPr>
          <t>Devido à inexistência de fator para PM2.5, foi considerado PM2.5 = PM.</t>
        </r>
      </text>
    </comment>
    <comment ref="Q5" authorId="0" shapeId="0">
      <text>
        <r>
          <rPr>
            <sz val="9"/>
            <color indexed="81"/>
            <rFont val="Segoe UI"/>
            <family val="2"/>
          </rPr>
          <t>Devido à inexistência de fator para SO2, foi considerado fator de SOx para SO2.</t>
        </r>
      </text>
    </comment>
    <comment ref="S5" authorId="0" shapeId="0">
      <text>
        <r>
          <rPr>
            <sz val="9"/>
            <color indexed="81"/>
            <rFont val="Segoe UI"/>
            <family val="2"/>
          </rPr>
          <t>Devido à inexistência de fator para COV, foi considerado o fator de emissão de ROG. Pois, a maioria dos componentes de ROG são COV (https://www.arb.ca.gov/ei/speciate/voc_rog_dfn_1_09.pdf).</t>
        </r>
      </text>
    </comment>
    <comment ref="B6" authorId="1" shapeId="0">
      <text>
        <r>
          <rPr>
            <sz val="9"/>
            <color indexed="81"/>
            <rFont val="Segoe UI"/>
            <family val="2"/>
          </rPr>
          <t>Potência do equipamento não informada. Portanto, a potência foi obtida na ficha técnica do modelo da pá carregadeira Volvo L60F, modelo utilizado pelo empreendimento
Fonte: https://www.volvoce.com/brasil/pt-br/products/wheel-loaders/l60f/#specifications</t>
        </r>
      </text>
    </comment>
    <comment ref="D6" authorId="1" shapeId="0">
      <text>
        <r>
          <rPr>
            <sz val="9"/>
            <color indexed="81"/>
            <rFont val="Segoe UI"/>
            <family val="2"/>
          </rPr>
          <t>Coordenada próxima às pilhas de estocagem de areia e brita</t>
        </r>
        <r>
          <rPr>
            <sz val="9"/>
            <color indexed="81"/>
            <rFont val="Segoe UI"/>
            <family val="2"/>
          </rPr>
          <t xml:space="preserve">
</t>
        </r>
      </text>
    </comment>
    <comment ref="E6" authorId="1" shapeId="0">
      <text>
        <r>
          <rPr>
            <sz val="9"/>
            <color indexed="81"/>
            <rFont val="Segoe UI"/>
            <family val="2"/>
          </rPr>
          <t xml:space="preserve">Coordenada próxima às pilhas de estocagem de areia e brita
</t>
        </r>
      </text>
    </comment>
  </commentList>
</comments>
</file>

<file path=xl/comments6.xml><?xml version="1.0" encoding="utf-8"?>
<comments xmlns="http://schemas.openxmlformats.org/spreadsheetml/2006/main">
  <authors>
    <author>Gabriel Aarão Gonçalves</author>
  </authors>
  <commentList>
    <comment ref="A5" authorId="0" shapeId="0">
      <text>
        <r>
          <rPr>
            <sz val="9"/>
            <color indexed="81"/>
            <rFont val="Segoe UI"/>
            <family val="2"/>
          </rPr>
          <t xml:space="preserve">Velocidade média do ano de 2015 da Estação Aeroporto
</t>
        </r>
      </text>
    </comment>
    <comment ref="E10" authorId="0" shapeId="0">
      <text>
        <r>
          <rPr>
            <sz val="9"/>
            <color indexed="81"/>
            <rFont val="Segoe UI"/>
            <family val="2"/>
          </rPr>
          <t>WRAP (2006) - Fugitive Dust Handobook</t>
        </r>
      </text>
    </comment>
    <comment ref="C11" authorId="0" shapeId="0">
      <text>
        <r>
          <rPr>
            <sz val="9"/>
            <color indexed="81"/>
            <rFont val="Segoe UI"/>
            <family val="2"/>
          </rPr>
          <t xml:space="preserve">USEPA (2003) Background Information for Revised AP-42 Section 11.19.2, Crushed Stone Processing
and Pulverized Mineral Processing:
The targeted moisture contents of the raw material (granite) during the uncontrolled  runs were &lt;1.5 percent. Assim, foi considerado o teor de umidade de 1%.
</t>
        </r>
      </text>
    </comment>
    <comment ref="E11" authorId="0" shapeId="0">
      <text>
        <r>
          <rPr>
            <sz val="9"/>
            <color indexed="81"/>
            <rFont val="Segoe UI"/>
            <family val="2"/>
          </rPr>
          <t>WRAP (2006) - Fugitive Dust Handobook</t>
        </r>
      </text>
    </comment>
    <comment ref="E12" authorId="0" shapeId="0">
      <text>
        <r>
          <rPr>
            <sz val="9"/>
            <color indexed="81"/>
            <rFont val="Segoe UI"/>
            <family val="2"/>
          </rPr>
          <t>Valor observado no
WRAP (2006)</t>
        </r>
        <r>
          <rPr>
            <sz val="9"/>
            <color indexed="81"/>
            <rFont val="Segoe UI"/>
            <family val="2"/>
          </rPr>
          <t xml:space="preserve">
</t>
        </r>
      </text>
    </comment>
    <comment ref="C13" authorId="0" shapeId="0">
      <text>
        <r>
          <rPr>
            <sz val="9"/>
            <color indexed="81"/>
            <rFont val="Segoe UI"/>
            <family val="2"/>
          </rPr>
          <t xml:space="preserve">USEPA (2003) Background Information for Revised AP-42 Section 11.19.2, Crushed Stone Processing
and Pulverized Mineral Processing:
The targeted moisture contents of the raw material (granite) during the uncontrolled  runs were &lt;1.5 percent. Assim, foi considerado o teor de umidade de 1%.
</t>
        </r>
      </text>
    </comment>
    <comment ref="E13" authorId="0" shapeId="0">
      <text>
        <r>
          <rPr>
            <sz val="9"/>
            <color indexed="81"/>
            <rFont val="Segoe UI"/>
            <family val="2"/>
          </rPr>
          <t>Valor observado no
WRAP (2006)</t>
        </r>
        <r>
          <rPr>
            <sz val="9"/>
            <color indexed="81"/>
            <rFont val="Segoe UI"/>
            <family val="2"/>
          </rPr>
          <t xml:space="preserve">
</t>
        </r>
      </text>
    </comment>
    <comment ref="E14" authorId="0" shapeId="0">
      <text>
        <r>
          <rPr>
            <sz val="9"/>
            <color indexed="81"/>
            <rFont val="Segoe UI"/>
            <family val="2"/>
          </rPr>
          <t>Valor observado no
WRAP (2006)</t>
        </r>
        <r>
          <rPr>
            <sz val="9"/>
            <color indexed="81"/>
            <rFont val="Segoe UI"/>
            <family val="2"/>
          </rPr>
          <t xml:space="preserve">
</t>
        </r>
      </text>
    </comment>
    <comment ref="C15" authorId="0" shapeId="0">
      <text>
        <r>
          <rPr>
            <sz val="9"/>
            <color indexed="81"/>
            <rFont val="Segoe UI"/>
            <family val="2"/>
          </rPr>
          <t xml:space="preserve">USEPA (2003) Background Information for Revised AP-42 Section 11.19.2, Crushed Stone Processing
and Pulverized Mineral Processing:
The targeted moisture contents of the raw material (granite) during the uncontrolled  runs were &lt;1.5 percent. Assim, foi considerado o teor de umidade de 1%.
</t>
        </r>
      </text>
    </comment>
    <comment ref="E15" authorId="0" shapeId="0">
      <text>
        <r>
          <rPr>
            <sz val="9"/>
            <color indexed="81"/>
            <rFont val="Segoe UI"/>
            <family val="2"/>
          </rPr>
          <t>Valor observado no
WRAP (2006)</t>
        </r>
        <r>
          <rPr>
            <sz val="9"/>
            <color indexed="81"/>
            <rFont val="Segoe UI"/>
            <family val="2"/>
          </rPr>
          <t xml:space="preserve">
</t>
        </r>
      </text>
    </comment>
  </commentList>
</comments>
</file>

<file path=xl/sharedStrings.xml><?xml version="1.0" encoding="utf-8"?>
<sst xmlns="http://schemas.openxmlformats.org/spreadsheetml/2006/main" count="245" uniqueCount="173">
  <si>
    <t>Fonte Emissora</t>
  </si>
  <si>
    <t>Taxa de Emissão [kg/h]</t>
  </si>
  <si>
    <t>PM</t>
  </si>
  <si>
    <r>
      <t>PM</t>
    </r>
    <r>
      <rPr>
        <b/>
        <vertAlign val="subscript"/>
        <sz val="8"/>
        <color theme="0"/>
        <rFont val="Arial"/>
        <family val="2"/>
      </rPr>
      <t>10</t>
    </r>
  </si>
  <si>
    <t>CO</t>
  </si>
  <si>
    <r>
      <t>NO</t>
    </r>
    <r>
      <rPr>
        <b/>
        <vertAlign val="subscript"/>
        <sz val="8"/>
        <color theme="0"/>
        <rFont val="Arial"/>
        <family val="2"/>
      </rPr>
      <t>X</t>
    </r>
  </si>
  <si>
    <r>
      <t>SO</t>
    </r>
    <r>
      <rPr>
        <b/>
        <vertAlign val="subscript"/>
        <sz val="8"/>
        <color theme="0"/>
        <rFont val="Arial"/>
        <family val="2"/>
      </rPr>
      <t>2</t>
    </r>
  </si>
  <si>
    <t>Chaminé do Secador de Borra</t>
  </si>
  <si>
    <t>Chaminé do Silo de Borra Úmida</t>
  </si>
  <si>
    <t>Chaminé da Caldeira Bremmer</t>
  </si>
  <si>
    <t>Chaminé do Multiciclone da Torre I</t>
  </si>
  <si>
    <t>Chaminé do Multiciclone da Torre II</t>
  </si>
  <si>
    <t>Chaminé do Torrador I</t>
  </si>
  <si>
    <t>Chaminé do Torrador II</t>
  </si>
  <si>
    <t>Chaminé do Gerador I</t>
  </si>
  <si>
    <t>Chaminé do Gerador II</t>
  </si>
  <si>
    <t>Equação Geral:</t>
  </si>
  <si>
    <t>Conversão ppm para mg/m³:</t>
  </si>
  <si>
    <t>NO2</t>
  </si>
  <si>
    <t>NO</t>
  </si>
  <si>
    <t>O3</t>
  </si>
  <si>
    <t>H2S</t>
  </si>
  <si>
    <t>SO2</t>
  </si>
  <si>
    <t>HCl</t>
  </si>
  <si>
    <t>HF</t>
  </si>
  <si>
    <t>C3H8</t>
  </si>
  <si>
    <t>Benzeno</t>
  </si>
  <si>
    <t>CO2</t>
  </si>
  <si>
    <t>Concentração CO [ppm]</t>
  </si>
  <si>
    <t>Pressão [atm]</t>
  </si>
  <si>
    <t>Concentração CO [mg/m³]</t>
  </si>
  <si>
    <t xml:space="preserve">Temperatura [K] </t>
  </si>
  <si>
    <t xml:space="preserve">Temperatura [ºC] </t>
  </si>
  <si>
    <t>Fonte</t>
  </si>
  <si>
    <r>
      <t>Onde:
MW (g/mol) - massa molar
P (atm) - pressão do gás
P</t>
    </r>
    <r>
      <rPr>
        <vertAlign val="subscript"/>
        <sz val="8"/>
        <color theme="1"/>
        <rFont val="Arial"/>
        <family val="2"/>
      </rPr>
      <t>0</t>
    </r>
    <r>
      <rPr>
        <sz val="8"/>
        <color theme="1"/>
        <rFont val="Arial"/>
        <family val="2"/>
      </rPr>
      <t xml:space="preserve"> - 1 atm (CNTP)
T (K) - temperatura do gás 
T</t>
    </r>
    <r>
      <rPr>
        <vertAlign val="subscript"/>
        <sz val="8"/>
        <color theme="1"/>
        <rFont val="Arial"/>
        <family val="2"/>
      </rPr>
      <t>0</t>
    </r>
    <r>
      <rPr>
        <sz val="8"/>
        <color theme="1"/>
        <rFont val="Arial"/>
        <family val="2"/>
      </rPr>
      <t xml:space="preserve"> - 298,15 K (25 ºC) (CNTP) </t>
    </r>
  </si>
  <si>
    <t>Massa Molar - MW [g/mol]</t>
  </si>
  <si>
    <t>Quantidade</t>
  </si>
  <si>
    <t>Potência [hp]</t>
  </si>
  <si>
    <t>Equipamento [hp]</t>
  </si>
  <si>
    <t>Horas/dia</t>
  </si>
  <si>
    <r>
      <t>PM</t>
    </r>
    <r>
      <rPr>
        <b/>
        <vertAlign val="subscript"/>
        <sz val="8"/>
        <color theme="0"/>
        <rFont val="Arial"/>
        <family val="2"/>
      </rPr>
      <t>2.5</t>
    </r>
  </si>
  <si>
    <t>Fonte: AQMD (2016) - http://www.aqmd.gov/home/regulations/ceqa/air-quality-analysis-handbook/off-road-mobile-source-emission-factors</t>
  </si>
  <si>
    <t>Equipment</t>
  </si>
  <si>
    <t>MaxHP</t>
  </si>
  <si>
    <t>PM [kg/h]</t>
  </si>
  <si>
    <r>
      <t>NO</t>
    </r>
    <r>
      <rPr>
        <vertAlign val="subscript"/>
        <sz val="8"/>
        <rFont val="Arial"/>
        <family val="2"/>
      </rPr>
      <t>X</t>
    </r>
    <r>
      <rPr>
        <sz val="8"/>
        <rFont val="Arial"/>
        <family val="2"/>
      </rPr>
      <t xml:space="preserve"> [kg/h]</t>
    </r>
  </si>
  <si>
    <r>
      <t>SO</t>
    </r>
    <r>
      <rPr>
        <vertAlign val="subscript"/>
        <sz val="8"/>
        <rFont val="Arial"/>
        <family val="2"/>
      </rPr>
      <t>X</t>
    </r>
    <r>
      <rPr>
        <sz val="8"/>
        <rFont val="Arial"/>
        <family val="2"/>
      </rPr>
      <t xml:space="preserve"> [kg/h]</t>
    </r>
  </si>
  <si>
    <t>CO [kg/h]</t>
  </si>
  <si>
    <t>ROG [kg/h]</t>
  </si>
  <si>
    <r>
      <t>CO</t>
    </r>
    <r>
      <rPr>
        <vertAlign val="subscript"/>
        <sz val="8"/>
        <rFont val="Arial"/>
        <family val="2"/>
      </rPr>
      <t xml:space="preserve">2 </t>
    </r>
    <r>
      <rPr>
        <sz val="8"/>
        <rFont val="Arial"/>
        <family val="2"/>
      </rPr>
      <t>[kg/h]</t>
    </r>
  </si>
  <si>
    <r>
      <t>CH</t>
    </r>
    <r>
      <rPr>
        <vertAlign val="subscript"/>
        <sz val="8"/>
        <rFont val="Arial"/>
        <family val="2"/>
      </rPr>
      <t>4</t>
    </r>
    <r>
      <rPr>
        <sz val="8"/>
        <rFont val="Arial"/>
        <family val="2"/>
      </rPr>
      <t xml:space="preserve"> [kg/h]</t>
    </r>
  </si>
  <si>
    <t>Rubber Tired Loaders
(Pá Carregadeira)</t>
  </si>
  <si>
    <t>Rubber Tired Loaders - 25</t>
  </si>
  <si>
    <t>Rubber Tired Loaders - 50</t>
  </si>
  <si>
    <t>Rubber Tired Loaders - 120</t>
  </si>
  <si>
    <t>Rubber Tired Loaders - 175</t>
  </si>
  <si>
    <t>Rubber Tired Loaders - 250</t>
  </si>
  <si>
    <t>Rubber Tired Loaders - 500</t>
  </si>
  <si>
    <t>Rubber Tired Loaders - 750</t>
  </si>
  <si>
    <t>Rubber Tired Loaders - 1000</t>
  </si>
  <si>
    <t>-</t>
  </si>
  <si>
    <t>Ano de fabricação considerado:</t>
  </si>
  <si>
    <t>Máquinas e Equipamentos</t>
  </si>
  <si>
    <t>Referências: AP-42 (USEPA, 2006) - https://www3.epa.gov/ttn/chief/ap42/ch13/final/c13s0204.pdf</t>
  </si>
  <si>
    <t>Aerodynamic Particle Size Multiplier (k) For Equation 1</t>
  </si>
  <si>
    <t xml:space="preserve">Table 13.2.4-1. TYPICAL SILT AND MOISTURE CONTENTS OF MATERIALS AT VARIOUS INDUSTRIES </t>
  </si>
  <si>
    <t xml:space="preserve">PM </t>
  </si>
  <si>
    <t>&lt; 30 µm</t>
  </si>
  <si>
    <t>&lt; 15 µm</t>
  </si>
  <si>
    <t>&lt; 10 µm</t>
  </si>
  <si>
    <t>&lt; 5 µm</t>
  </si>
  <si>
    <t>&lt; 2.5 µm</t>
  </si>
  <si>
    <t>Industry</t>
  </si>
  <si>
    <t>Material</t>
  </si>
  <si>
    <t>Silt Content (%)</t>
  </si>
  <si>
    <t>Moisture Content (%)</t>
  </si>
  <si>
    <t>Range</t>
  </si>
  <si>
    <t>Mean</t>
  </si>
  <si>
    <t>Slag</t>
  </si>
  <si>
    <t>Onde:
E - emissão
k - particle size multiplier (dimensionless)
U - mean wind speed, meters per second (m/s) (miles per hour [mph]) 
M - material moisture content (%)</t>
  </si>
  <si>
    <t>Municipal solid waste landfills</t>
  </si>
  <si>
    <t>Sand</t>
  </si>
  <si>
    <t>3,0 - 4,7</t>
  </si>
  <si>
    <t>2,3 - 4,9</t>
  </si>
  <si>
    <t>Cover</t>
  </si>
  <si>
    <t>5,0 - 16</t>
  </si>
  <si>
    <t>8,9 - 16</t>
  </si>
  <si>
    <t>Clay/dirty mix</t>
  </si>
  <si>
    <t>Clay</t>
  </si>
  <si>
    <t>4,5 - 7,4</t>
  </si>
  <si>
    <t>8,9 - 11</t>
  </si>
  <si>
    <t>Fly ash</t>
  </si>
  <si>
    <t>78 - 81</t>
  </si>
  <si>
    <t>26 - 29</t>
  </si>
  <si>
    <t>Misc. Fill materials</t>
  </si>
  <si>
    <t>Velocidade do Vento (m/s)</t>
  </si>
  <si>
    <t>Umidade do Material [%]</t>
  </si>
  <si>
    <t>Controle</t>
  </si>
  <si>
    <t>Controle [%]</t>
  </si>
  <si>
    <t>Quantidade [t/h]</t>
  </si>
  <si>
    <t>Fator de Emissão [kg/t]</t>
  </si>
  <si>
    <r>
      <t>PM</t>
    </r>
    <r>
      <rPr>
        <b/>
        <vertAlign val="subscript"/>
        <sz val="8"/>
        <color theme="0"/>
        <rFont val="Arial"/>
        <family val="2"/>
      </rPr>
      <t>2,5</t>
    </r>
  </si>
  <si>
    <t>TOTAL</t>
  </si>
  <si>
    <t>Areia</t>
  </si>
  <si>
    <t>Brita</t>
  </si>
  <si>
    <t>Massa específica (kg/m³)</t>
  </si>
  <si>
    <t>Quantidade Brita (t/h):</t>
  </si>
  <si>
    <t>Enclausuramento</t>
  </si>
  <si>
    <t>Fontes Emissoras</t>
  </si>
  <si>
    <t>Transferências</t>
  </si>
  <si>
    <t>Erosão Eólica</t>
  </si>
  <si>
    <t>TR - Caminhão / Pátio de brita</t>
  </si>
  <si>
    <t>Onde:
E - emissão (lb/dia)
n - número de equipamentos de cada categoria
H - número de horas diárias de operação do equipamento
EF - fator de emissão (lb/h)</t>
  </si>
  <si>
    <t>ITEM</t>
  </si>
  <si>
    <t>EQUIP.</t>
  </si>
  <si>
    <t>MODELO</t>
  </si>
  <si>
    <t>Aspersão em água</t>
  </si>
  <si>
    <t>Filtro de Mangas</t>
  </si>
  <si>
    <t>QUANT.</t>
  </si>
  <si>
    <t>Filtro</t>
  </si>
  <si>
    <t xml:space="preserve">Filtro de Mangas </t>
  </si>
  <si>
    <t>Latitude (⁰)</t>
  </si>
  <si>
    <t>Longitude (⁰)</t>
  </si>
  <si>
    <t>Tipo de Controle</t>
  </si>
  <si>
    <t>Vazão do Filtro de Mangas
 [m³/h]</t>
  </si>
  <si>
    <t>Vazão do Filtro de Mangas
 [Nm³/h]</t>
  </si>
  <si>
    <t>Taxa de Emissão
 [kg/h]</t>
  </si>
  <si>
    <t>TR - Pá carregadeira (Brita) / Silo</t>
  </si>
  <si>
    <t>TR - Mistura Silo (Brita)</t>
  </si>
  <si>
    <t>Consumo de matéria prima - ano 2015</t>
  </si>
  <si>
    <t>Unidade</t>
  </si>
  <si>
    <t>T</t>
  </si>
  <si>
    <t>POTÊNCIA (kw)</t>
  </si>
  <si>
    <t xml:space="preserve"> </t>
  </si>
  <si>
    <t>Pá Carregadeira</t>
  </si>
  <si>
    <t>Conversão de m³ para t (Areia)</t>
  </si>
  <si>
    <t>Concentração
 [mg/Nm³]</t>
  </si>
  <si>
    <t>Fator de Emissão [kg/h]</t>
  </si>
  <si>
    <t>m³</t>
  </si>
  <si>
    <t>Fonte: Informações enviadas pelo empreendimento através dos Ofícios IEMA N° 121/2017</t>
  </si>
  <si>
    <t>Volvo L60F</t>
  </si>
  <si>
    <t>C. COMBUSTIVEL (L/km)</t>
  </si>
  <si>
    <t>Medidas de Controle</t>
  </si>
  <si>
    <t>Frequência (vezes/dia)</t>
  </si>
  <si>
    <t>Conversão de kw para hp:</t>
  </si>
  <si>
    <t>Quantidade areia (t/h):</t>
  </si>
  <si>
    <t xml:space="preserve">Areia </t>
  </si>
  <si>
    <t>TR - Caminhão / Pátio areia</t>
  </si>
  <si>
    <t>TR - Pá carregadeira (Areia)  / Silo</t>
  </si>
  <si>
    <t>TR - Mistura Silo (Areia)</t>
  </si>
  <si>
    <t>Chaminé do filtro de mangas</t>
  </si>
  <si>
    <t>Padrão de Emissão (mg/Nm³)</t>
  </si>
  <si>
    <t xml:space="preserve">Funcionamento: 07 às 11h e 12 Às 17h (horas): </t>
  </si>
  <si>
    <t>Temperatura de Trabalho (ºC)</t>
  </si>
  <si>
    <t>Especificação do Filtro de Mangas de empresas produtoras de concreto</t>
  </si>
  <si>
    <t>Média</t>
  </si>
  <si>
    <t>Capacidade Máxima Volumétrica (m³/min)</t>
  </si>
  <si>
    <t>Granito Concreto Serra</t>
  </si>
  <si>
    <t>Granito Concreto Vila Velha</t>
  </si>
  <si>
    <t>Concrevit Cariacica (Filtro de Mangas 2)</t>
  </si>
  <si>
    <t>Concrevit Cariacica (Filtro de Mangas 1)</t>
  </si>
  <si>
    <t>Concrevit Vila Velha</t>
  </si>
  <si>
    <t>As emissões provenientes das vias internas de tráfego não foram consideradas pois na maior parte do tempo os veículos trabalham fora da zona do empreendimento. Tais  emissões provenientes do tráfego de veículos em vias já foram contabilizadas no inventário separadamente na estimativa de emissões das vias de tráfego da Região da Grande Vitória.</t>
  </si>
  <si>
    <r>
      <t>PM</t>
    </r>
    <r>
      <rPr>
        <b/>
        <vertAlign val="subscript"/>
        <sz val="8"/>
        <color theme="0"/>
        <rFont val="Arial"/>
        <family val="2"/>
      </rPr>
      <t>10</t>
    </r>
    <r>
      <rPr>
        <b/>
        <sz val="8"/>
        <color theme="0"/>
        <rFont val="Arial"/>
        <family val="2"/>
      </rPr>
      <t xml:space="preserve"> </t>
    </r>
  </si>
  <si>
    <r>
      <t>PM</t>
    </r>
    <r>
      <rPr>
        <b/>
        <vertAlign val="subscript"/>
        <sz val="8"/>
        <color theme="0"/>
        <rFont val="Arial"/>
        <family val="2"/>
      </rPr>
      <t>2,5</t>
    </r>
    <r>
      <rPr>
        <b/>
        <sz val="8"/>
        <color theme="0"/>
        <rFont val="Arial"/>
        <family val="2"/>
      </rPr>
      <t xml:space="preserve"> </t>
    </r>
  </si>
  <si>
    <t>Nota:</t>
  </si>
  <si>
    <t>As principais matérias primas utilizadas são a brita, a areia e o cimento. As emissões relacionadas à movimentação/armazenamento do cimento foram estimadas na aba: "Emissão Saída do Filtro"</t>
  </si>
  <si>
    <t>Chaminé</t>
  </si>
  <si>
    <t>Horas Trabalhadas</t>
  </si>
  <si>
    <t>VOC</t>
  </si>
  <si>
    <t>Latitude [º]</t>
  </si>
  <si>
    <t>Longitude [º]</t>
  </si>
  <si>
    <t>Nota: "Erosão Eólica" foi calculada na Planilha: Memorial_VilaMix_Erosao_Eolica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</si>
</sst>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
    <numFmt numFmtId="165" formatCode="0.000"/>
    <numFmt numFmtId="166" formatCode="0.00000"/>
    <numFmt numFmtId="167" formatCode="0.0"/>
    <numFmt numFmtId="168" formatCode="[&gt;=0.005]\ #,##0.00;[&lt;0.005]&quot;&lt;0,01&quot;"/>
    <numFmt numFmtId="169" formatCode="#,##0.000000"/>
  </numFmts>
  <fonts count="12" x14ac:knownFonts="1">
    <font>
      <sz val="11"/>
      <color theme="1"/>
      <name val="Calibri"/>
      <family val="2"/>
      <scheme val="minor"/>
    </font>
    <font>
      <sz val="8"/>
      <color theme="1"/>
      <name val="Arial"/>
      <family val="2"/>
    </font>
    <font>
      <b/>
      <sz val="8"/>
      <color theme="1"/>
      <name val="Arial"/>
      <family val="2"/>
    </font>
    <font>
      <vertAlign val="subscript"/>
      <sz val="8"/>
      <color theme="1"/>
      <name val="Arial"/>
      <family val="2"/>
    </font>
    <font>
      <sz val="9"/>
      <color indexed="81"/>
      <name val="Segoe UI"/>
      <family val="2"/>
    </font>
    <font>
      <b/>
      <sz val="8"/>
      <color theme="0"/>
      <name val="Arial"/>
      <family val="2"/>
    </font>
    <font>
      <b/>
      <vertAlign val="subscript"/>
      <sz val="8"/>
      <color theme="0"/>
      <name val="Arial"/>
      <family val="2"/>
    </font>
    <font>
      <sz val="8"/>
      <name val="Arial"/>
      <family val="2"/>
    </font>
    <font>
      <b/>
      <i/>
      <sz val="8"/>
      <color theme="1"/>
      <name val="Arial"/>
      <family val="2"/>
    </font>
    <font>
      <vertAlign val="subscript"/>
      <sz val="8"/>
      <name val="Arial"/>
      <family val="2"/>
    </font>
    <font>
      <b/>
      <sz val="9"/>
      <color indexed="81"/>
      <name val="Segoe UI"/>
      <family val="2"/>
    </font>
    <font>
      <sz val="8"/>
      <color rgb="FF000000"/>
      <name val="Arial"/>
      <family val="2"/>
    </font>
  </fonts>
  <fills count="5">
    <fill>
      <patternFill patternType="none"/>
    </fill>
    <fill>
      <patternFill patternType="gray125"/>
    </fill>
    <fill>
      <patternFill patternType="solid">
        <fgColor rgb="FF4F81BD"/>
        <bgColor indexed="64"/>
      </patternFill>
    </fill>
    <fill>
      <patternFill patternType="solid">
        <fgColor rgb="FFDCE6F1"/>
        <bgColor indexed="64"/>
      </patternFill>
    </fill>
    <fill>
      <patternFill patternType="solid">
        <fgColor theme="0"/>
        <bgColor indexed="64"/>
      </patternFill>
    </fill>
  </fills>
  <borders count="25">
    <border>
      <left/>
      <right/>
      <top/>
      <bottom/>
      <diagonal/>
    </border>
    <border>
      <left style="thin">
        <color rgb="FFD9D9D9"/>
      </left>
      <right style="thin">
        <color rgb="FFD9D9D9"/>
      </right>
      <top style="thin">
        <color rgb="FFD9D9D9"/>
      </top>
      <bottom style="thin">
        <color rgb="FFD9D9D9"/>
      </bottom>
      <diagonal/>
    </border>
    <border>
      <left style="thin">
        <color theme="0"/>
      </left>
      <right style="thin">
        <color theme="0"/>
      </right>
      <top style="thin">
        <color theme="0"/>
      </top>
      <bottom style="thin">
        <color theme="0"/>
      </bottom>
      <diagonal/>
    </border>
    <border>
      <left style="thin">
        <color rgb="FFD9D9D9"/>
      </left>
      <right/>
      <top/>
      <bottom/>
      <diagonal/>
    </border>
    <border>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style="thin">
        <color rgb="FFD9D9D9"/>
      </left>
      <right/>
      <top/>
      <bottom style="thin">
        <color rgb="FFD9D9D9"/>
      </bottom>
      <diagonal/>
    </border>
    <border>
      <left/>
      <right/>
      <top/>
      <bottom style="thin">
        <color rgb="FFD9D9D9"/>
      </bottom>
      <diagonal/>
    </border>
    <border>
      <left style="thin">
        <color rgb="FFD9D9D9"/>
      </left>
      <right/>
      <top style="thin">
        <color rgb="FFD9D9D9"/>
      </top>
      <bottom/>
      <diagonal/>
    </border>
    <border>
      <left/>
      <right style="thin">
        <color rgb="FFD9D9D9"/>
      </right>
      <top style="thin">
        <color rgb="FFD9D9D9"/>
      </top>
      <bottom/>
      <diagonal/>
    </border>
    <border>
      <left/>
      <right style="thin">
        <color rgb="FFD9D9D9"/>
      </right>
      <top/>
      <bottom/>
      <diagonal/>
    </border>
    <border>
      <left/>
      <right style="thin">
        <color rgb="FFD9D9D9"/>
      </right>
      <top/>
      <bottom style="thin">
        <color rgb="FFD9D9D9"/>
      </bottom>
      <diagonal/>
    </border>
    <border>
      <left/>
      <right/>
      <top style="thin">
        <color rgb="FFD9D9D9"/>
      </top>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bottom style="thin">
        <color theme="0"/>
      </bottom>
      <diagonal/>
    </border>
    <border>
      <left style="thin">
        <color theme="0"/>
      </left>
      <right style="thin">
        <color rgb="FFD9D9D9"/>
      </right>
      <top/>
      <bottom/>
      <diagonal/>
    </border>
    <border>
      <left style="thin">
        <color rgb="FFD9D9D9"/>
      </left>
      <right style="thin">
        <color rgb="FFD9D9D9"/>
      </right>
      <top/>
      <bottom/>
      <diagonal/>
    </border>
    <border>
      <left style="thin">
        <color rgb="FFD9D9D9"/>
      </left>
      <right style="thin">
        <color rgb="FFD9D9D9"/>
      </right>
      <top style="thin">
        <color rgb="FFD9D9D9"/>
      </top>
      <bottom/>
      <diagonal/>
    </border>
    <border>
      <left/>
      <right style="thin">
        <color theme="0"/>
      </right>
      <top/>
      <bottom/>
      <diagonal/>
    </border>
    <border>
      <left/>
      <right style="thin">
        <color theme="0"/>
      </right>
      <top/>
      <bottom style="thin">
        <color theme="0"/>
      </bottom>
      <diagonal/>
    </border>
    <border>
      <left style="thin">
        <color rgb="FFD9D9D9"/>
      </left>
      <right style="thin">
        <color rgb="FFD9D9D9"/>
      </right>
      <top/>
      <bottom style="thin">
        <color rgb="FFD9D9D9"/>
      </bottom>
      <diagonal/>
    </border>
    <border>
      <left style="thin">
        <color rgb="FFDEDAC4"/>
      </left>
      <right style="thin">
        <color rgb="FFDEDAC4"/>
      </right>
      <top style="thin">
        <color rgb="FFDEDAC4"/>
      </top>
      <bottom style="thin">
        <color rgb="FFDEDAC4"/>
      </bottom>
      <diagonal/>
    </border>
  </borders>
  <cellStyleXfs count="2">
    <xf numFmtId="0" fontId="0" fillId="0" borderId="0"/>
    <xf numFmtId="0" fontId="1" fillId="0" borderId="0"/>
  </cellStyleXfs>
  <cellXfs count="123">
    <xf numFmtId="0" fontId="0" fillId="0" borderId="0" xfId="0"/>
    <xf numFmtId="0" fontId="1" fillId="0" borderId="0" xfId="0" applyFont="1"/>
    <xf numFmtId="0" fontId="1" fillId="0" borderId="0" xfId="0" applyFont="1" applyAlignment="1">
      <alignment vertical="center"/>
    </xf>
    <xf numFmtId="0" fontId="1" fillId="0" borderId="0" xfId="0" applyFont="1" applyFill="1" applyAlignment="1">
      <alignment vertical="center"/>
    </xf>
    <xf numFmtId="0" fontId="1" fillId="0" borderId="0" xfId="0" applyFont="1" applyAlignment="1">
      <alignment horizontal="center"/>
    </xf>
    <xf numFmtId="0" fontId="5" fillId="2" borderId="2" xfId="0" applyFont="1" applyFill="1" applyBorder="1" applyAlignment="1">
      <alignment horizontal="center" vertical="center"/>
    </xf>
    <xf numFmtId="3" fontId="1" fillId="0" borderId="0" xfId="0" applyNumberFormat="1" applyFont="1" applyAlignment="1">
      <alignment horizontal="center" vertical="center"/>
    </xf>
    <xf numFmtId="164" fontId="1" fillId="0" borderId="0" xfId="0" applyNumberFormat="1" applyFont="1" applyAlignment="1">
      <alignment horizontal="center" vertical="center"/>
    </xf>
    <xf numFmtId="0" fontId="1" fillId="0" borderId="0" xfId="0" applyFont="1" applyFill="1" applyAlignment="1">
      <alignment horizontal="center" vertical="center"/>
    </xf>
    <xf numFmtId="0" fontId="2" fillId="0" borderId="0" xfId="0" applyFont="1" applyAlignment="1">
      <alignment horizontal="center" vertical="center"/>
    </xf>
    <xf numFmtId="2" fontId="1" fillId="3" borderId="0" xfId="0" applyNumberFormat="1" applyFont="1" applyFill="1" applyAlignment="1">
      <alignment horizontal="center" vertical="center"/>
    </xf>
    <xf numFmtId="4" fontId="1" fillId="0" borderId="0" xfId="0" applyNumberFormat="1" applyFont="1" applyAlignment="1">
      <alignment horizontal="center" vertical="center"/>
    </xf>
    <xf numFmtId="2" fontId="1" fillId="0" borderId="0" xfId="0" applyNumberFormat="1" applyFont="1" applyAlignment="1">
      <alignment horizontal="center" vertical="center"/>
    </xf>
    <xf numFmtId="1" fontId="1" fillId="0" borderId="0" xfId="0" applyNumberFormat="1" applyFont="1"/>
    <xf numFmtId="164" fontId="1" fillId="0" borderId="0" xfId="0" applyNumberFormat="1" applyFont="1"/>
    <xf numFmtId="165" fontId="1" fillId="3" borderId="0" xfId="0" applyNumberFormat="1" applyFont="1" applyFill="1" applyAlignment="1">
      <alignment horizontal="center" vertical="center"/>
    </xf>
    <xf numFmtId="2" fontId="1" fillId="0" borderId="0" xfId="0" applyNumberFormat="1" applyFont="1" applyAlignment="1">
      <alignment horizontal="center"/>
    </xf>
    <xf numFmtId="165" fontId="1" fillId="0" borderId="0" xfId="0" applyNumberFormat="1" applyFont="1" applyAlignment="1">
      <alignment horizontal="center"/>
    </xf>
    <xf numFmtId="166" fontId="7" fillId="0" borderId="0" xfId="0" applyNumberFormat="1" applyFont="1" applyAlignment="1">
      <alignment horizontal="center" vertical="center"/>
    </xf>
    <xf numFmtId="164" fontId="7" fillId="0" borderId="0" xfId="0" applyNumberFormat="1" applyFont="1" applyAlignment="1">
      <alignment horizontal="center" vertical="center"/>
    </xf>
    <xf numFmtId="0" fontId="1" fillId="0" borderId="0" xfId="0" applyFont="1" applyAlignment="1">
      <alignment horizontal="left" wrapText="1"/>
    </xf>
    <xf numFmtId="164" fontId="1" fillId="0" borderId="0" xfId="0" applyNumberFormat="1" applyFont="1" applyAlignment="1">
      <alignment horizontal="center"/>
    </xf>
    <xf numFmtId="164" fontId="0" fillId="0" borderId="0" xfId="0" applyNumberFormat="1"/>
    <xf numFmtId="164" fontId="1" fillId="0" borderId="1" xfId="0" applyNumberFormat="1" applyFont="1" applyFill="1" applyBorder="1" applyAlignment="1">
      <alignment horizontal="center" vertical="center"/>
    </xf>
    <xf numFmtId="0" fontId="5" fillId="2" borderId="1" xfId="0" applyNumberFormat="1" applyFont="1" applyFill="1" applyBorder="1" applyAlignment="1" applyProtection="1">
      <alignment horizontal="center" vertical="center" wrapText="1"/>
    </xf>
    <xf numFmtId="0" fontId="1" fillId="0" borderId="0" xfId="0" applyFont="1" applyAlignment="1">
      <alignment horizontal="center" vertical="center"/>
    </xf>
    <xf numFmtId="0" fontId="7" fillId="0" borderId="0" xfId="0" applyFont="1" applyFill="1" applyAlignment="1">
      <alignment horizontal="center" vertical="center"/>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xf numFmtId="0" fontId="1" fillId="0" borderId="1" xfId="0" applyFont="1" applyBorder="1" applyAlignment="1">
      <alignment horizontal="center"/>
    </xf>
    <xf numFmtId="2" fontId="0" fillId="0" borderId="0" xfId="0" applyNumberFormat="1"/>
    <xf numFmtId="0" fontId="1" fillId="0" borderId="1" xfId="0" applyFont="1" applyBorder="1" applyAlignment="1">
      <alignment vertical="center"/>
    </xf>
    <xf numFmtId="0" fontId="7" fillId="0" borderId="0" xfId="0" applyFont="1" applyFill="1" applyAlignment="1">
      <alignment vertical="center"/>
    </xf>
    <xf numFmtId="1" fontId="1" fillId="0" borderId="0" xfId="0" applyNumberFormat="1" applyFont="1" applyAlignment="1">
      <alignment horizontal="center" vertical="center"/>
    </xf>
    <xf numFmtId="167" fontId="1" fillId="0" borderId="0" xfId="0" applyNumberFormat="1" applyFont="1" applyAlignment="1">
      <alignment horizontal="center" vertical="center"/>
    </xf>
    <xf numFmtId="0" fontId="1" fillId="0" borderId="0" xfId="0" applyFont="1" applyFill="1" applyAlignment="1">
      <alignment horizontal="left" vertical="center"/>
    </xf>
    <xf numFmtId="11" fontId="1" fillId="0" borderId="0" xfId="0" applyNumberFormat="1" applyFont="1" applyFill="1" applyAlignment="1">
      <alignment horizontal="center" vertical="center"/>
    </xf>
    <xf numFmtId="2" fontId="1" fillId="0" borderId="0" xfId="0" applyNumberFormat="1" applyFont="1" applyFill="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left"/>
    </xf>
    <xf numFmtId="4" fontId="1" fillId="0" borderId="0" xfId="0" applyNumberFormat="1" applyFont="1" applyAlignment="1">
      <alignment horizontal="center"/>
    </xf>
    <xf numFmtId="1" fontId="1" fillId="0" borderId="0" xfId="0" applyNumberFormat="1" applyFont="1" applyAlignment="1">
      <alignment horizontal="center"/>
    </xf>
    <xf numFmtId="168" fontId="1" fillId="3" borderId="0" xfId="0" applyNumberFormat="1" applyFont="1" applyFill="1" applyAlignment="1">
      <alignment horizontal="center" vertical="center"/>
    </xf>
    <xf numFmtId="11" fontId="1" fillId="0" borderId="0" xfId="0" applyNumberFormat="1" applyFont="1" applyAlignment="1">
      <alignment horizontal="center" vertical="center"/>
    </xf>
    <xf numFmtId="0" fontId="1" fillId="3" borderId="1"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xf>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vertical="center"/>
    </xf>
    <xf numFmtId="2" fontId="1" fillId="0" borderId="0" xfId="0" applyNumberFormat="1" applyFont="1"/>
    <xf numFmtId="0" fontId="1" fillId="0" borderId="0" xfId="0" applyFont="1" applyBorder="1" applyAlignment="1">
      <alignment horizontal="center" vertical="center"/>
    </xf>
    <xf numFmtId="3" fontId="1" fillId="0" borderId="0" xfId="0" applyNumberFormat="1" applyFont="1" applyFill="1" applyAlignment="1">
      <alignment horizontal="center"/>
    </xf>
    <xf numFmtId="3" fontId="1" fillId="0" borderId="1" xfId="0" applyNumberFormat="1" applyFont="1" applyFill="1" applyBorder="1" applyAlignment="1">
      <alignment horizontal="center" vertical="center"/>
    </xf>
    <xf numFmtId="168" fontId="1" fillId="0" borderId="0" xfId="0" applyNumberFormat="1" applyFont="1" applyFill="1" applyAlignment="1">
      <alignment horizontal="center" vertical="center"/>
    </xf>
    <xf numFmtId="1" fontId="1" fillId="0" borderId="0" xfId="0" applyNumberFormat="1" applyFont="1" applyFill="1" applyAlignment="1">
      <alignment horizontal="center"/>
    </xf>
    <xf numFmtId="0" fontId="5" fillId="2" borderId="1" xfId="0" applyFont="1" applyFill="1" applyBorder="1" applyAlignment="1">
      <alignment horizontal="center" vertical="center"/>
    </xf>
    <xf numFmtId="0" fontId="1" fillId="0" borderId="0" xfId="0" applyFont="1" applyAlignment="1">
      <alignment horizontal="center" vertical="center"/>
    </xf>
    <xf numFmtId="0" fontId="11" fillId="0" borderId="0" xfId="0" applyFont="1" applyAlignment="1">
      <alignment vertical="center"/>
    </xf>
    <xf numFmtId="3" fontId="1" fillId="0" borderId="0" xfId="0" applyNumberFormat="1" applyFont="1" applyFill="1" applyAlignment="1">
      <alignment horizontal="center" vertical="center"/>
    </xf>
    <xf numFmtId="169" fontId="1" fillId="0" borderId="0" xfId="0" applyNumberFormat="1" applyFont="1" applyAlignment="1">
      <alignment horizontal="center" vertical="center"/>
    </xf>
    <xf numFmtId="0" fontId="1" fillId="3" borderId="5" xfId="0" applyFont="1" applyFill="1" applyBorder="1" applyAlignment="1">
      <alignment horizontal="center" vertical="center"/>
    </xf>
    <xf numFmtId="0" fontId="1" fillId="3" borderId="5" xfId="0" applyFont="1" applyFill="1" applyBorder="1" applyAlignment="1">
      <alignment vertical="center"/>
    </xf>
    <xf numFmtId="0" fontId="1" fillId="3" borderId="6" xfId="0" applyFont="1" applyFill="1" applyBorder="1" applyAlignment="1">
      <alignment vertical="center"/>
    </xf>
    <xf numFmtId="0" fontId="1" fillId="3" borderId="4" xfId="0" applyFont="1" applyFill="1" applyBorder="1" applyAlignment="1">
      <alignment vertical="center"/>
    </xf>
    <xf numFmtId="0" fontId="1" fillId="3" borderId="5" xfId="0" applyFont="1" applyFill="1" applyBorder="1" applyAlignment="1">
      <alignment horizontal="center" vertical="center"/>
    </xf>
    <xf numFmtId="0" fontId="1" fillId="3" borderId="4" xfId="0" applyFont="1" applyFill="1" applyBorder="1" applyAlignment="1">
      <alignment horizontal="center" vertical="center"/>
    </xf>
    <xf numFmtId="0" fontId="8" fillId="4" borderId="1" xfId="0" applyFont="1" applyFill="1" applyBorder="1" applyAlignment="1">
      <alignment horizontal="center" vertical="center"/>
    </xf>
    <xf numFmtId="0" fontId="1" fillId="4" borderId="1" xfId="0" applyFont="1" applyFill="1" applyBorder="1" applyAlignment="1">
      <alignment horizontal="center"/>
    </xf>
    <xf numFmtId="0" fontId="1" fillId="0" borderId="1" xfId="0" applyFont="1" applyFill="1" applyBorder="1" applyAlignment="1">
      <alignment horizontal="left" vertical="center" wrapText="1"/>
    </xf>
    <xf numFmtId="0" fontId="1" fillId="0" borderId="1" xfId="0" applyFont="1" applyBorder="1" applyAlignment="1">
      <alignment horizontal="left" vertical="center"/>
    </xf>
    <xf numFmtId="0" fontId="1" fillId="3" borderId="6" xfId="0" applyFont="1" applyFill="1" applyBorder="1" applyAlignment="1">
      <alignment horizontal="center" vertical="center"/>
    </xf>
    <xf numFmtId="0" fontId="1" fillId="3" borderId="20" xfId="0" applyFont="1" applyFill="1" applyBorder="1" applyAlignment="1">
      <alignment horizontal="center" vertical="center"/>
    </xf>
    <xf numFmtId="0" fontId="1" fillId="3" borderId="23" xfId="0" applyFont="1" applyFill="1" applyBorder="1" applyAlignment="1">
      <alignment horizontal="center" vertical="center"/>
    </xf>
    <xf numFmtId="0" fontId="8" fillId="4" borderId="9"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7" xfId="0" applyFont="1" applyFill="1" applyBorder="1" applyAlignment="1">
      <alignment horizontal="center" vertical="center"/>
    </xf>
    <xf numFmtId="0" fontId="1" fillId="4" borderId="9" xfId="0" applyFont="1" applyFill="1" applyBorder="1" applyAlignment="1">
      <alignment horizontal="center"/>
    </xf>
    <xf numFmtId="0" fontId="1" fillId="4" borderId="13" xfId="0" applyFont="1" applyFill="1" applyBorder="1" applyAlignment="1">
      <alignment horizontal="center"/>
    </xf>
    <xf numFmtId="0" fontId="1" fillId="4" borderId="10" xfId="0" applyFont="1" applyFill="1" applyBorder="1" applyAlignment="1">
      <alignment horizontal="center"/>
    </xf>
    <xf numFmtId="0" fontId="1" fillId="4" borderId="3" xfId="0" applyFont="1" applyFill="1" applyBorder="1" applyAlignment="1">
      <alignment horizontal="center"/>
    </xf>
    <xf numFmtId="0" fontId="1" fillId="4" borderId="0" xfId="0" applyFont="1" applyFill="1" applyBorder="1" applyAlignment="1">
      <alignment horizontal="center"/>
    </xf>
    <xf numFmtId="0" fontId="1" fillId="4" borderId="11"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0" fontId="1" fillId="4" borderId="12" xfId="0" applyFont="1" applyFill="1" applyBorder="1" applyAlignment="1">
      <alignment horizontal="center"/>
    </xf>
    <xf numFmtId="0" fontId="1" fillId="4" borderId="9" xfId="0" applyFont="1" applyFill="1" applyBorder="1" applyAlignment="1">
      <alignment horizontal="left" vertical="center" wrapText="1"/>
    </xf>
    <xf numFmtId="0" fontId="1" fillId="4" borderId="13" xfId="0" applyFont="1" applyFill="1" applyBorder="1" applyAlignment="1">
      <alignment horizontal="left" vertical="center" wrapText="1"/>
    </xf>
    <xf numFmtId="0" fontId="1" fillId="4" borderId="10"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4" borderId="0" xfId="0" applyFont="1" applyFill="1" applyBorder="1" applyAlignment="1">
      <alignment horizontal="left" vertical="center" wrapText="1"/>
    </xf>
    <xf numFmtId="0" fontId="1" fillId="4" borderId="11"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8" xfId="0" applyFont="1" applyFill="1" applyBorder="1" applyAlignment="1">
      <alignment horizontal="left" vertical="center" wrapText="1"/>
    </xf>
    <xf numFmtId="0" fontId="1" fillId="4" borderId="12" xfId="0" applyFont="1" applyFill="1" applyBorder="1" applyAlignment="1">
      <alignment horizontal="left" vertical="center" wrapText="1"/>
    </xf>
    <xf numFmtId="164" fontId="7" fillId="0" borderId="10" xfId="0" applyNumberFormat="1" applyFont="1" applyBorder="1" applyAlignment="1">
      <alignment horizontal="center" vertical="center" wrapText="1"/>
    </xf>
    <xf numFmtId="164" fontId="7" fillId="0" borderId="11" xfId="0" applyNumberFormat="1" applyFont="1" applyBorder="1" applyAlignment="1">
      <alignment horizontal="center" vertical="center" wrapText="1"/>
    </xf>
    <xf numFmtId="0" fontId="5" fillId="2" borderId="20" xfId="0" applyFont="1" applyFill="1" applyBorder="1" applyAlignment="1">
      <alignment horizontal="center" vertical="center" wrapText="1"/>
    </xf>
    <xf numFmtId="0" fontId="5" fillId="2" borderId="23" xfId="0" applyFont="1" applyFill="1" applyBorder="1" applyAlignment="1">
      <alignment horizontal="center" vertical="center"/>
    </xf>
    <xf numFmtId="0" fontId="5" fillId="2" borderId="3" xfId="0" applyFont="1" applyFill="1" applyBorder="1" applyAlignment="1">
      <alignment horizontal="center" vertical="center" wrapText="1"/>
    </xf>
    <xf numFmtId="0" fontId="5" fillId="2" borderId="0" xfId="0" applyFont="1" applyFill="1" applyBorder="1" applyAlignment="1">
      <alignment horizontal="center" vertical="center"/>
    </xf>
    <xf numFmtId="0" fontId="1" fillId="3" borderId="0" xfId="0" applyFont="1" applyFill="1" applyAlignment="1">
      <alignment horizontal="center" vertical="center"/>
    </xf>
    <xf numFmtId="0" fontId="5" fillId="2" borderId="24" xfId="0" applyNumberFormat="1" applyFont="1" applyFill="1" applyBorder="1" applyAlignment="1" applyProtection="1">
      <alignment horizontal="center" vertical="center" wrapText="1"/>
    </xf>
    <xf numFmtId="0" fontId="5" fillId="2" borderId="14"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2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20" xfId="0" applyNumberFormat="1" applyFont="1" applyFill="1" applyBorder="1" applyAlignment="1" applyProtection="1">
      <alignment horizontal="center" vertical="center" wrapText="1"/>
    </xf>
    <xf numFmtId="0" fontId="5" fillId="2" borderId="19" xfId="0" applyNumberFormat="1" applyFont="1" applyFill="1" applyBorder="1" applyAlignment="1" applyProtection="1">
      <alignment horizontal="center" vertical="center" wrapText="1"/>
    </xf>
    <xf numFmtId="0" fontId="1" fillId="0" borderId="13" xfId="0" applyFont="1" applyFill="1" applyBorder="1" applyAlignment="1">
      <alignment horizontal="center" vertical="center"/>
    </xf>
    <xf numFmtId="0" fontId="1" fillId="0" borderId="0" xfId="0" applyFont="1" applyFill="1" applyAlignment="1">
      <alignment horizontal="center" vertical="center"/>
    </xf>
    <xf numFmtId="0" fontId="5" fillId="2" borderId="18" xfId="0" applyFont="1" applyFill="1" applyBorder="1" applyAlignment="1">
      <alignment horizontal="center" vertical="center"/>
    </xf>
    <xf numFmtId="0" fontId="5" fillId="2" borderId="19" xfId="0" applyFont="1" applyFill="1" applyBorder="1" applyAlignment="1">
      <alignment horizontal="center" vertical="center" wrapText="1"/>
    </xf>
    <xf numFmtId="0" fontId="0" fillId="0" borderId="0" xfId="0" applyAlignment="1">
      <alignment horizontal="left" vertical="center" wrapText="1"/>
    </xf>
    <xf numFmtId="0" fontId="5" fillId="2" borderId="21"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4"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cellXfs>
  <cellStyles count="2">
    <cellStyle name="Normal" xfId="0" builtinId="0"/>
    <cellStyle name="Normal 2" xfId="1"/>
  </cellStyles>
  <dxfs count="0"/>
  <tableStyles count="0" defaultTableStyle="TableStyleMedium2" defaultPivotStyle="PivotStyleLight16"/>
  <colors>
    <mruColors>
      <color rgb="FFD9D9D9"/>
      <color rgb="FFDCE6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320386</xdr:colOff>
      <xdr:row>5</xdr:row>
      <xdr:rowOff>146771</xdr:rowOff>
    </xdr:from>
    <xdr:ext cx="1609725" cy="673967"/>
    <mc:AlternateContent xmlns:mc="http://schemas.openxmlformats.org/markup-compatibility/2006" xmlns:a14="http://schemas.microsoft.com/office/drawing/2010/main">
      <mc:Choice Requires="a14">
        <xdr:sp macro="" textlink="">
          <xdr:nvSpPr>
            <xdr:cNvPr id="2" name="CaixaDeTexto 1"/>
            <xdr:cNvSpPr txBox="1"/>
          </xdr:nvSpPr>
          <xdr:spPr>
            <a:xfrm>
              <a:off x="1282411" y="1099271"/>
              <a:ext cx="1609725" cy="67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𝑘</m:t>
                    </m:r>
                    <m:d>
                      <m:dPr>
                        <m:ctrlPr>
                          <a:rPr lang="pt-BR" sz="1100" b="0" i="1">
                            <a:latin typeface="Cambria Math" panose="02040503050406030204" pitchFamily="18" charset="0"/>
                          </a:rPr>
                        </m:ctrlPr>
                      </m:dPr>
                      <m:e>
                        <m:r>
                          <a:rPr lang="pt-BR" sz="1100" b="0" i="1">
                            <a:latin typeface="Cambria Math" panose="02040503050406030204" pitchFamily="18" charset="0"/>
                          </a:rPr>
                          <m:t>0,0016</m:t>
                        </m:r>
                      </m:e>
                    </m:d>
                    <m:r>
                      <a:rPr lang="pt-BR" sz="1100" b="0" i="1">
                        <a:latin typeface="Cambria Math" panose="02040503050406030204" pitchFamily="18" charset="0"/>
                      </a:rPr>
                      <m:t> </m:t>
                    </m:r>
                    <m:f>
                      <m:fPr>
                        <m:ctrlPr>
                          <a:rPr lang="pt-BR" sz="1100" b="0" i="1">
                            <a:latin typeface="Cambria Math" panose="02040503050406030204" pitchFamily="18" charset="0"/>
                          </a:rPr>
                        </m:ctrlPr>
                      </m:fPr>
                      <m:num>
                        <m:sSup>
                          <m:sSupPr>
                            <m:ctrlPr>
                              <a:rPr lang="pt-BR" sz="1100" b="0" i="1">
                                <a:latin typeface="Cambria Math" panose="02040503050406030204" pitchFamily="18" charset="0"/>
                              </a:rPr>
                            </m:ctrlPr>
                          </m:sSup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𝑈</m:t>
                                    </m:r>
                                  </m:num>
                                  <m:den>
                                    <m:r>
                                      <a:rPr lang="pt-BR" sz="1100" b="0" i="1">
                                        <a:latin typeface="Cambria Math" panose="02040503050406030204" pitchFamily="18" charset="0"/>
                                      </a:rPr>
                                      <m:t>2,2</m:t>
                                    </m:r>
                                  </m:den>
                                </m:f>
                              </m:e>
                            </m:d>
                          </m:e>
                          <m:sup>
                            <m:r>
                              <a:rPr lang="pt-BR" sz="1100" b="0" i="1">
                                <a:latin typeface="Cambria Math" panose="02040503050406030204" pitchFamily="18" charset="0"/>
                              </a:rPr>
                              <m:t>1,3</m:t>
                            </m:r>
                          </m:sup>
                        </m:sSup>
                      </m:num>
                      <m:den>
                        <m:sSup>
                          <m:sSupPr>
                            <m:ctrlPr>
                              <a:rPr lang="pt-BR" sz="1100" b="0" i="1">
                                <a:latin typeface="Cambria Math" panose="02040503050406030204" pitchFamily="18" charset="0"/>
                              </a:rPr>
                            </m:ctrlPr>
                          </m:sSup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𝑀</m:t>
                                    </m:r>
                                  </m:num>
                                  <m:den>
                                    <m:r>
                                      <a:rPr lang="pt-BR" sz="1100" b="0" i="1">
                                        <a:latin typeface="Cambria Math" panose="02040503050406030204" pitchFamily="18" charset="0"/>
                                      </a:rPr>
                                      <m:t>2</m:t>
                                    </m:r>
                                  </m:den>
                                </m:f>
                              </m:e>
                            </m:d>
                          </m:e>
                          <m:sup>
                            <m:r>
                              <a:rPr lang="pt-BR" sz="1100" b="0" i="1">
                                <a:latin typeface="Cambria Math" panose="02040503050406030204" pitchFamily="18" charset="0"/>
                              </a:rPr>
                              <m:t>1,4</m:t>
                            </m:r>
                          </m:sup>
                        </m:sSup>
                      </m:den>
                    </m:f>
                  </m:oMath>
                </m:oMathPara>
              </a14:m>
              <a:endParaRPr lang="pt-BR" sz="1100"/>
            </a:p>
          </xdr:txBody>
        </xdr:sp>
      </mc:Choice>
      <mc:Fallback xmlns="">
        <xdr:sp macro="" textlink="">
          <xdr:nvSpPr>
            <xdr:cNvPr id="2" name="CaixaDeTexto 1"/>
            <xdr:cNvSpPr txBox="1"/>
          </xdr:nvSpPr>
          <xdr:spPr>
            <a:xfrm>
              <a:off x="1282411" y="1099271"/>
              <a:ext cx="1609725" cy="67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𝐸=𝑘(0,0016)   (𝑈/2,2)^1,3/(𝑀/2)^1,4 </a:t>
              </a:r>
              <a:endParaRPr lang="pt-BR"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xdr:col>
      <xdr:colOff>676275</xdr:colOff>
      <xdr:row>15</xdr:row>
      <xdr:rowOff>14287</xdr:rowOff>
    </xdr:from>
    <xdr:ext cx="1609725" cy="172227"/>
    <mc:AlternateContent xmlns:mc="http://schemas.openxmlformats.org/markup-compatibility/2006" xmlns:a14="http://schemas.microsoft.com/office/drawing/2010/main">
      <mc:Choice Requires="a14">
        <xdr:sp macro="" textlink="">
          <xdr:nvSpPr>
            <xdr:cNvPr id="2" name="CaixaDeTexto 1"/>
            <xdr:cNvSpPr txBox="1"/>
          </xdr:nvSpPr>
          <xdr:spPr>
            <a:xfrm>
              <a:off x="2600325" y="8396287"/>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𝑛</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𝐻</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𝐸𝐹</m:t>
                    </m:r>
                    <m:r>
                      <a:rPr lang="pt-BR" sz="1100" b="0" i="1">
                        <a:latin typeface="Cambria Math" panose="02040503050406030204" pitchFamily="18" charset="0"/>
                      </a:rPr>
                      <m:t> </m:t>
                    </m:r>
                  </m:oMath>
                </m:oMathPara>
              </a14:m>
              <a:endParaRPr lang="pt-BR" sz="1100"/>
            </a:p>
          </xdr:txBody>
        </xdr:sp>
      </mc:Choice>
      <mc:Fallback xmlns="">
        <xdr:sp macro="" textlink="">
          <xdr:nvSpPr>
            <xdr:cNvPr id="2" name="CaixaDeTexto 1"/>
            <xdr:cNvSpPr txBox="1"/>
          </xdr:nvSpPr>
          <xdr:spPr>
            <a:xfrm>
              <a:off x="2600325" y="8396287"/>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𝐸=𝑛 𝑥 𝐻 𝑥 𝐸𝐹 </a:t>
              </a:r>
              <a:endParaRPr lang="pt-BR"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1</xdr:col>
      <xdr:colOff>438150</xdr:colOff>
      <xdr:row>1</xdr:row>
      <xdr:rowOff>119062</xdr:rowOff>
    </xdr:from>
    <xdr:ext cx="2695575" cy="380361"/>
    <mc:AlternateContent xmlns:mc="http://schemas.openxmlformats.org/markup-compatibility/2006" xmlns:a14="http://schemas.microsoft.com/office/drawing/2010/main">
      <mc:Choice Requires="a14">
        <xdr:sp macro="" textlink="">
          <xdr:nvSpPr>
            <xdr:cNvPr id="2" name="CaixaDeTexto 1"/>
            <xdr:cNvSpPr txBox="1"/>
          </xdr:nvSpPr>
          <xdr:spPr>
            <a:xfrm>
              <a:off x="1819275" y="309562"/>
              <a:ext cx="269557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pt-BR" sz="1100" b="0" i="1">
                            <a:latin typeface="Cambria Math" panose="02040503050406030204" pitchFamily="18" charset="0"/>
                          </a:rPr>
                        </m:ctrlPr>
                      </m:fPr>
                      <m:num>
                        <m:r>
                          <a:rPr lang="pt-BR" sz="1100" b="0" i="1">
                            <a:latin typeface="Cambria Math" panose="02040503050406030204" pitchFamily="18" charset="0"/>
                          </a:rPr>
                          <m:t>𝑚𝑔</m:t>
                        </m:r>
                      </m:num>
                      <m:den>
                        <m:sSup>
                          <m:sSupPr>
                            <m:ctrlPr>
                              <a:rPr lang="pt-BR" sz="1100" b="0" i="1">
                                <a:latin typeface="Cambria Math" panose="02040503050406030204" pitchFamily="18" charset="0"/>
                              </a:rPr>
                            </m:ctrlPr>
                          </m:sSupPr>
                          <m:e>
                            <m:r>
                              <a:rPr lang="pt-BR" sz="1100" b="0" i="1">
                                <a:latin typeface="Cambria Math" panose="02040503050406030204" pitchFamily="18" charset="0"/>
                              </a:rPr>
                              <m:t>𝑚</m:t>
                            </m:r>
                          </m:e>
                          <m:sup>
                            <m:r>
                              <a:rPr lang="pt-BR" sz="1100" b="0" i="1">
                                <a:latin typeface="Cambria Math" panose="02040503050406030204" pitchFamily="18" charset="0"/>
                              </a:rPr>
                              <m:t>3</m:t>
                            </m:r>
                          </m:sup>
                        </m:sSup>
                      </m:den>
                    </m:f>
                    <m:r>
                      <a:rPr lang="pt-BR" sz="1100" b="0" i="1">
                        <a:latin typeface="Cambria Math" panose="02040503050406030204" pitchFamily="18" charset="0"/>
                      </a:rPr>
                      <m:t>=</m:t>
                    </m:r>
                    <m:r>
                      <a:rPr lang="pt-BR" sz="1100" b="0" i="1">
                        <a:latin typeface="Cambria Math" panose="02040503050406030204" pitchFamily="18" charset="0"/>
                      </a:rPr>
                      <m:t>𝑝𝑝𝑚</m:t>
                    </m:r>
                    <m:r>
                      <a:rPr lang="pt-BR" sz="1100" b="0" i="1">
                        <a:latin typeface="Cambria Math" panose="02040503050406030204" pitchFamily="18" charset="0"/>
                      </a:rPr>
                      <m:t> . 0,04087 . </m:t>
                    </m:r>
                    <m:r>
                      <a:rPr lang="pt-BR" sz="1100" b="0" i="1">
                        <a:latin typeface="Cambria Math" panose="02040503050406030204" pitchFamily="18" charset="0"/>
                      </a:rPr>
                      <m:t>𝑀𝑊</m:t>
                    </m:r>
                    <m:r>
                      <a:rPr lang="pt-BR" sz="1100" b="0" i="1">
                        <a:latin typeface="Cambria Math" panose="02040503050406030204" pitchFamily="18" charset="0"/>
                      </a:rPr>
                      <m:t> . </m:t>
                    </m:r>
                    <m:d>
                      <m:dPr>
                        <m:begChr m:val="["/>
                        <m:endChr m:val="]"/>
                        <m:ctrlPr>
                          <a:rPr lang="pt-BR" sz="1100" b="0" i="1">
                            <a:latin typeface="Cambria Math" panose="02040503050406030204" pitchFamily="18" charset="0"/>
                          </a:rPr>
                        </m:ctrlPr>
                      </m:d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𝑃</m:t>
                                </m:r>
                              </m:num>
                              <m:den>
                                <m:sSub>
                                  <m:sSubPr>
                                    <m:ctrlPr>
                                      <a:rPr lang="pt-BR" sz="1100" b="0" i="1">
                                        <a:latin typeface="Cambria Math" panose="02040503050406030204" pitchFamily="18" charset="0"/>
                                      </a:rPr>
                                    </m:ctrlPr>
                                  </m:sSubPr>
                                  <m:e>
                                    <m:r>
                                      <a:rPr lang="pt-BR" sz="1100" b="0" i="1">
                                        <a:latin typeface="Cambria Math" panose="02040503050406030204" pitchFamily="18" charset="0"/>
                                      </a:rPr>
                                      <m:t>𝑃</m:t>
                                    </m:r>
                                  </m:e>
                                  <m:sub>
                                    <m:r>
                                      <a:rPr lang="pt-BR" sz="1100" b="0" i="1">
                                        <a:latin typeface="Cambria Math" panose="02040503050406030204" pitchFamily="18" charset="0"/>
                                      </a:rPr>
                                      <m:t>0</m:t>
                                    </m:r>
                                  </m:sub>
                                </m:sSub>
                              </m:den>
                            </m:f>
                          </m:e>
                        </m:d>
                        <m:r>
                          <a:rPr lang="pt-BR" sz="1100" b="0" i="1">
                            <a:latin typeface="Cambria Math" panose="02040503050406030204" pitchFamily="18" charset="0"/>
                          </a:rPr>
                          <m:t>. </m:t>
                        </m:r>
                        <m:d>
                          <m:dPr>
                            <m:ctrlPr>
                              <a:rPr lang="pt-BR" sz="1100" b="0" i="1">
                                <a:solidFill>
                                  <a:schemeClr val="tx1"/>
                                </a:solidFill>
                                <a:effectLst/>
                                <a:latin typeface="Cambria Math" panose="02040503050406030204" pitchFamily="18" charset="0"/>
                                <a:ea typeface="+mn-ea"/>
                                <a:cs typeface="+mn-cs"/>
                              </a:rPr>
                            </m:ctrlPr>
                          </m:dPr>
                          <m:e>
                            <m:f>
                              <m:fPr>
                                <m:ctrlPr>
                                  <a:rPr lang="pt-BR" sz="1100" b="0" i="1">
                                    <a:solidFill>
                                      <a:schemeClr val="tx1"/>
                                    </a:solidFill>
                                    <a:effectLst/>
                                    <a:latin typeface="Cambria Math" panose="02040503050406030204" pitchFamily="18" charset="0"/>
                                    <a:ea typeface="+mn-ea"/>
                                    <a:cs typeface="+mn-cs"/>
                                  </a:rPr>
                                </m:ctrlPr>
                              </m:fPr>
                              <m:num>
                                <m:sSub>
                                  <m:sSubPr>
                                    <m:ctrlPr>
                                      <a:rPr lang="pt-BR" sz="1100" b="0" i="1">
                                        <a:solidFill>
                                          <a:schemeClr val="tx1"/>
                                        </a:solidFill>
                                        <a:effectLst/>
                                        <a:latin typeface="Cambria Math" panose="02040503050406030204" pitchFamily="18" charset="0"/>
                                        <a:ea typeface="+mn-ea"/>
                                        <a:cs typeface="+mn-cs"/>
                                      </a:rPr>
                                    </m:ctrlPr>
                                  </m:sSubPr>
                                  <m:e>
                                    <m:r>
                                      <a:rPr lang="pt-BR" sz="1100" b="0" i="1">
                                        <a:solidFill>
                                          <a:schemeClr val="tx1"/>
                                        </a:solidFill>
                                        <a:effectLst/>
                                        <a:latin typeface="Cambria Math" panose="02040503050406030204" pitchFamily="18" charset="0"/>
                                        <a:ea typeface="+mn-ea"/>
                                        <a:cs typeface="+mn-cs"/>
                                      </a:rPr>
                                      <m:t>𝑇</m:t>
                                    </m:r>
                                  </m:e>
                                  <m:sub>
                                    <m:r>
                                      <a:rPr lang="pt-BR" sz="1100" b="0" i="1">
                                        <a:solidFill>
                                          <a:schemeClr val="tx1"/>
                                        </a:solidFill>
                                        <a:effectLst/>
                                        <a:latin typeface="Cambria Math" panose="02040503050406030204" pitchFamily="18" charset="0"/>
                                        <a:ea typeface="+mn-ea"/>
                                        <a:cs typeface="+mn-cs"/>
                                      </a:rPr>
                                      <m:t>0</m:t>
                                    </m:r>
                                  </m:sub>
                                </m:sSub>
                              </m:num>
                              <m:den>
                                <m:r>
                                  <a:rPr lang="pt-BR" sz="1100" b="0" i="1">
                                    <a:solidFill>
                                      <a:schemeClr val="tx1"/>
                                    </a:solidFill>
                                    <a:effectLst/>
                                    <a:latin typeface="Cambria Math" panose="02040503050406030204" pitchFamily="18" charset="0"/>
                                    <a:ea typeface="+mn-ea"/>
                                    <a:cs typeface="+mn-cs"/>
                                  </a:rPr>
                                  <m:t>𝑇</m:t>
                                </m:r>
                              </m:den>
                            </m:f>
                          </m:e>
                        </m:d>
                      </m:e>
                    </m:d>
                  </m:oMath>
                </m:oMathPara>
              </a14:m>
              <a:endParaRPr lang="pt-BR" sz="1100"/>
            </a:p>
          </xdr:txBody>
        </xdr:sp>
      </mc:Choice>
      <mc:Fallback xmlns="">
        <xdr:sp macro="" textlink="">
          <xdr:nvSpPr>
            <xdr:cNvPr id="2" name="CaixaDeTexto 1"/>
            <xdr:cNvSpPr txBox="1"/>
          </xdr:nvSpPr>
          <xdr:spPr>
            <a:xfrm>
              <a:off x="1819275" y="309562"/>
              <a:ext cx="269557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𝑚𝑔/𝑚^3 =𝑝𝑝𝑚 . 0,04087 . 𝑀𝑊 . [(𝑃/𝑃_0 ). </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𝑇_0</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𝑇</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a:t>
              </a:r>
              <a:endParaRPr lang="pt-BR" sz="110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aarao\Desktop\Gabriel\Projetos\Inventario_RGV\Memorial_C&#225;lculo\Empreendimentos_Concreto\Bela%20Vista_Andamento\Memorial_Bela%20Vis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Transferências"/>
      <sheetName val="FE - Maq e Equip"/>
      <sheetName val="Dados"/>
      <sheetName val="Emissão Maq e Equip"/>
      <sheetName val="Emissão Transferências"/>
      <sheetName val="Emissão Chaminés"/>
      <sheetName val="Emissão Vias"/>
      <sheetName val="Resumo"/>
      <sheetName val="ppm to mg.m-3"/>
    </sheetNames>
    <sheetDataSet>
      <sheetData sheetId="0"/>
      <sheetData sheetId="1">
        <row r="4">
          <cell r="B4" t="str">
            <v>Rubber Tired Loaders - 25</v>
          </cell>
          <cell r="C4">
            <v>4.1647481574952775E-3</v>
          </cell>
          <cell r="D4">
            <v>6.5318933034944765E-2</v>
          </cell>
          <cell r="E4">
            <v>9.7431139391112798E-5</v>
          </cell>
          <cell r="F4">
            <v>3.2117661168667613E-2</v>
          </cell>
          <cell r="G4">
            <v>1.0013560541894806E-2</v>
          </cell>
          <cell r="H4">
            <v>7.6789363702976381</v>
          </cell>
          <cell r="I4">
            <v>9.0350737078986789E-4</v>
          </cell>
        </row>
        <row r="5">
          <cell r="B5" t="str">
            <v>Rubber Tired Loaders - 50</v>
          </cell>
          <cell r="C5">
            <v>1.9389461005136124E-2</v>
          </cell>
          <cell r="D5">
            <v>0.15850781980120351</v>
          </cell>
          <cell r="E5">
            <v>1.8265581631205882E-4</v>
          </cell>
          <cell r="F5">
            <v>0.19953638186759515</v>
          </cell>
          <cell r="G5">
            <v>8.7889870552575564E-2</v>
          </cell>
          <cell r="H5">
            <v>14.129238189499569</v>
          </cell>
          <cell r="I5">
            <v>7.9301638618412291E-3</v>
          </cell>
        </row>
        <row r="6">
          <cell r="B6" t="str">
            <v>Rubber Tired Loaders - 120</v>
          </cell>
          <cell r="C6">
            <v>3.5159649405128737E-2</v>
          </cell>
          <cell r="D6">
            <v>0.39013010201093185</v>
          </cell>
          <cell r="E6">
            <v>3.1347091665644508E-4</v>
          </cell>
          <cell r="F6">
            <v>0.2004419223709539</v>
          </cell>
          <cell r="G6">
            <v>6.7138814469940591E-2</v>
          </cell>
          <cell r="H6">
            <v>26.722695910514073</v>
          </cell>
          <cell r="I6">
            <v>6.0578280967871325E-3</v>
          </cell>
        </row>
        <row r="7">
          <cell r="B7" t="str">
            <v>Rubber Tired Loaders - 175</v>
          </cell>
          <cell r="C7">
            <v>3.4873730864910753E-2</v>
          </cell>
          <cell r="D7">
            <v>0.62819014565488085</v>
          </cell>
          <cell r="E7">
            <v>5.4259968788077681E-4</v>
          </cell>
          <cell r="F7">
            <v>0.29143683660988179</v>
          </cell>
          <cell r="G7">
            <v>7.9806989940830519E-2</v>
          </cell>
          <cell r="H7">
            <v>48.223729179933819</v>
          </cell>
          <cell r="I7">
            <v>7.2008552575325378E-3</v>
          </cell>
        </row>
        <row r="8">
          <cell r="B8" t="str">
            <v>Rubber Tired Loaders - 250</v>
          </cell>
          <cell r="C8">
            <v>3.101083119228833E-2</v>
          </cell>
          <cell r="D8">
            <v>0.83698143551687265</v>
          </cell>
          <cell r="E8">
            <v>7.6033040375300068E-4</v>
          </cell>
          <cell r="F8">
            <v>0.22495851814724077</v>
          </cell>
          <cell r="G8">
            <v>8.0781384871570633E-2</v>
          </cell>
          <cell r="H8">
            <v>67.57462749683539</v>
          </cell>
          <cell r="I8">
            <v>7.2887737155482657E-3</v>
          </cell>
        </row>
        <row r="9">
          <cell r="B9" t="str">
            <v>Rubber Tired Loaders - 500</v>
          </cell>
          <cell r="C9">
            <v>4.4312637095619792E-2</v>
          </cell>
          <cell r="D9">
            <v>1.1811178567160983</v>
          </cell>
          <cell r="E9">
            <v>1.0551972934755545E-3</v>
          </cell>
          <cell r="F9">
            <v>0.44023160723795168</v>
          </cell>
          <cell r="G9">
            <v>0.11468313954524458</v>
          </cell>
          <cell r="H9">
            <v>107.50511325477065</v>
          </cell>
          <cell r="I9">
            <v>1.0347677695252593E-2</v>
          </cell>
        </row>
        <row r="10">
          <cell r="B10" t="str">
            <v>Rubber Tired Loaders - 750</v>
          </cell>
          <cell r="C10">
            <v>9.1699292295937748E-2</v>
          </cell>
          <cell r="D10">
            <v>2.4816495823931239</v>
          </cell>
          <cell r="E10">
            <v>2.2143711863278365E-3</v>
          </cell>
          <cell r="F10">
            <v>0.8977989810489746</v>
          </cell>
          <cell r="G10">
            <v>0.2376690359121682</v>
          </cell>
          <cell r="H10">
            <v>220.23193257962103</v>
          </cell>
          <cell r="I10">
            <v>2.1444490325478866E-2</v>
          </cell>
        </row>
        <row r="11">
          <cell r="B11" t="str">
            <v>Rubber Tired Loaders - 1000</v>
          </cell>
          <cell r="C11">
            <v>0.11281698418835924</v>
          </cell>
          <cell r="D11">
            <v>3.6320533542247149</v>
          </cell>
          <cell r="E11">
            <v>2.708513011176045E-3</v>
          </cell>
          <cell r="F11">
            <v>1.2834306373108464</v>
          </cell>
          <cell r="G11">
            <v>0.33188731556128104</v>
          </cell>
          <cell r="H11">
            <v>269.37717766866973</v>
          </cell>
          <cell r="I11">
            <v>2.9945664738985911E-2</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3"/>
  <dimension ref="A1:N21"/>
  <sheetViews>
    <sheetView zoomScale="115" zoomScaleNormal="115" workbookViewId="0">
      <selection activeCell="N4" sqref="N4:N7"/>
    </sheetView>
  </sheetViews>
  <sheetFormatPr defaultRowHeight="15" x14ac:dyDescent="0.25"/>
  <cols>
    <col min="1" max="1" width="14.42578125" customWidth="1"/>
    <col min="7" max="7" width="26.42578125" bestFit="1" customWidth="1"/>
    <col min="8" max="8" width="20.140625" bestFit="1" customWidth="1"/>
  </cols>
  <sheetData>
    <row r="1" spans="1:14" x14ac:dyDescent="0.25">
      <c r="A1" s="2" t="s">
        <v>63</v>
      </c>
      <c r="B1" s="1"/>
      <c r="C1" s="1"/>
      <c r="D1" s="1"/>
      <c r="E1" s="1"/>
      <c r="F1" s="1"/>
      <c r="G1" s="1"/>
      <c r="H1" s="1"/>
      <c r="I1" s="1"/>
      <c r="J1" s="1"/>
      <c r="K1" s="1"/>
      <c r="L1" s="1"/>
      <c r="M1" s="1"/>
      <c r="N1" s="1"/>
    </row>
    <row r="2" spans="1:14" x14ac:dyDescent="0.25">
      <c r="A2" s="66" t="s">
        <v>64</v>
      </c>
      <c r="B2" s="72"/>
      <c r="C2" s="72"/>
      <c r="D2" s="72"/>
      <c r="E2" s="67"/>
      <c r="F2" s="1"/>
      <c r="G2" s="63" t="s">
        <v>65</v>
      </c>
      <c r="H2" s="64"/>
      <c r="I2" s="64"/>
      <c r="J2" s="64"/>
      <c r="K2" s="65"/>
      <c r="L2" s="62"/>
      <c r="M2" s="1"/>
      <c r="N2" s="1"/>
    </row>
    <row r="3" spans="1:14" x14ac:dyDescent="0.25">
      <c r="A3" s="45" t="s">
        <v>67</v>
      </c>
      <c r="B3" s="45" t="s">
        <v>68</v>
      </c>
      <c r="C3" s="45" t="s">
        <v>69</v>
      </c>
      <c r="D3" s="45" t="s">
        <v>70</v>
      </c>
      <c r="E3" s="45" t="s">
        <v>71</v>
      </c>
      <c r="F3" s="1"/>
      <c r="G3" s="73" t="s">
        <v>72</v>
      </c>
      <c r="H3" s="73" t="s">
        <v>73</v>
      </c>
      <c r="I3" s="66" t="s">
        <v>74</v>
      </c>
      <c r="J3" s="67"/>
      <c r="K3" s="66" t="s">
        <v>75</v>
      </c>
      <c r="L3" s="67"/>
      <c r="M3" s="1"/>
      <c r="N3" s="1"/>
    </row>
    <row r="4" spans="1:14" x14ac:dyDescent="0.25">
      <c r="A4" s="27">
        <v>0.74</v>
      </c>
      <c r="B4" s="28">
        <v>0.48</v>
      </c>
      <c r="C4" s="27">
        <v>0.35</v>
      </c>
      <c r="D4" s="28">
        <v>0.2</v>
      </c>
      <c r="E4" s="27">
        <v>5.2999999999999999E-2</v>
      </c>
      <c r="F4" s="1"/>
      <c r="G4" s="74"/>
      <c r="H4" s="74"/>
      <c r="I4" s="45" t="s">
        <v>76</v>
      </c>
      <c r="J4" s="45" t="s">
        <v>77</v>
      </c>
      <c r="K4" s="45" t="s">
        <v>76</v>
      </c>
      <c r="L4" s="45" t="s">
        <v>77</v>
      </c>
      <c r="M4" s="1"/>
    </row>
    <row r="5" spans="1:14" x14ac:dyDescent="0.25">
      <c r="A5" s="1"/>
      <c r="B5" s="1"/>
      <c r="C5" s="1"/>
      <c r="D5" s="1"/>
      <c r="E5" s="1"/>
      <c r="F5" s="1"/>
      <c r="G5" s="71" t="s">
        <v>80</v>
      </c>
      <c r="H5" s="28" t="s">
        <v>81</v>
      </c>
      <c r="I5" s="28" t="s">
        <v>60</v>
      </c>
      <c r="J5" s="28">
        <v>2.6</v>
      </c>
      <c r="K5" s="28" t="s">
        <v>60</v>
      </c>
      <c r="L5" s="28">
        <v>7.4</v>
      </c>
      <c r="M5" s="1"/>
    </row>
    <row r="6" spans="1:14" ht="15" customHeight="1" x14ac:dyDescent="0.25">
      <c r="A6" s="68" t="s">
        <v>16</v>
      </c>
      <c r="B6" s="69"/>
      <c r="C6" s="69"/>
      <c r="D6" s="69"/>
      <c r="E6" s="69"/>
      <c r="F6" s="1"/>
      <c r="G6" s="71"/>
      <c r="H6" s="28" t="s">
        <v>78</v>
      </c>
      <c r="I6" s="28" t="s">
        <v>82</v>
      </c>
      <c r="J6" s="28">
        <v>3.8</v>
      </c>
      <c r="K6" s="28" t="s">
        <v>83</v>
      </c>
      <c r="L6" s="28">
        <v>3.6</v>
      </c>
      <c r="M6" s="1"/>
    </row>
    <row r="7" spans="1:14" x14ac:dyDescent="0.25">
      <c r="A7" s="68"/>
      <c r="B7" s="69"/>
      <c r="C7" s="69"/>
      <c r="D7" s="69"/>
      <c r="E7" s="69"/>
      <c r="F7" s="1"/>
      <c r="G7" s="71"/>
      <c r="H7" s="28" t="s">
        <v>84</v>
      </c>
      <c r="I7" s="28" t="s">
        <v>85</v>
      </c>
      <c r="J7" s="28">
        <v>9</v>
      </c>
      <c r="K7" s="28" t="s">
        <v>86</v>
      </c>
      <c r="L7" s="28">
        <v>12</v>
      </c>
      <c r="M7" s="1"/>
    </row>
    <row r="8" spans="1:14" x14ac:dyDescent="0.25">
      <c r="A8" s="68"/>
      <c r="B8" s="69"/>
      <c r="C8" s="69"/>
      <c r="D8" s="69"/>
      <c r="E8" s="69"/>
      <c r="F8" s="1"/>
      <c r="G8" s="71"/>
      <c r="H8" s="28" t="s">
        <v>87</v>
      </c>
      <c r="I8" s="28" t="s">
        <v>60</v>
      </c>
      <c r="J8" s="28">
        <v>9.1999999999999993</v>
      </c>
      <c r="K8" s="28" t="s">
        <v>60</v>
      </c>
      <c r="L8" s="28">
        <v>14</v>
      </c>
      <c r="M8" s="1"/>
      <c r="N8" s="1"/>
    </row>
    <row r="9" spans="1:14" ht="15" customHeight="1" x14ac:dyDescent="0.25">
      <c r="A9" s="68"/>
      <c r="B9" s="69"/>
      <c r="C9" s="69"/>
      <c r="D9" s="69"/>
      <c r="E9" s="69"/>
      <c r="F9" s="1"/>
      <c r="G9" s="71"/>
      <c r="H9" s="28" t="s">
        <v>88</v>
      </c>
      <c r="I9" s="28" t="s">
        <v>89</v>
      </c>
      <c r="J9" s="28">
        <v>6</v>
      </c>
      <c r="K9" s="28" t="s">
        <v>90</v>
      </c>
      <c r="L9" s="28">
        <v>10</v>
      </c>
      <c r="M9" s="1"/>
      <c r="N9" s="1"/>
    </row>
    <row r="10" spans="1:14" x14ac:dyDescent="0.25">
      <c r="A10" s="68"/>
      <c r="B10" s="69"/>
      <c r="C10" s="69"/>
      <c r="D10" s="69"/>
      <c r="E10" s="69"/>
      <c r="F10" s="1"/>
      <c r="G10" s="71"/>
      <c r="H10" s="28" t="s">
        <v>91</v>
      </c>
      <c r="I10" s="28" t="s">
        <v>92</v>
      </c>
      <c r="J10" s="28">
        <v>80</v>
      </c>
      <c r="K10" s="28" t="s">
        <v>93</v>
      </c>
      <c r="L10" s="28">
        <v>27</v>
      </c>
      <c r="M10" s="1"/>
      <c r="N10" s="1"/>
    </row>
    <row r="11" spans="1:14" ht="15" customHeight="1" x14ac:dyDescent="0.25">
      <c r="A11" s="68"/>
      <c r="B11" s="70" t="s">
        <v>79</v>
      </c>
      <c r="C11" s="70"/>
      <c r="D11" s="70"/>
      <c r="E11" s="70"/>
      <c r="F11" s="1"/>
      <c r="G11" s="71"/>
      <c r="H11" s="28" t="s">
        <v>94</v>
      </c>
      <c r="I11" s="28" t="s">
        <v>60</v>
      </c>
      <c r="J11" s="28">
        <v>12</v>
      </c>
      <c r="K11" s="28" t="s">
        <v>60</v>
      </c>
      <c r="L11" s="28">
        <v>11</v>
      </c>
      <c r="M11" s="1"/>
      <c r="N11" s="1"/>
    </row>
    <row r="12" spans="1:14" x14ac:dyDescent="0.25">
      <c r="A12" s="68"/>
      <c r="B12" s="70"/>
      <c r="C12" s="70"/>
      <c r="D12" s="70"/>
      <c r="E12" s="70"/>
      <c r="F12" s="1"/>
      <c r="G12" s="32"/>
      <c r="H12" s="29"/>
      <c r="I12" s="30"/>
      <c r="J12" s="30"/>
      <c r="K12" s="30"/>
      <c r="L12" s="30"/>
      <c r="M12" s="1"/>
      <c r="N12" s="1"/>
    </row>
    <row r="13" spans="1:14" x14ac:dyDescent="0.25">
      <c r="A13" s="68"/>
      <c r="B13" s="70"/>
      <c r="C13" s="70"/>
      <c r="D13" s="70"/>
      <c r="E13" s="70"/>
      <c r="F13" s="1"/>
      <c r="G13" s="32"/>
      <c r="H13" s="29"/>
      <c r="I13" s="30"/>
      <c r="J13" s="30"/>
      <c r="K13" s="30"/>
      <c r="L13" s="30"/>
      <c r="M13" s="1"/>
      <c r="N13" s="1"/>
    </row>
    <row r="14" spans="1:14" x14ac:dyDescent="0.25">
      <c r="A14" s="68"/>
      <c r="B14" s="70"/>
      <c r="C14" s="70"/>
      <c r="D14" s="70"/>
      <c r="E14" s="70"/>
      <c r="F14" s="1"/>
      <c r="G14" s="66" t="s">
        <v>105</v>
      </c>
      <c r="H14" s="67"/>
      <c r="I14" s="30"/>
      <c r="J14" s="30"/>
      <c r="K14" s="30"/>
      <c r="L14" s="30"/>
      <c r="M14" s="1"/>
      <c r="N14" s="1"/>
    </row>
    <row r="15" spans="1:14" x14ac:dyDescent="0.25">
      <c r="A15" s="68"/>
      <c r="B15" s="70"/>
      <c r="C15" s="70"/>
      <c r="D15" s="70"/>
      <c r="E15" s="70"/>
      <c r="F15" s="1"/>
      <c r="G15" s="28" t="s">
        <v>103</v>
      </c>
      <c r="H15" s="30">
        <f>1.52*1000</f>
        <v>1520</v>
      </c>
      <c r="I15" s="30"/>
      <c r="J15" s="30"/>
      <c r="K15" s="30"/>
      <c r="L15" s="30"/>
      <c r="M15" s="1"/>
      <c r="N15" s="1"/>
    </row>
    <row r="16" spans="1:14" x14ac:dyDescent="0.25">
      <c r="A16" s="2"/>
      <c r="B16" s="1"/>
      <c r="C16" s="1"/>
      <c r="D16" s="1"/>
      <c r="E16" s="1"/>
      <c r="F16" s="1"/>
      <c r="G16" s="28" t="s">
        <v>104</v>
      </c>
      <c r="H16" s="30">
        <f>1.55*1000</f>
        <v>1550</v>
      </c>
      <c r="I16" s="30"/>
      <c r="J16" s="30"/>
      <c r="K16" s="30"/>
      <c r="L16" s="30"/>
      <c r="M16" s="1"/>
      <c r="N16" s="1"/>
    </row>
    <row r="17" spans="1:14" x14ac:dyDescent="0.25">
      <c r="A17" s="1"/>
      <c r="B17" s="1"/>
      <c r="C17" s="1"/>
      <c r="D17" s="1"/>
      <c r="E17" s="1"/>
      <c r="F17" s="1"/>
      <c r="G17" s="1"/>
      <c r="H17" s="1"/>
      <c r="I17" s="30"/>
      <c r="J17" s="30"/>
      <c r="K17" s="30"/>
      <c r="L17" s="30"/>
      <c r="M17" s="1"/>
      <c r="N17" s="1"/>
    </row>
    <row r="18" spans="1:14" x14ac:dyDescent="0.25">
      <c r="A18" s="1"/>
      <c r="B18" s="1"/>
      <c r="C18" s="1"/>
      <c r="D18" s="1"/>
      <c r="E18" s="1"/>
      <c r="F18" s="1"/>
      <c r="G18" s="32"/>
      <c r="H18" s="29"/>
      <c r="I18" s="30"/>
      <c r="J18" s="30"/>
      <c r="K18" s="30"/>
      <c r="L18" s="30"/>
      <c r="M18" s="1"/>
      <c r="N18" s="1"/>
    </row>
    <row r="19" spans="1:14" x14ac:dyDescent="0.25">
      <c r="A19" s="1"/>
      <c r="B19" s="1"/>
      <c r="C19" s="1"/>
      <c r="D19" s="51"/>
      <c r="E19" s="1"/>
      <c r="F19" s="1"/>
      <c r="G19" s="32"/>
      <c r="H19" s="29"/>
      <c r="I19" s="30"/>
      <c r="J19" s="30"/>
      <c r="K19" s="30"/>
      <c r="L19" s="30"/>
      <c r="M19" s="1"/>
      <c r="N19" s="1"/>
    </row>
    <row r="20" spans="1:14" x14ac:dyDescent="0.25">
      <c r="D20" s="31"/>
      <c r="G20" s="32"/>
      <c r="H20" s="29"/>
      <c r="I20" s="30"/>
      <c r="J20" s="30"/>
      <c r="K20" s="30"/>
      <c r="L20" s="30"/>
    </row>
    <row r="21" spans="1:14" x14ac:dyDescent="0.25">
      <c r="G21" s="29"/>
      <c r="H21" s="29"/>
      <c r="I21" s="30"/>
      <c r="J21" s="30"/>
      <c r="K21" s="30"/>
      <c r="L21" s="30"/>
    </row>
  </sheetData>
  <sheetProtection password="B056" sheet="1" objects="1" scenarios="1"/>
  <mergeCells count="10">
    <mergeCell ref="A2:E2"/>
    <mergeCell ref="G14:H14"/>
    <mergeCell ref="G3:G4"/>
    <mergeCell ref="H3:H4"/>
    <mergeCell ref="I3:J3"/>
    <mergeCell ref="K3:L3"/>
    <mergeCell ref="A6:A15"/>
    <mergeCell ref="B6:E10"/>
    <mergeCell ref="B11:E15"/>
    <mergeCell ref="G5:G11"/>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5"/>
  <dimension ref="A1:N22"/>
  <sheetViews>
    <sheetView zoomScaleNormal="100" workbookViewId="0">
      <pane xSplit="1" ySplit="3" topLeftCell="B4" activePane="bottomRight" state="frozen"/>
      <selection pane="topRight" activeCell="B1" sqref="B1"/>
      <selection pane="bottomLeft" activeCell="A4" sqref="A4"/>
      <selection pane="bottomRight" activeCell="A3" sqref="A3"/>
    </sheetView>
  </sheetViews>
  <sheetFormatPr defaultRowHeight="15" x14ac:dyDescent="0.25"/>
  <cols>
    <col min="1" max="1" width="34.7109375" customWidth="1"/>
    <col min="2" max="2" width="40.85546875" bestFit="1" customWidth="1"/>
    <col min="3" max="7" width="11.7109375" bestFit="1" customWidth="1"/>
    <col min="8" max="8" width="13.5703125" bestFit="1" customWidth="1"/>
    <col min="9" max="9" width="11.7109375" bestFit="1" customWidth="1"/>
  </cols>
  <sheetData>
    <row r="1" spans="1:14" x14ac:dyDescent="0.25">
      <c r="A1" s="2" t="s">
        <v>41</v>
      </c>
      <c r="B1" s="1"/>
      <c r="C1" s="1"/>
      <c r="D1" s="1"/>
      <c r="E1" s="1"/>
      <c r="F1" s="1"/>
      <c r="G1" s="1"/>
      <c r="H1" s="1"/>
      <c r="I1" s="1"/>
      <c r="J1" s="1"/>
    </row>
    <row r="2" spans="1:14" x14ac:dyDescent="0.25">
      <c r="A2" s="2" t="s">
        <v>61</v>
      </c>
      <c r="B2" s="49">
        <v>2007</v>
      </c>
      <c r="C2" s="1"/>
      <c r="D2" s="1"/>
      <c r="E2" s="1"/>
      <c r="F2" s="1"/>
      <c r="G2" s="1"/>
      <c r="H2" s="1"/>
      <c r="I2" s="1"/>
      <c r="J2" s="1"/>
    </row>
    <row r="3" spans="1:14" x14ac:dyDescent="0.25">
      <c r="A3" s="45" t="s">
        <v>42</v>
      </c>
      <c r="B3" s="45" t="s">
        <v>43</v>
      </c>
      <c r="C3" s="45" t="s">
        <v>44</v>
      </c>
      <c r="D3" s="45" t="s">
        <v>45</v>
      </c>
      <c r="E3" s="45" t="s">
        <v>46</v>
      </c>
      <c r="F3" s="45" t="s">
        <v>47</v>
      </c>
      <c r="G3" s="45" t="s">
        <v>48</v>
      </c>
      <c r="H3" s="45" t="s">
        <v>49</v>
      </c>
      <c r="I3" s="45" t="s">
        <v>50</v>
      </c>
      <c r="J3" s="1"/>
    </row>
    <row r="4" spans="1:14" ht="15" customHeight="1" x14ac:dyDescent="0.25">
      <c r="A4" s="96" t="s">
        <v>51</v>
      </c>
      <c r="B4" s="23" t="s">
        <v>52</v>
      </c>
      <c r="C4" s="21">
        <v>4.1647481574952775E-3</v>
      </c>
      <c r="D4" s="21">
        <v>6.5318933034944765E-2</v>
      </c>
      <c r="E4" s="21">
        <v>9.7431139391112798E-5</v>
      </c>
      <c r="F4" s="21">
        <v>3.2117661168667613E-2</v>
      </c>
      <c r="G4" s="21">
        <v>1.0013560541894806E-2</v>
      </c>
      <c r="H4" s="21">
        <v>7.6789363702976381</v>
      </c>
      <c r="I4" s="21">
        <v>9.0350737078986789E-4</v>
      </c>
      <c r="J4" s="1"/>
      <c r="N4" s="22"/>
    </row>
    <row r="5" spans="1:14" x14ac:dyDescent="0.25">
      <c r="A5" s="97"/>
      <c r="B5" s="23" t="s">
        <v>53</v>
      </c>
      <c r="C5" s="21">
        <v>1.9389461005136124E-2</v>
      </c>
      <c r="D5" s="21">
        <v>0.15850781980120351</v>
      </c>
      <c r="E5" s="21">
        <v>1.8265581631205882E-4</v>
      </c>
      <c r="F5" s="21">
        <v>0.19953638186759515</v>
      </c>
      <c r="G5" s="21">
        <v>8.7889870552575564E-2</v>
      </c>
      <c r="H5" s="21">
        <v>14.129238189499569</v>
      </c>
      <c r="I5" s="21">
        <v>7.9301638618412291E-3</v>
      </c>
      <c r="J5" s="1"/>
      <c r="N5" s="22"/>
    </row>
    <row r="6" spans="1:14" x14ac:dyDescent="0.25">
      <c r="A6" s="97"/>
      <c r="B6" s="23" t="s">
        <v>54</v>
      </c>
      <c r="C6" s="21">
        <v>3.5159649405128737E-2</v>
      </c>
      <c r="D6" s="21">
        <v>0.39013010201093185</v>
      </c>
      <c r="E6" s="21">
        <v>3.1347091665644508E-4</v>
      </c>
      <c r="F6" s="21">
        <v>0.2004419223709539</v>
      </c>
      <c r="G6" s="21">
        <v>6.7138814469940591E-2</v>
      </c>
      <c r="H6" s="21">
        <v>26.722695910514073</v>
      </c>
      <c r="I6" s="21">
        <v>6.0578280967871325E-3</v>
      </c>
      <c r="J6" s="1"/>
      <c r="K6" s="22"/>
      <c r="N6" s="22"/>
    </row>
    <row r="7" spans="1:14" x14ac:dyDescent="0.25">
      <c r="A7" s="97"/>
      <c r="B7" s="23" t="s">
        <v>55</v>
      </c>
      <c r="C7" s="21">
        <v>3.4873730864910753E-2</v>
      </c>
      <c r="D7" s="21">
        <v>0.62819014565488085</v>
      </c>
      <c r="E7" s="21">
        <v>5.4259968788077681E-4</v>
      </c>
      <c r="F7" s="21">
        <v>0.29143683660988179</v>
      </c>
      <c r="G7" s="21">
        <v>7.9806989940830519E-2</v>
      </c>
      <c r="H7" s="21">
        <v>48.223729179933819</v>
      </c>
      <c r="I7" s="21">
        <v>7.2008552575325378E-3</v>
      </c>
      <c r="J7" s="1"/>
      <c r="N7" s="22"/>
    </row>
    <row r="8" spans="1:14" x14ac:dyDescent="0.25">
      <c r="A8" s="97"/>
      <c r="B8" s="23" t="s">
        <v>56</v>
      </c>
      <c r="C8" s="21">
        <v>3.101083119228833E-2</v>
      </c>
      <c r="D8" s="21">
        <v>0.83698143551687265</v>
      </c>
      <c r="E8" s="21">
        <v>7.6033040375300068E-4</v>
      </c>
      <c r="F8" s="21">
        <v>0.22495851814724077</v>
      </c>
      <c r="G8" s="21">
        <v>8.0781384871570633E-2</v>
      </c>
      <c r="H8" s="21">
        <v>67.57462749683539</v>
      </c>
      <c r="I8" s="21">
        <v>7.2887737155482657E-3</v>
      </c>
      <c r="J8" s="1"/>
      <c r="N8" s="22"/>
    </row>
    <row r="9" spans="1:14" x14ac:dyDescent="0.25">
      <c r="A9" s="97"/>
      <c r="B9" s="23" t="s">
        <v>57</v>
      </c>
      <c r="C9" s="21">
        <v>4.4312637095619792E-2</v>
      </c>
      <c r="D9" s="21">
        <v>1.1811178567160983</v>
      </c>
      <c r="E9" s="21">
        <v>1.0551972934755545E-3</v>
      </c>
      <c r="F9" s="21">
        <v>0.44023160723795168</v>
      </c>
      <c r="G9" s="21">
        <v>0.11468313954524458</v>
      </c>
      <c r="H9" s="21">
        <v>107.50511325477065</v>
      </c>
      <c r="I9" s="21">
        <v>1.0347677695252593E-2</v>
      </c>
      <c r="J9" s="1"/>
    </row>
    <row r="10" spans="1:14" x14ac:dyDescent="0.25">
      <c r="A10" s="97"/>
      <c r="B10" s="23" t="s">
        <v>58</v>
      </c>
      <c r="C10" s="21">
        <v>9.1699292295937748E-2</v>
      </c>
      <c r="D10" s="21">
        <v>2.4816495823931239</v>
      </c>
      <c r="E10" s="21">
        <v>2.2143711863278365E-3</v>
      </c>
      <c r="F10" s="21">
        <v>0.8977989810489746</v>
      </c>
      <c r="G10" s="21">
        <v>0.2376690359121682</v>
      </c>
      <c r="H10" s="21">
        <v>220.23193257962103</v>
      </c>
      <c r="I10" s="21">
        <v>2.1444490325478866E-2</v>
      </c>
      <c r="J10" s="1"/>
    </row>
    <row r="11" spans="1:14" x14ac:dyDescent="0.25">
      <c r="A11" s="97"/>
      <c r="B11" s="23" t="s">
        <v>59</v>
      </c>
      <c r="C11" s="21">
        <v>0.11281698418835924</v>
      </c>
      <c r="D11" s="21">
        <v>3.6320533542247149</v>
      </c>
      <c r="E11" s="21">
        <v>2.708513011176045E-3</v>
      </c>
      <c r="F11" s="21">
        <v>1.2834306373108464</v>
      </c>
      <c r="G11" s="21">
        <v>0.33188731556128104</v>
      </c>
      <c r="H11" s="21">
        <v>269.37717766866973</v>
      </c>
      <c r="I11" s="21">
        <v>2.9945664738985911E-2</v>
      </c>
      <c r="J11" s="1"/>
    </row>
    <row r="12" spans="1:14" x14ac:dyDescent="0.25">
      <c r="A12" s="1"/>
      <c r="B12" s="1"/>
      <c r="C12" s="1"/>
      <c r="D12" s="1"/>
      <c r="E12" s="1"/>
      <c r="F12" s="1"/>
      <c r="G12" s="1"/>
      <c r="H12" s="1"/>
      <c r="I12" s="1"/>
      <c r="J12" s="1"/>
    </row>
    <row r="13" spans="1:14" x14ac:dyDescent="0.25">
      <c r="A13" s="1"/>
      <c r="B13" s="1"/>
      <c r="C13" s="1"/>
      <c r="D13" s="1"/>
      <c r="E13" s="1"/>
      <c r="F13" s="1"/>
      <c r="G13" s="1"/>
      <c r="H13" s="1"/>
      <c r="I13" s="1"/>
      <c r="J13" s="1"/>
    </row>
    <row r="14" spans="1:14" x14ac:dyDescent="0.25">
      <c r="A14" s="2" t="s">
        <v>41</v>
      </c>
      <c r="B14" s="1"/>
      <c r="C14" s="1"/>
      <c r="D14" s="1"/>
      <c r="E14" s="1"/>
      <c r="F14" s="1"/>
      <c r="G14" s="1"/>
      <c r="H14" s="1"/>
      <c r="I14" s="1"/>
      <c r="J14" s="1"/>
    </row>
    <row r="15" spans="1:14" x14ac:dyDescent="0.25">
      <c r="A15" s="75" t="s">
        <v>16</v>
      </c>
      <c r="B15" s="78"/>
      <c r="C15" s="79"/>
      <c r="D15" s="79"/>
      <c r="E15" s="80"/>
      <c r="F15" s="1"/>
      <c r="G15" s="1"/>
      <c r="H15" s="1"/>
      <c r="I15" s="1"/>
      <c r="J15" s="1"/>
    </row>
    <row r="16" spans="1:14" x14ac:dyDescent="0.25">
      <c r="A16" s="76"/>
      <c r="B16" s="81"/>
      <c r="C16" s="82"/>
      <c r="D16" s="82"/>
      <c r="E16" s="83"/>
      <c r="F16" s="1"/>
      <c r="G16" s="1"/>
      <c r="H16" s="1"/>
      <c r="I16" s="1"/>
      <c r="J16" s="1"/>
    </row>
    <row r="17" spans="1:10" x14ac:dyDescent="0.25">
      <c r="A17" s="76"/>
      <c r="B17" s="84"/>
      <c r="C17" s="85"/>
      <c r="D17" s="85"/>
      <c r="E17" s="86"/>
      <c r="F17" s="1"/>
      <c r="G17" s="1"/>
      <c r="H17" s="1"/>
      <c r="I17" s="1"/>
      <c r="J17" s="1"/>
    </row>
    <row r="18" spans="1:10" x14ac:dyDescent="0.25">
      <c r="A18" s="76"/>
      <c r="B18" s="87" t="s">
        <v>112</v>
      </c>
      <c r="C18" s="88"/>
      <c r="D18" s="88"/>
      <c r="E18" s="89"/>
      <c r="F18" s="1"/>
      <c r="G18" s="1"/>
      <c r="H18" s="1"/>
      <c r="I18" s="1"/>
      <c r="J18" s="1"/>
    </row>
    <row r="19" spans="1:10" x14ac:dyDescent="0.25">
      <c r="A19" s="76"/>
      <c r="B19" s="90"/>
      <c r="C19" s="91"/>
      <c r="D19" s="91"/>
      <c r="E19" s="92"/>
      <c r="F19" s="1"/>
      <c r="G19" s="1"/>
      <c r="H19" s="1"/>
      <c r="I19" s="1"/>
      <c r="J19" s="1"/>
    </row>
    <row r="20" spans="1:10" x14ac:dyDescent="0.25">
      <c r="A20" s="76"/>
      <c r="B20" s="90"/>
      <c r="C20" s="91"/>
      <c r="D20" s="91"/>
      <c r="E20" s="92"/>
      <c r="F20" s="1"/>
      <c r="G20" s="1"/>
      <c r="H20" s="1"/>
      <c r="I20" s="1"/>
      <c r="J20" s="1"/>
    </row>
    <row r="21" spans="1:10" x14ac:dyDescent="0.25">
      <c r="A21" s="77"/>
      <c r="B21" s="93"/>
      <c r="C21" s="94"/>
      <c r="D21" s="94"/>
      <c r="E21" s="95"/>
      <c r="F21" s="1"/>
      <c r="G21" s="1"/>
      <c r="H21" s="1"/>
      <c r="I21" s="1"/>
      <c r="J21" s="1"/>
    </row>
    <row r="22" spans="1:10" x14ac:dyDescent="0.25">
      <c r="A22" s="1"/>
      <c r="B22" s="1"/>
      <c r="C22" s="1"/>
      <c r="D22" s="1"/>
      <c r="E22" s="1"/>
      <c r="F22" s="1"/>
      <c r="G22" s="1"/>
      <c r="H22" s="1"/>
      <c r="I22" s="1"/>
      <c r="J22" s="1"/>
    </row>
  </sheetData>
  <sheetProtection password="B056" sheet="1" objects="1" scenarios="1"/>
  <mergeCells count="4">
    <mergeCell ref="A15:A21"/>
    <mergeCell ref="B15:E17"/>
    <mergeCell ref="B18:E21"/>
    <mergeCell ref="A4:A11"/>
  </mergeCells>
  <pageMargins left="0.511811024" right="0.511811024" top="0.78740157499999996" bottom="0.78740157499999996" header="0.31496062000000002" footer="0.31496062000000002"/>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8"/>
  <sheetViews>
    <sheetView zoomScale="85" zoomScaleNormal="85" workbookViewId="0">
      <selection activeCell="B23" sqref="B23"/>
    </sheetView>
  </sheetViews>
  <sheetFormatPr defaultRowHeight="15" x14ac:dyDescent="0.25"/>
  <cols>
    <col min="1" max="1" width="52.42578125" customWidth="1"/>
    <col min="2" max="2" width="43.42578125" customWidth="1"/>
    <col min="3" max="3" width="23.42578125" customWidth="1"/>
    <col min="4" max="4" width="24.5703125" bestFit="1" customWidth="1"/>
    <col min="5" max="5" width="24.85546875" customWidth="1"/>
    <col min="6" max="6" width="34.42578125" customWidth="1"/>
    <col min="7" max="7" width="19" customWidth="1"/>
    <col min="10" max="10" width="22.85546875" customWidth="1"/>
    <col min="11" max="11" width="15.28515625" customWidth="1"/>
    <col min="12" max="12" width="11.7109375" bestFit="1" customWidth="1"/>
    <col min="14" max="14" width="16.28515625" bestFit="1" customWidth="1"/>
    <col min="15" max="15" width="14.140625" customWidth="1"/>
    <col min="16" max="16" width="20.85546875" bestFit="1" customWidth="1"/>
  </cols>
  <sheetData>
    <row r="1" spans="1:17" x14ac:dyDescent="0.25">
      <c r="A1" s="1" t="s">
        <v>139</v>
      </c>
      <c r="B1" s="1"/>
      <c r="C1" s="1"/>
      <c r="D1" s="1"/>
      <c r="E1" s="1"/>
      <c r="F1" s="1"/>
      <c r="G1" s="1"/>
      <c r="H1" s="1"/>
      <c r="I1" s="1"/>
      <c r="J1" s="1"/>
      <c r="K1" s="1"/>
      <c r="L1" s="1"/>
      <c r="M1" s="1"/>
      <c r="N1" s="1"/>
      <c r="O1" s="1"/>
      <c r="P1" s="1"/>
      <c r="Q1" s="1"/>
    </row>
    <row r="2" spans="1:17" x14ac:dyDescent="0.25">
      <c r="A2" s="47"/>
      <c r="B2" s="47"/>
      <c r="C2" s="47"/>
      <c r="D2" s="47"/>
      <c r="E2" s="47"/>
      <c r="F2" s="47"/>
      <c r="G2" s="47"/>
      <c r="H2" s="1"/>
      <c r="I2" s="1"/>
      <c r="J2" s="1"/>
      <c r="K2" s="1"/>
      <c r="L2" s="1"/>
      <c r="M2" s="1"/>
      <c r="N2" s="1"/>
      <c r="O2" s="1"/>
      <c r="P2" s="1"/>
      <c r="Q2" s="1"/>
    </row>
    <row r="3" spans="1:17" x14ac:dyDescent="0.25">
      <c r="A3" s="1"/>
      <c r="B3" s="1"/>
      <c r="C3" s="1"/>
      <c r="D3" s="1"/>
      <c r="E3" s="1"/>
      <c r="F3" s="1"/>
      <c r="G3" s="1"/>
      <c r="H3" s="1"/>
      <c r="O3" s="1"/>
      <c r="P3" s="1"/>
      <c r="Q3" s="1"/>
    </row>
    <row r="4" spans="1:17" x14ac:dyDescent="0.25">
      <c r="A4" s="66" t="s">
        <v>129</v>
      </c>
      <c r="B4" s="67"/>
      <c r="C4" s="45" t="s">
        <v>130</v>
      </c>
      <c r="D4" s="1"/>
      <c r="E4" s="1"/>
      <c r="F4" s="1"/>
      <c r="G4" s="1"/>
      <c r="H4" s="1"/>
      <c r="O4" s="1"/>
      <c r="P4" s="1"/>
      <c r="Q4" s="1"/>
    </row>
    <row r="5" spans="1:17" x14ac:dyDescent="0.25">
      <c r="A5" s="54" t="s">
        <v>103</v>
      </c>
      <c r="B5" s="54">
        <f>378+440+398+379+46+163+77+553+161+245+175+325+514+451+84+343+417+323+266+618+618+491+331+262+562+480+348+196+666+693+2892+226+144+66</f>
        <v>14331</v>
      </c>
      <c r="C5" s="54" t="s">
        <v>138</v>
      </c>
      <c r="D5" s="1"/>
      <c r="E5" s="1"/>
      <c r="F5" s="1"/>
      <c r="G5" s="1"/>
      <c r="H5" s="1"/>
      <c r="I5" s="1"/>
      <c r="J5" s="1"/>
      <c r="K5" s="1"/>
      <c r="L5" s="1"/>
      <c r="M5" s="1"/>
      <c r="N5" s="1"/>
      <c r="O5" s="1"/>
      <c r="P5" s="1"/>
      <c r="Q5" s="1"/>
    </row>
    <row r="6" spans="1:17" x14ac:dyDescent="0.25">
      <c r="A6" s="54" t="s">
        <v>104</v>
      </c>
      <c r="B6" s="54">
        <f>794.33+811.47+764.4+1593.67+1202.24+1088.42+211.98+828.93+764.5+819.39+1713.4+2096.12+2672.17+21.97+6342+24+3687.63+56.77+979.54+2109.71+394.5+821.36+2773.88+1667.47+1620.51+2181.87+1823.13</f>
        <v>39865.360000000001</v>
      </c>
      <c r="C6" s="54" t="s">
        <v>131</v>
      </c>
      <c r="D6" s="1"/>
      <c r="E6" s="1"/>
      <c r="F6" s="1"/>
      <c r="G6" s="1"/>
      <c r="H6" s="1"/>
      <c r="I6" s="1"/>
      <c r="J6" s="1"/>
      <c r="K6" s="1"/>
      <c r="L6" s="1"/>
      <c r="M6" s="1"/>
      <c r="N6" s="1"/>
      <c r="O6" s="1"/>
      <c r="P6" s="1"/>
      <c r="Q6" s="1"/>
    </row>
    <row r="7" spans="1:17" x14ac:dyDescent="0.25">
      <c r="A7" s="47"/>
      <c r="B7" s="53"/>
      <c r="C7" s="47"/>
      <c r="D7" s="1"/>
      <c r="E7" s="1"/>
      <c r="F7" s="1"/>
      <c r="G7" s="1"/>
      <c r="H7" s="1"/>
      <c r="I7" s="1"/>
      <c r="J7" s="1"/>
      <c r="K7" s="1"/>
      <c r="L7" s="1"/>
      <c r="M7" s="1"/>
      <c r="N7" s="1"/>
      <c r="O7" s="1"/>
      <c r="P7" s="1"/>
      <c r="Q7" s="1"/>
    </row>
    <row r="8" spans="1:17" x14ac:dyDescent="0.25">
      <c r="F8" s="1"/>
      <c r="G8" s="1"/>
      <c r="H8" s="1"/>
      <c r="I8" s="1"/>
      <c r="J8" s="1"/>
      <c r="K8" s="1"/>
      <c r="L8" s="1"/>
      <c r="M8" s="1"/>
      <c r="N8" s="1"/>
      <c r="O8" s="1"/>
      <c r="P8" s="1"/>
      <c r="Q8" s="1"/>
    </row>
    <row r="9" spans="1:17" x14ac:dyDescent="0.25">
      <c r="A9" s="66" t="s">
        <v>117</v>
      </c>
      <c r="B9" s="72"/>
      <c r="C9" s="72"/>
      <c r="D9" s="72"/>
      <c r="E9" s="72"/>
      <c r="F9" s="67"/>
      <c r="G9" s="1"/>
      <c r="H9" s="1"/>
      <c r="I9" s="1"/>
      <c r="J9" s="1"/>
      <c r="K9" s="1"/>
      <c r="L9" s="1"/>
      <c r="M9" s="1"/>
      <c r="N9" s="1"/>
      <c r="O9" s="1"/>
      <c r="P9" s="1"/>
      <c r="Q9" s="1"/>
    </row>
    <row r="10" spans="1:17" x14ac:dyDescent="0.25">
      <c r="A10" s="45" t="s">
        <v>119</v>
      </c>
      <c r="B10" s="45" t="s">
        <v>151</v>
      </c>
      <c r="C10" s="45" t="s">
        <v>121</v>
      </c>
      <c r="D10" s="45" t="s">
        <v>122</v>
      </c>
      <c r="E10" s="45" t="s">
        <v>153</v>
      </c>
      <c r="F10" s="45" t="s">
        <v>156</v>
      </c>
      <c r="G10" s="1"/>
      <c r="H10" s="1"/>
      <c r="I10" s="1"/>
      <c r="J10" s="1"/>
      <c r="K10" s="1"/>
      <c r="L10" s="1"/>
      <c r="M10" s="1"/>
      <c r="N10" s="1"/>
      <c r="O10" s="1"/>
      <c r="P10" s="1"/>
      <c r="Q10" s="1"/>
    </row>
    <row r="11" spans="1:17" x14ac:dyDescent="0.25">
      <c r="A11" s="47" t="s">
        <v>120</v>
      </c>
      <c r="B11" s="47">
        <v>40</v>
      </c>
      <c r="C11" s="49">
        <v>-20.364923999999998</v>
      </c>
      <c r="D11" s="49">
        <v>-40.363587000000003</v>
      </c>
      <c r="E11" s="49">
        <v>35</v>
      </c>
      <c r="F11" s="42">
        <f>B19</f>
        <v>61.4</v>
      </c>
      <c r="G11" s="1"/>
      <c r="H11" s="1"/>
      <c r="I11" s="1"/>
      <c r="J11" s="1"/>
      <c r="K11" s="1"/>
      <c r="L11" s="1"/>
      <c r="M11" s="1"/>
      <c r="N11" s="1"/>
      <c r="O11" s="1"/>
      <c r="P11" s="1"/>
      <c r="Q11" s="1"/>
    </row>
    <row r="12" spans="1:17" x14ac:dyDescent="0.25">
      <c r="A12" s="47"/>
      <c r="B12" s="47"/>
      <c r="C12" s="49"/>
      <c r="D12" s="49"/>
      <c r="E12" s="49"/>
      <c r="G12" s="1"/>
      <c r="H12" s="1"/>
      <c r="I12" s="1"/>
      <c r="J12" s="1"/>
      <c r="K12" s="1"/>
      <c r="L12" s="1"/>
      <c r="M12" s="1"/>
      <c r="N12" s="1"/>
      <c r="O12" s="1"/>
      <c r="P12" s="1"/>
      <c r="Q12" s="1"/>
    </row>
    <row r="13" spans="1:17" x14ac:dyDescent="0.25">
      <c r="A13" s="45" t="s">
        <v>154</v>
      </c>
      <c r="B13" s="45" t="s">
        <v>156</v>
      </c>
      <c r="C13" s="49"/>
      <c r="D13" s="49"/>
      <c r="E13" s="49"/>
      <c r="G13" s="1"/>
      <c r="H13" s="1"/>
      <c r="I13" s="1"/>
      <c r="J13" s="1"/>
      <c r="K13" s="1"/>
      <c r="L13" s="1"/>
      <c r="M13" s="1"/>
      <c r="N13" s="1"/>
      <c r="O13" s="1"/>
      <c r="P13" s="1"/>
      <c r="Q13" s="1"/>
    </row>
    <row r="14" spans="1:17" x14ac:dyDescent="0.25">
      <c r="A14" s="40" t="s">
        <v>157</v>
      </c>
      <c r="B14" s="49">
        <v>48</v>
      </c>
      <c r="C14" s="49"/>
      <c r="D14" s="49"/>
      <c r="E14" s="49"/>
      <c r="G14" s="1"/>
      <c r="H14" s="1"/>
      <c r="I14" s="1"/>
      <c r="J14" s="1"/>
      <c r="K14" s="1"/>
      <c r="L14" s="1"/>
      <c r="M14" s="1"/>
      <c r="N14" s="1"/>
      <c r="O14" s="1"/>
      <c r="P14" s="1"/>
      <c r="Q14" s="1"/>
    </row>
    <row r="15" spans="1:17" x14ac:dyDescent="0.25">
      <c r="A15" s="40" t="s">
        <v>158</v>
      </c>
      <c r="B15" s="49">
        <v>54</v>
      </c>
      <c r="C15" s="49"/>
      <c r="D15" s="49"/>
      <c r="E15" s="49"/>
      <c r="G15" s="1"/>
      <c r="H15" s="1"/>
      <c r="I15" s="1"/>
      <c r="J15" s="1"/>
      <c r="K15" s="1"/>
      <c r="L15" s="1"/>
      <c r="M15" s="1"/>
      <c r="N15" s="1"/>
      <c r="O15" s="1"/>
      <c r="P15" s="1"/>
      <c r="Q15" s="1"/>
    </row>
    <row r="16" spans="1:17" x14ac:dyDescent="0.25">
      <c r="A16" s="40" t="s">
        <v>159</v>
      </c>
      <c r="B16" s="49">
        <v>56</v>
      </c>
      <c r="C16" s="49"/>
      <c r="D16" s="49"/>
      <c r="E16" s="49"/>
      <c r="G16" s="1"/>
      <c r="H16" s="1"/>
      <c r="I16" s="1"/>
      <c r="J16" s="1"/>
      <c r="K16" s="1"/>
      <c r="L16" s="1"/>
      <c r="M16" s="1"/>
      <c r="N16" s="1"/>
      <c r="O16" s="1"/>
      <c r="P16" s="1"/>
      <c r="Q16" s="1"/>
    </row>
    <row r="17" spans="1:17" x14ac:dyDescent="0.25">
      <c r="A17" s="40" t="s">
        <v>160</v>
      </c>
      <c r="B17" s="49">
        <v>112</v>
      </c>
      <c r="C17" s="49"/>
      <c r="D17" s="49"/>
      <c r="E17" s="49"/>
      <c r="G17" s="1"/>
      <c r="H17" s="1"/>
      <c r="I17" s="1"/>
      <c r="J17" s="1"/>
      <c r="K17" s="1"/>
      <c r="L17" s="1"/>
      <c r="M17" s="1"/>
      <c r="N17" s="1"/>
      <c r="O17" s="1"/>
      <c r="P17" s="1"/>
      <c r="Q17" s="1"/>
    </row>
    <row r="18" spans="1:17" x14ac:dyDescent="0.25">
      <c r="A18" s="40" t="s">
        <v>161</v>
      </c>
      <c r="B18" s="49">
        <v>37</v>
      </c>
      <c r="C18" s="49"/>
      <c r="D18" s="49"/>
      <c r="E18" s="49"/>
      <c r="G18" s="1"/>
      <c r="H18" s="1"/>
      <c r="I18" s="1"/>
      <c r="J18" s="1"/>
      <c r="K18" s="1"/>
      <c r="L18" s="1"/>
      <c r="M18" s="1"/>
      <c r="N18" s="1"/>
      <c r="O18" s="1"/>
      <c r="P18" s="1"/>
      <c r="Q18" s="1"/>
    </row>
    <row r="19" spans="1:17" x14ac:dyDescent="0.25">
      <c r="A19" s="40" t="s">
        <v>155</v>
      </c>
      <c r="B19" s="42">
        <f>AVERAGE(B14:B18)</f>
        <v>61.4</v>
      </c>
      <c r="G19" s="1"/>
      <c r="H19" s="1"/>
      <c r="I19" s="1"/>
      <c r="J19" s="1"/>
      <c r="K19" s="1"/>
      <c r="L19" s="1"/>
      <c r="M19" s="1"/>
      <c r="N19" s="1"/>
      <c r="O19" s="1"/>
      <c r="P19" s="1"/>
      <c r="Q19" s="1"/>
    </row>
    <row r="20" spans="1:17" x14ac:dyDescent="0.25">
      <c r="F20" s="1"/>
      <c r="G20" s="1"/>
      <c r="H20" s="1"/>
      <c r="I20" s="1"/>
      <c r="J20" s="1"/>
      <c r="K20" s="1"/>
      <c r="L20" s="1"/>
      <c r="M20" s="1"/>
      <c r="N20" s="1"/>
      <c r="O20" s="1"/>
      <c r="P20" s="1"/>
      <c r="Q20" s="1"/>
    </row>
    <row r="21" spans="1:17" x14ac:dyDescent="0.25">
      <c r="F21" s="1"/>
      <c r="G21" s="1"/>
      <c r="H21" s="1"/>
      <c r="I21" s="1"/>
      <c r="J21" s="1"/>
      <c r="K21" s="1"/>
      <c r="L21" s="1"/>
      <c r="M21" s="1"/>
      <c r="N21" s="1"/>
      <c r="O21" s="1"/>
      <c r="P21" s="1"/>
      <c r="Q21" s="1"/>
    </row>
    <row r="22" spans="1:17" x14ac:dyDescent="0.25">
      <c r="A22" s="66" t="s">
        <v>62</v>
      </c>
      <c r="B22" s="72"/>
      <c r="C22" s="72"/>
      <c r="D22" s="72"/>
      <c r="E22" s="72"/>
      <c r="F22" s="72"/>
      <c r="G22" s="72"/>
      <c r="H22" s="1"/>
      <c r="I22" s="1"/>
      <c r="J22" s="1"/>
      <c r="K22" s="1"/>
      <c r="L22" s="1"/>
      <c r="M22" s="1"/>
      <c r="N22" s="1"/>
      <c r="O22" s="1"/>
      <c r="P22" s="1"/>
      <c r="Q22" s="1"/>
    </row>
    <row r="23" spans="1:17" x14ac:dyDescent="0.25">
      <c r="A23" s="47" t="s">
        <v>113</v>
      </c>
      <c r="B23" s="47" t="s">
        <v>114</v>
      </c>
      <c r="C23" s="47" t="s">
        <v>115</v>
      </c>
      <c r="D23" s="47" t="s">
        <v>118</v>
      </c>
      <c r="E23" s="47" t="s">
        <v>132</v>
      </c>
      <c r="F23" s="47" t="s">
        <v>168</v>
      </c>
      <c r="G23" s="47" t="s">
        <v>141</v>
      </c>
      <c r="H23" s="1"/>
      <c r="I23" s="1"/>
      <c r="J23" s="1"/>
      <c r="K23" s="1"/>
      <c r="L23" s="1"/>
      <c r="M23" s="1"/>
      <c r="N23" s="1"/>
      <c r="O23" s="1"/>
      <c r="P23" s="1"/>
      <c r="Q23" s="1"/>
    </row>
    <row r="24" spans="1:17" x14ac:dyDescent="0.25">
      <c r="A24" s="47">
        <v>1</v>
      </c>
      <c r="B24" s="47" t="s">
        <v>134</v>
      </c>
      <c r="C24" s="52" t="s">
        <v>140</v>
      </c>
      <c r="D24" s="47">
        <v>1</v>
      </c>
      <c r="E24" s="47" t="s">
        <v>60</v>
      </c>
      <c r="F24" s="56">
        <v>3</v>
      </c>
      <c r="G24" s="47">
        <v>10</v>
      </c>
      <c r="H24" s="1"/>
      <c r="I24" s="1"/>
      <c r="J24" s="1"/>
      <c r="K24" s="1"/>
      <c r="L24" s="1"/>
      <c r="M24" s="1"/>
      <c r="N24" s="1"/>
      <c r="O24" s="1"/>
      <c r="P24" s="1"/>
      <c r="Q24" s="1"/>
    </row>
    <row r="25" spans="1:17" x14ac:dyDescent="0.25">
      <c r="D25" s="1"/>
      <c r="E25" s="1"/>
      <c r="F25" s="1"/>
      <c r="G25" s="1"/>
      <c r="H25" s="1"/>
      <c r="I25" s="1"/>
      <c r="J25" s="1"/>
      <c r="K25" s="1"/>
      <c r="L25" s="1"/>
      <c r="M25" s="1"/>
      <c r="N25" s="1"/>
      <c r="O25" s="1"/>
      <c r="P25" s="1"/>
      <c r="Q25" s="1"/>
    </row>
    <row r="26" spans="1:17" x14ac:dyDescent="0.25">
      <c r="D26" s="1"/>
      <c r="E26" s="1"/>
      <c r="F26" s="1"/>
      <c r="G26" s="1"/>
      <c r="H26" s="1"/>
      <c r="I26" s="1"/>
      <c r="N26" s="1"/>
      <c r="O26" s="1"/>
      <c r="P26" s="1"/>
      <c r="Q26" s="1"/>
    </row>
    <row r="27" spans="1:17" x14ac:dyDescent="0.25">
      <c r="A27" s="45" t="s">
        <v>142</v>
      </c>
      <c r="B27" s="45" t="s">
        <v>143</v>
      </c>
    </row>
    <row r="28" spans="1:17" x14ac:dyDescent="0.25">
      <c r="A28" s="49" t="s">
        <v>116</v>
      </c>
      <c r="B28" s="49">
        <v>4</v>
      </c>
    </row>
  </sheetData>
  <sheetProtection password="B056" sheet="1" objects="1" scenarios="1"/>
  <mergeCells count="3">
    <mergeCell ref="A22:G22"/>
    <mergeCell ref="A4:B4"/>
    <mergeCell ref="A9:F9"/>
  </mergeCells>
  <pageMargins left="0.511811024" right="0.511811024" top="0.78740157499999996" bottom="0.78740157499999996" header="0.31496062000000002" footer="0.31496062000000002"/>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9"/>
  <sheetViews>
    <sheetView workbookViewId="0">
      <selection activeCell="H6" sqref="H6"/>
    </sheetView>
  </sheetViews>
  <sheetFormatPr defaultRowHeight="15" x14ac:dyDescent="0.25"/>
  <cols>
    <col min="1" max="1" width="26.85546875" bestFit="1" customWidth="1"/>
    <col min="2" max="2" width="21.7109375" customWidth="1"/>
    <col min="3" max="3" width="19.7109375" customWidth="1"/>
    <col min="4" max="4" width="15.7109375" bestFit="1" customWidth="1"/>
    <col min="5" max="6" width="19.7109375" bestFit="1" customWidth="1"/>
    <col min="7" max="7" width="16.85546875" bestFit="1" customWidth="1"/>
    <col min="8" max="10" width="12.28515625" customWidth="1"/>
  </cols>
  <sheetData>
    <row r="1" spans="1:12" x14ac:dyDescent="0.25">
      <c r="A1" s="1" t="s">
        <v>139</v>
      </c>
      <c r="B1" s="4"/>
      <c r="C1" s="4"/>
      <c r="D1" s="4"/>
      <c r="E1" s="4"/>
      <c r="F1" s="4"/>
      <c r="G1" s="4"/>
      <c r="H1" s="4"/>
      <c r="I1" s="4"/>
      <c r="J1" s="4"/>
      <c r="K1" s="4"/>
      <c r="L1" s="4"/>
    </row>
    <row r="2" spans="1:12" x14ac:dyDescent="0.25">
      <c r="A2" s="4"/>
      <c r="B2" s="4"/>
      <c r="C2" s="4"/>
      <c r="D2" s="4"/>
      <c r="E2" s="4"/>
      <c r="F2" s="4"/>
      <c r="G2" s="4"/>
      <c r="H2" s="4"/>
      <c r="I2" s="4"/>
      <c r="J2" s="4"/>
      <c r="K2" s="4"/>
      <c r="L2" s="4"/>
    </row>
    <row r="3" spans="1:12" ht="21.75" customHeight="1" x14ac:dyDescent="0.25">
      <c r="A3" s="98" t="s">
        <v>0</v>
      </c>
      <c r="B3" s="103" t="s">
        <v>170</v>
      </c>
      <c r="C3" s="103" t="s">
        <v>171</v>
      </c>
      <c r="D3" s="98" t="s">
        <v>123</v>
      </c>
      <c r="E3" s="98" t="s">
        <v>124</v>
      </c>
      <c r="F3" s="98" t="s">
        <v>125</v>
      </c>
      <c r="G3" s="98" t="s">
        <v>136</v>
      </c>
      <c r="H3" s="100" t="s">
        <v>126</v>
      </c>
      <c r="I3" s="101"/>
      <c r="J3" s="101"/>
      <c r="K3" s="4"/>
      <c r="L3" s="4"/>
    </row>
    <row r="4" spans="1:12" ht="19.5" customHeight="1" x14ac:dyDescent="0.25">
      <c r="A4" s="99"/>
      <c r="B4" s="103"/>
      <c r="C4" s="103"/>
      <c r="D4" s="99"/>
      <c r="E4" s="99"/>
      <c r="F4" s="99"/>
      <c r="G4" s="99"/>
      <c r="H4" s="57" t="s">
        <v>66</v>
      </c>
      <c r="I4" s="57" t="s">
        <v>163</v>
      </c>
      <c r="J4" s="57" t="s">
        <v>164</v>
      </c>
      <c r="K4" s="4"/>
      <c r="L4" s="4"/>
    </row>
    <row r="5" spans="1:12" x14ac:dyDescent="0.25">
      <c r="A5" s="46" t="s">
        <v>150</v>
      </c>
      <c r="B5" s="58">
        <v>-20.364923999999998</v>
      </c>
      <c r="C5" s="58">
        <v>-40.363587000000003</v>
      </c>
      <c r="D5" s="46" t="s">
        <v>117</v>
      </c>
      <c r="E5" s="6">
        <f>Dados!F11*60</f>
        <v>3684</v>
      </c>
      <c r="F5" s="60">
        <f>(E5)*(273.15/(Dados!E11+273.15))</f>
        <v>3265.5674184650334</v>
      </c>
      <c r="G5" s="46">
        <f>Dados!B11</f>
        <v>40</v>
      </c>
      <c r="H5" s="7">
        <f>F5*G5/1000000</f>
        <v>0.13062269673860133</v>
      </c>
      <c r="I5" s="7">
        <f>H5*0.85</f>
        <v>0.11102929222781113</v>
      </c>
      <c r="J5" s="7">
        <f>H5*0.3</f>
        <v>3.91868090215804E-2</v>
      </c>
      <c r="K5" s="4"/>
      <c r="L5" s="4"/>
    </row>
    <row r="6" spans="1:12" x14ac:dyDescent="0.25">
      <c r="A6" s="102" t="s">
        <v>102</v>
      </c>
      <c r="B6" s="102"/>
      <c r="C6" s="102"/>
      <c r="D6" s="102"/>
      <c r="E6" s="102"/>
      <c r="F6" s="102"/>
      <c r="G6" s="102"/>
      <c r="H6" s="10">
        <f>SUM(H5:H5)</f>
        <v>0.13062269673860133</v>
      </c>
      <c r="I6" s="10">
        <f>SUM(I5:I5)</f>
        <v>0.11102929222781113</v>
      </c>
      <c r="J6" s="43">
        <f>SUM(J5:J5)</f>
        <v>3.91868090215804E-2</v>
      </c>
      <c r="K6" s="4"/>
      <c r="L6" s="4"/>
    </row>
    <row r="7" spans="1:12" x14ac:dyDescent="0.25">
      <c r="A7" s="4"/>
      <c r="B7" s="4"/>
      <c r="C7" s="4"/>
      <c r="D7" s="4"/>
      <c r="E7" s="4"/>
      <c r="F7" s="4"/>
      <c r="G7" s="4"/>
      <c r="H7" s="4"/>
      <c r="I7" s="4"/>
      <c r="J7" s="4"/>
      <c r="K7" s="4"/>
      <c r="L7" s="4"/>
    </row>
    <row r="8" spans="1:12" x14ac:dyDescent="0.25">
      <c r="A8" s="4"/>
      <c r="B8" s="4"/>
      <c r="C8" s="4"/>
      <c r="D8" s="4"/>
      <c r="E8" s="4"/>
      <c r="F8" s="4"/>
      <c r="G8" s="4"/>
      <c r="H8" s="4"/>
      <c r="I8" s="4"/>
      <c r="J8" s="4"/>
      <c r="K8" s="4"/>
      <c r="L8" s="4"/>
    </row>
    <row r="9" spans="1:12" x14ac:dyDescent="0.25">
      <c r="A9" s="4"/>
      <c r="B9" s="4"/>
      <c r="C9" s="4"/>
      <c r="D9" s="4"/>
      <c r="E9" s="4"/>
      <c r="F9" s="4"/>
      <c r="G9" s="4"/>
      <c r="H9" s="4"/>
      <c r="I9" s="4"/>
      <c r="J9" s="4"/>
      <c r="K9" s="4"/>
      <c r="L9" s="4"/>
    </row>
  </sheetData>
  <sheetProtection password="B056" sheet="1" objects="1" scenarios="1"/>
  <mergeCells count="9">
    <mergeCell ref="G3:G4"/>
    <mergeCell ref="H3:J3"/>
    <mergeCell ref="A6:G6"/>
    <mergeCell ref="A3:A4"/>
    <mergeCell ref="B3:B4"/>
    <mergeCell ref="C3:C4"/>
    <mergeCell ref="D3:D4"/>
    <mergeCell ref="E3:E4"/>
    <mergeCell ref="F3:F4"/>
  </mergeCells>
  <pageMargins left="0.511811024" right="0.511811024" top="0.78740157499999996" bottom="0.78740157499999996" header="0.31496062000000002" footer="0.31496062000000002"/>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6"/>
  <dimension ref="A1:S24"/>
  <sheetViews>
    <sheetView topLeftCell="D1" zoomScaleNormal="100" workbookViewId="0">
      <selection activeCell="M7" sqref="M7"/>
    </sheetView>
  </sheetViews>
  <sheetFormatPr defaultRowHeight="15" customHeight="1" x14ac:dyDescent="0.2"/>
  <cols>
    <col min="1" max="1" width="36.7109375" style="1" customWidth="1"/>
    <col min="2" max="2" width="13.7109375" style="1" customWidth="1"/>
    <col min="3" max="3" width="42.28515625" style="1" customWidth="1"/>
    <col min="4" max="7" width="13.7109375" style="1" customWidth="1"/>
    <col min="8" max="12" width="12.28515625" style="1" customWidth="1"/>
    <col min="13" max="18" width="8.7109375" style="1" customWidth="1"/>
    <col min="19" max="19" width="10.42578125" style="1" bestFit="1" customWidth="1"/>
    <col min="20" max="16384" width="9.140625" style="1"/>
  </cols>
  <sheetData>
    <row r="1" spans="1:19" ht="15" customHeight="1" x14ac:dyDescent="0.25">
      <c r="A1" s="1" t="s">
        <v>144</v>
      </c>
      <c r="B1" s="49">
        <v>1.34</v>
      </c>
      <c r="C1"/>
    </row>
    <row r="2" spans="1:19" ht="15" customHeight="1" x14ac:dyDescent="0.25">
      <c r="B2" s="49"/>
      <c r="C2"/>
    </row>
    <row r="3" spans="1:19" ht="15" customHeight="1" x14ac:dyDescent="0.2">
      <c r="A3" s="1" t="s">
        <v>139</v>
      </c>
    </row>
    <row r="4" spans="1:19" ht="15" customHeight="1" x14ac:dyDescent="0.2">
      <c r="A4" s="104" t="s">
        <v>0</v>
      </c>
      <c r="B4" s="104" t="s">
        <v>37</v>
      </c>
      <c r="C4" s="104" t="s">
        <v>38</v>
      </c>
      <c r="D4" s="103" t="s">
        <v>170</v>
      </c>
      <c r="E4" s="103" t="s">
        <v>171</v>
      </c>
      <c r="F4" s="104" t="s">
        <v>36</v>
      </c>
      <c r="G4" s="104" t="s">
        <v>39</v>
      </c>
      <c r="H4" s="106" t="s">
        <v>137</v>
      </c>
      <c r="I4" s="107"/>
      <c r="J4" s="107"/>
      <c r="K4" s="107"/>
      <c r="L4" s="108"/>
      <c r="M4" s="106" t="s">
        <v>1</v>
      </c>
      <c r="N4" s="107"/>
      <c r="O4" s="107"/>
      <c r="P4" s="107"/>
      <c r="Q4" s="107"/>
      <c r="R4" s="107"/>
      <c r="S4" s="107"/>
    </row>
    <row r="5" spans="1:19" ht="15" customHeight="1" x14ac:dyDescent="0.2">
      <c r="A5" s="105"/>
      <c r="B5" s="105"/>
      <c r="C5" s="105"/>
      <c r="D5" s="103"/>
      <c r="E5" s="103"/>
      <c r="F5" s="105"/>
      <c r="G5" s="105"/>
      <c r="H5" s="5" t="s">
        <v>2</v>
      </c>
      <c r="I5" s="5" t="s">
        <v>5</v>
      </c>
      <c r="J5" s="5" t="s">
        <v>6</v>
      </c>
      <c r="K5" s="5" t="s">
        <v>4</v>
      </c>
      <c r="L5" s="5" t="s">
        <v>169</v>
      </c>
      <c r="M5" s="5" t="s">
        <v>2</v>
      </c>
      <c r="N5" s="5" t="s">
        <v>3</v>
      </c>
      <c r="O5" s="5" t="s">
        <v>40</v>
      </c>
      <c r="P5" s="5" t="s">
        <v>5</v>
      </c>
      <c r="Q5" s="5" t="s">
        <v>6</v>
      </c>
      <c r="R5" s="5" t="s">
        <v>4</v>
      </c>
      <c r="S5" s="5" t="s">
        <v>169</v>
      </c>
    </row>
    <row r="6" spans="1:19" s="2" customFormat="1" ht="15" customHeight="1" x14ac:dyDescent="0.25">
      <c r="A6" s="8" t="str">
        <f>Dados!B24</f>
        <v>Pá Carregadeira</v>
      </c>
      <c r="B6" s="34">
        <f>114*B1</f>
        <v>152.76000000000002</v>
      </c>
      <c r="C6" s="58" t="s">
        <v>55</v>
      </c>
      <c r="D6" s="58">
        <v>-20.365058000000001</v>
      </c>
      <c r="E6" s="61">
        <v>-40.363492999999998</v>
      </c>
      <c r="F6" s="58">
        <f>Dados!D24</f>
        <v>1</v>
      </c>
      <c r="G6" s="34">
        <f>Dados!F24</f>
        <v>3</v>
      </c>
      <c r="H6" s="7">
        <f>(INDEX(FE_Maq_Equip,MATCH($C6,Pot_Equip,0),2))</f>
        <v>3.4873730864910753E-2</v>
      </c>
      <c r="I6" s="7">
        <f>(INDEX(FE_Maq_Equip,MATCH($C6,Pot_Equip,0),3))</f>
        <v>0.62819014565488085</v>
      </c>
      <c r="J6" s="7">
        <f>(INDEX(FE_Maq_Equip,MATCH($C6,Pot_Equip,0),4))</f>
        <v>5.4259968788077681E-4</v>
      </c>
      <c r="K6" s="7">
        <f>(INDEX(FE_Maq_Equip,MATCH($C6,Pot_Equip,0),5))</f>
        <v>0.29143683660988179</v>
      </c>
      <c r="L6" s="7">
        <f>(INDEX(FE_Maq_Equip,MATCH($C6,Pot_Equip,0),6))</f>
        <v>7.9806989940830519E-2</v>
      </c>
      <c r="M6" s="7">
        <f>H6*F6*G6/24</f>
        <v>4.3592163581138441E-3</v>
      </c>
      <c r="N6" s="7">
        <f>M6</f>
        <v>4.3592163581138441E-3</v>
      </c>
      <c r="O6" s="7">
        <f>M6</f>
        <v>4.3592163581138441E-3</v>
      </c>
      <c r="P6" s="7">
        <f>I6*F6*G6/24</f>
        <v>7.8523768206860106E-2</v>
      </c>
      <c r="Q6" s="7">
        <f>J6*F6*G6/24</f>
        <v>6.7824960985097101E-5</v>
      </c>
      <c r="R6" s="7">
        <f>K6*F6*G6/24</f>
        <v>3.6429604576235224E-2</v>
      </c>
      <c r="S6" s="7">
        <f>L6*F6*G6/24</f>
        <v>9.9758737426038149E-3</v>
      </c>
    </row>
    <row r="7" spans="1:19" ht="15" customHeight="1" x14ac:dyDescent="0.2">
      <c r="A7" s="102" t="s">
        <v>102</v>
      </c>
      <c r="B7" s="102"/>
      <c r="C7" s="102"/>
      <c r="D7" s="102"/>
      <c r="E7" s="102"/>
      <c r="F7" s="102"/>
      <c r="G7" s="102"/>
      <c r="H7" s="102"/>
      <c r="I7" s="102"/>
      <c r="J7" s="102"/>
      <c r="K7" s="102"/>
      <c r="L7" s="102"/>
      <c r="M7" s="43">
        <f t="shared" ref="M7:R7" si="0">SUM(M6:M6)</f>
        <v>4.3592163581138441E-3</v>
      </c>
      <c r="N7" s="43">
        <f t="shared" si="0"/>
        <v>4.3592163581138441E-3</v>
      </c>
      <c r="O7" s="43">
        <f>SUM(O6:O6)</f>
        <v>4.3592163581138441E-3</v>
      </c>
      <c r="P7" s="15">
        <f>SUM(P6:P6)</f>
        <v>7.8523768206860106E-2</v>
      </c>
      <c r="Q7" s="43">
        <f>SUM(Q6:Q6)</f>
        <v>6.7824960985097101E-5</v>
      </c>
      <c r="R7" s="10">
        <f t="shared" si="0"/>
        <v>3.6429604576235224E-2</v>
      </c>
      <c r="S7" s="10">
        <f>SUM(S6:S6)</f>
        <v>9.9758737426038149E-3</v>
      </c>
    </row>
    <row r="8" spans="1:19" ht="15" customHeight="1" x14ac:dyDescent="0.2">
      <c r="M8" s="16"/>
      <c r="N8" s="16"/>
      <c r="O8" s="16"/>
      <c r="P8" s="16"/>
      <c r="Q8" s="17"/>
      <c r="R8" s="16"/>
      <c r="S8" s="16"/>
    </row>
    <row r="9" spans="1:19" ht="15" customHeight="1" x14ac:dyDescent="0.2">
      <c r="M9" s="18"/>
      <c r="N9" s="18"/>
      <c r="O9" s="18"/>
      <c r="P9" s="19"/>
      <c r="Q9" s="19"/>
      <c r="R9" s="19"/>
      <c r="S9" s="19"/>
    </row>
    <row r="10" spans="1:19" ht="15" customHeight="1" x14ac:dyDescent="0.2">
      <c r="P10" s="4"/>
      <c r="R10" s="4"/>
    </row>
    <row r="11" spans="1:19" ht="11.25" x14ac:dyDescent="0.2">
      <c r="A11" s="20"/>
      <c r="C11" s="2"/>
      <c r="D11" s="14"/>
      <c r="E11" s="14"/>
      <c r="G11" s="14"/>
      <c r="H11" s="14"/>
      <c r="I11" s="14"/>
      <c r="J11" s="14"/>
      <c r="K11" s="14"/>
      <c r="L11" s="14"/>
      <c r="M11" s="14"/>
      <c r="N11" s="14"/>
      <c r="O11" s="14"/>
      <c r="P11" s="14"/>
      <c r="Q11" s="14"/>
      <c r="R11" s="14"/>
      <c r="S11" s="14"/>
    </row>
    <row r="12" spans="1:19" ht="15" customHeight="1" x14ac:dyDescent="0.2">
      <c r="D12" s="14"/>
      <c r="E12" s="14"/>
      <c r="G12" s="14"/>
      <c r="H12" s="14"/>
      <c r="I12" s="14"/>
      <c r="J12" s="14"/>
      <c r="K12" s="14"/>
      <c r="L12" s="14"/>
      <c r="M12" s="7"/>
      <c r="N12" s="7"/>
      <c r="O12" s="14"/>
      <c r="P12" s="14"/>
      <c r="Q12" s="14"/>
      <c r="R12" s="14"/>
      <c r="S12" s="14"/>
    </row>
    <row r="13" spans="1:19" ht="15" customHeight="1" x14ac:dyDescent="0.2">
      <c r="A13" s="14"/>
      <c r="M13" s="14"/>
      <c r="N13" s="14"/>
      <c r="O13" s="14"/>
      <c r="P13" s="14"/>
      <c r="Q13" s="14"/>
      <c r="R13" s="14"/>
      <c r="S13" s="14"/>
    </row>
    <row r="14" spans="1:19" ht="15" customHeight="1" x14ac:dyDescent="0.2">
      <c r="D14" s="14"/>
      <c r="E14" s="14"/>
      <c r="G14" s="14"/>
      <c r="H14" s="14"/>
      <c r="I14" s="14"/>
      <c r="J14" s="14"/>
      <c r="K14" s="14"/>
      <c r="L14" s="14"/>
      <c r="M14" s="14"/>
      <c r="N14" s="14"/>
      <c r="O14" s="14"/>
      <c r="P14" s="14"/>
      <c r="Q14" s="14"/>
      <c r="R14" s="14"/>
      <c r="S14" s="14"/>
    </row>
    <row r="15" spans="1:19" ht="15" customHeight="1" x14ac:dyDescent="0.2">
      <c r="D15" s="14"/>
      <c r="E15" s="14"/>
      <c r="G15" s="14"/>
      <c r="H15" s="14"/>
      <c r="I15" s="14"/>
      <c r="J15" s="14"/>
      <c r="K15" s="14"/>
      <c r="L15" s="14"/>
      <c r="M15" s="14"/>
      <c r="N15" s="14"/>
      <c r="O15" s="14"/>
      <c r="P15" s="14"/>
      <c r="Q15" s="14"/>
      <c r="R15" s="14"/>
      <c r="S15" s="14"/>
    </row>
    <row r="16" spans="1:19" ht="15" customHeight="1" x14ac:dyDescent="0.2">
      <c r="D16" s="14"/>
      <c r="E16" s="14"/>
      <c r="G16" s="14"/>
      <c r="H16" s="14"/>
      <c r="I16" s="14"/>
      <c r="J16" s="14"/>
      <c r="K16" s="14"/>
      <c r="L16" s="14"/>
      <c r="M16" s="14"/>
      <c r="N16" s="14"/>
      <c r="O16" s="14"/>
      <c r="P16" s="14"/>
      <c r="Q16" s="14"/>
      <c r="R16" s="14"/>
      <c r="S16" s="14"/>
    </row>
    <row r="17" spans="4:19" ht="15" customHeight="1" x14ac:dyDescent="0.2">
      <c r="D17" s="14"/>
      <c r="E17" s="14"/>
      <c r="G17" s="14"/>
      <c r="H17" s="14"/>
      <c r="I17" s="14"/>
      <c r="J17" s="14"/>
      <c r="K17" s="14"/>
      <c r="L17" s="14"/>
      <c r="M17" s="14"/>
      <c r="N17" s="14"/>
      <c r="O17" s="14"/>
      <c r="P17" s="14"/>
      <c r="Q17" s="14"/>
      <c r="R17" s="14"/>
      <c r="S17" s="14"/>
    </row>
    <row r="18" spans="4:19" ht="15" customHeight="1" x14ac:dyDescent="0.2">
      <c r="D18" s="14"/>
      <c r="E18" s="14"/>
      <c r="G18" s="14"/>
      <c r="H18" s="14"/>
      <c r="I18" s="14"/>
      <c r="J18" s="14"/>
      <c r="K18" s="14"/>
      <c r="L18" s="14"/>
      <c r="M18" s="14"/>
      <c r="N18" s="14"/>
      <c r="O18" s="14"/>
      <c r="P18" s="14"/>
      <c r="Q18" s="14"/>
      <c r="R18" s="14"/>
      <c r="S18" s="14"/>
    </row>
    <row r="19" spans="4:19" ht="15" customHeight="1" x14ac:dyDescent="0.2">
      <c r="D19" s="14"/>
      <c r="E19" s="14"/>
      <c r="G19" s="14"/>
      <c r="H19" s="14"/>
      <c r="I19" s="14"/>
      <c r="J19" s="14"/>
      <c r="K19" s="14"/>
      <c r="L19" s="14"/>
      <c r="M19" s="14"/>
      <c r="N19" s="14"/>
      <c r="O19" s="14"/>
      <c r="P19" s="14"/>
      <c r="Q19" s="14"/>
      <c r="R19" s="14"/>
      <c r="S19" s="14"/>
    </row>
    <row r="20" spans="4:19" ht="15" customHeight="1" x14ac:dyDescent="0.2">
      <c r="D20" s="14"/>
      <c r="E20" s="14"/>
      <c r="G20" s="14"/>
      <c r="H20" s="14"/>
      <c r="I20" s="14"/>
      <c r="J20" s="14"/>
      <c r="K20" s="14"/>
      <c r="L20" s="14"/>
      <c r="M20" s="14"/>
      <c r="N20" s="14"/>
      <c r="O20" s="14"/>
      <c r="P20" s="14"/>
      <c r="Q20" s="14"/>
      <c r="R20" s="14"/>
      <c r="S20" s="14"/>
    </row>
    <row r="21" spans="4:19" ht="15" customHeight="1" x14ac:dyDescent="0.2">
      <c r="D21" s="14"/>
      <c r="E21" s="14"/>
      <c r="G21" s="14"/>
      <c r="H21" s="14"/>
      <c r="I21" s="14"/>
      <c r="J21" s="14"/>
      <c r="K21" s="14"/>
      <c r="L21" s="14"/>
      <c r="M21" s="14"/>
      <c r="N21" s="14"/>
      <c r="O21" s="14"/>
      <c r="P21" s="14"/>
      <c r="Q21" s="14"/>
      <c r="R21" s="14"/>
      <c r="S21" s="14"/>
    </row>
    <row r="22" spans="4:19" ht="15" customHeight="1" x14ac:dyDescent="0.2">
      <c r="D22" s="14"/>
      <c r="E22" s="14"/>
      <c r="G22" s="14"/>
      <c r="H22" s="14"/>
      <c r="I22" s="14"/>
      <c r="J22" s="14"/>
      <c r="K22" s="14"/>
      <c r="L22" s="14"/>
      <c r="M22" s="14"/>
      <c r="N22" s="14"/>
      <c r="O22" s="14"/>
      <c r="P22" s="14"/>
      <c r="Q22" s="14"/>
      <c r="R22" s="14"/>
      <c r="S22" s="14"/>
    </row>
    <row r="23" spans="4:19" ht="15" customHeight="1" x14ac:dyDescent="0.2">
      <c r="D23" s="14"/>
      <c r="E23" s="14"/>
      <c r="F23" s="13"/>
      <c r="G23" s="14"/>
      <c r="H23" s="14"/>
      <c r="I23" s="14"/>
      <c r="J23" s="14"/>
      <c r="K23" s="14"/>
      <c r="L23" s="14"/>
      <c r="M23" s="14"/>
      <c r="N23" s="14"/>
      <c r="O23" s="14"/>
      <c r="P23" s="14"/>
      <c r="Q23" s="14"/>
      <c r="R23" s="14"/>
      <c r="S23" s="14"/>
    </row>
    <row r="24" spans="4:19" ht="15" customHeight="1" x14ac:dyDescent="0.2">
      <c r="M24" s="16"/>
      <c r="N24" s="16"/>
      <c r="O24" s="16"/>
      <c r="P24" s="16"/>
      <c r="Q24" s="16"/>
      <c r="R24" s="16"/>
      <c r="S24" s="16"/>
    </row>
  </sheetData>
  <sheetProtection password="B056" sheet="1" objects="1" scenarios="1"/>
  <mergeCells count="10">
    <mergeCell ref="A7:L7"/>
    <mergeCell ref="G4:G5"/>
    <mergeCell ref="M4:S4"/>
    <mergeCell ref="A4:A5"/>
    <mergeCell ref="B4:B5"/>
    <mergeCell ref="C4:C5"/>
    <mergeCell ref="D4:D5"/>
    <mergeCell ref="E4:E5"/>
    <mergeCell ref="F4:F5"/>
    <mergeCell ref="H4:L4"/>
  </mergeCells>
  <pageMargins left="0.511811024" right="0.511811024" top="0.78740157499999996" bottom="0.78740157499999996" header="0.31496062000000002" footer="0.31496062000000002"/>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'FE-Maq e Equip'!$B$4:$B$11</xm:f>
          </x14:formula1>
          <xm:sqref>C6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7"/>
  <dimension ref="A1:N26"/>
  <sheetViews>
    <sheetView zoomScaleNormal="100" workbookViewId="0">
      <selection activeCell="F28" sqref="F28"/>
    </sheetView>
  </sheetViews>
  <sheetFormatPr defaultRowHeight="15" customHeight="1" x14ac:dyDescent="0.25"/>
  <cols>
    <col min="1" max="1" width="42.5703125" style="2" customWidth="1"/>
    <col min="2" max="3" width="18.28515625" style="2" customWidth="1"/>
    <col min="4" max="5" width="18" style="2" customWidth="1"/>
    <col min="6" max="6" width="18" style="25" customWidth="1"/>
    <col min="7" max="8" width="15.7109375" style="2" customWidth="1"/>
    <col min="9" max="11" width="9.140625" style="25"/>
    <col min="12" max="16384" width="9.140625" style="2"/>
  </cols>
  <sheetData>
    <row r="1" spans="1:14" ht="15" customHeight="1" x14ac:dyDescent="0.25">
      <c r="A1" s="33" t="s">
        <v>152</v>
      </c>
      <c r="B1" s="26">
        <v>9</v>
      </c>
      <c r="C1" s="26"/>
    </row>
    <row r="2" spans="1:14" ht="15" customHeight="1" x14ac:dyDescent="0.25">
      <c r="A2" s="33" t="s">
        <v>135</v>
      </c>
      <c r="B2" s="26">
        <f>'FE-Transferências'!H15/1000</f>
        <v>1.52</v>
      </c>
      <c r="C2" s="26"/>
      <c r="F2" s="50"/>
      <c r="I2" s="50"/>
      <c r="J2" s="50"/>
      <c r="K2" s="50"/>
    </row>
    <row r="3" spans="1:14" ht="15" customHeight="1" x14ac:dyDescent="0.25">
      <c r="A3" s="2" t="s">
        <v>145</v>
      </c>
      <c r="B3" s="12">
        <f>(Dados!B5)*B2/(365*24)</f>
        <v>2.4866575342465751</v>
      </c>
      <c r="C3" s="34"/>
    </row>
    <row r="4" spans="1:14" ht="15" customHeight="1" x14ac:dyDescent="0.25">
      <c r="A4" s="2" t="s">
        <v>106</v>
      </c>
      <c r="B4" s="11">
        <f>Dados!B6/(365*24)</f>
        <v>4.5508401826484022</v>
      </c>
      <c r="C4" s="34"/>
    </row>
    <row r="5" spans="1:14" ht="15" customHeight="1" x14ac:dyDescent="0.25">
      <c r="A5" s="2" t="s">
        <v>95</v>
      </c>
      <c r="B5" s="35">
        <v>4.2</v>
      </c>
      <c r="C5" s="34"/>
    </row>
    <row r="7" spans="1:14" ht="15" customHeight="1" x14ac:dyDescent="0.2">
      <c r="A7" s="1" t="s">
        <v>139</v>
      </c>
    </row>
    <row r="8" spans="1:14" ht="15" customHeight="1" x14ac:dyDescent="0.25">
      <c r="A8" s="104" t="s">
        <v>0</v>
      </c>
      <c r="B8" s="114" t="s">
        <v>73</v>
      </c>
      <c r="C8" s="115" t="s">
        <v>96</v>
      </c>
      <c r="D8" s="110" t="s">
        <v>97</v>
      </c>
      <c r="E8" s="110" t="s">
        <v>98</v>
      </c>
      <c r="F8" s="110" t="s">
        <v>99</v>
      </c>
      <c r="G8" s="103" t="s">
        <v>170</v>
      </c>
      <c r="H8" s="103" t="s">
        <v>171</v>
      </c>
      <c r="I8" s="109" t="s">
        <v>100</v>
      </c>
      <c r="J8" s="101"/>
      <c r="K8" s="101"/>
      <c r="L8" s="109" t="s">
        <v>1</v>
      </c>
      <c r="M8" s="101"/>
      <c r="N8" s="101"/>
    </row>
    <row r="9" spans="1:14" ht="15" customHeight="1" x14ac:dyDescent="0.25">
      <c r="A9" s="105"/>
      <c r="B9" s="114"/>
      <c r="C9" s="115"/>
      <c r="D9" s="111"/>
      <c r="E9" s="111"/>
      <c r="F9" s="111"/>
      <c r="G9" s="103"/>
      <c r="H9" s="103"/>
      <c r="I9" s="24" t="s">
        <v>2</v>
      </c>
      <c r="J9" s="24" t="s">
        <v>3</v>
      </c>
      <c r="K9" s="24" t="s">
        <v>101</v>
      </c>
      <c r="L9" s="24" t="s">
        <v>2</v>
      </c>
      <c r="M9" s="24" t="s">
        <v>3</v>
      </c>
      <c r="N9" s="24" t="s">
        <v>101</v>
      </c>
    </row>
    <row r="10" spans="1:14" s="3" customFormat="1" ht="15" customHeight="1" x14ac:dyDescent="0.25">
      <c r="A10" s="36" t="s">
        <v>147</v>
      </c>
      <c r="B10" s="8" t="s">
        <v>146</v>
      </c>
      <c r="C10" s="38">
        <f>'FE-Transferências'!$L$5</f>
        <v>7.4</v>
      </c>
      <c r="D10" s="8" t="s">
        <v>116</v>
      </c>
      <c r="E10" s="8">
        <v>50</v>
      </c>
      <c r="F10" s="38">
        <f>B3</f>
        <v>2.4866575342465751</v>
      </c>
      <c r="G10" s="112">
        <v>-20.364892999999999</v>
      </c>
      <c r="H10" s="112">
        <v>-40.363498999999997</v>
      </c>
      <c r="I10" s="37">
        <f>'FE-Transferências'!$A$4*0.0016*((($B$5/2.2)^1.3)/($C$10/2)^1.4)</f>
        <v>4.3948482222233288E-4</v>
      </c>
      <c r="J10" s="37">
        <f>'FE-Transferências'!$C$4*0.0016*((($B$5/2.2)^1.3)/($C$10/2)^1.4)</f>
        <v>2.0786444294299528E-4</v>
      </c>
      <c r="K10" s="37">
        <f>'FE-Transferências'!$E$4*0.0016*((($B$5/2.2)^1.3)/($C$10/2)^1.4)</f>
        <v>3.1476615645653572E-5</v>
      </c>
      <c r="L10" s="55">
        <f t="shared" ref="L10:L15" si="0">F10*I10*(1-E10/100)</f>
        <v>5.4642412218309036E-4</v>
      </c>
      <c r="M10" s="55">
        <f t="shared" ref="M10:M15" si="1">F10*J10*(1-E10/100)</f>
        <v>2.5844384157308327E-4</v>
      </c>
      <c r="N10" s="55">
        <f t="shared" ref="N10:N15" si="2">F10*K10*(1-E10/100)</f>
        <v>3.9135781723924041E-5</v>
      </c>
    </row>
    <row r="11" spans="1:14" s="3" customFormat="1" ht="15" customHeight="1" x14ac:dyDescent="0.2">
      <c r="A11" s="40" t="s">
        <v>111</v>
      </c>
      <c r="B11" s="48" t="s">
        <v>104</v>
      </c>
      <c r="C11" s="48">
        <v>1</v>
      </c>
      <c r="D11" s="8" t="s">
        <v>116</v>
      </c>
      <c r="E11" s="8">
        <v>50</v>
      </c>
      <c r="F11" s="41">
        <f>B4</f>
        <v>4.5508401826484022</v>
      </c>
      <c r="G11" s="113"/>
      <c r="H11" s="113"/>
      <c r="I11" s="37">
        <f>'FE-Transferências'!$A$4*0.0016*((($B$5/2.2)^1.3)/($C$10/2)^1.4)</f>
        <v>4.3948482222233288E-4</v>
      </c>
      <c r="J11" s="37">
        <f>'FE-Transferências'!$C$4*0.0016*((($B$5/2.2)^1.3)/($C$10/2)^1.4)</f>
        <v>2.0786444294299528E-4</v>
      </c>
      <c r="K11" s="37">
        <f>'FE-Transferências'!$E$4*0.0016*((($B$5/2.2)^1.3)/($C$10/2)^1.4)</f>
        <v>3.1476615645653572E-5</v>
      </c>
      <c r="L11" s="55">
        <f t="shared" si="0"/>
        <v>1.000012594316741E-3</v>
      </c>
      <c r="M11" s="55">
        <f t="shared" si="1"/>
        <v>4.729789297444045E-4</v>
      </c>
      <c r="N11" s="55">
        <f t="shared" si="2"/>
        <v>7.1622523647009827E-5</v>
      </c>
    </row>
    <row r="12" spans="1:14" s="3" customFormat="1" ht="15" customHeight="1" x14ac:dyDescent="0.2">
      <c r="A12" s="40" t="s">
        <v>148</v>
      </c>
      <c r="B12" s="8" t="s">
        <v>146</v>
      </c>
      <c r="C12" s="38">
        <f>'FE-Transferências'!$L$5</f>
        <v>7.4</v>
      </c>
      <c r="D12" s="48" t="s">
        <v>107</v>
      </c>
      <c r="E12" s="48">
        <v>70</v>
      </c>
      <c r="F12" s="38">
        <f>B3</f>
        <v>2.4866575342465751</v>
      </c>
      <c r="G12" s="113"/>
      <c r="H12" s="113"/>
      <c r="I12" s="37">
        <f>'FE-Transferências'!$A$4*0.0016*((($B$5/2.2)^1.3)/($C$10/2)^1.4)</f>
        <v>4.3948482222233288E-4</v>
      </c>
      <c r="J12" s="37">
        <f>'FE-Transferências'!$C$4*0.0016*((($B$5/2.2)^1.3)/($C$10/2)^1.4)</f>
        <v>2.0786444294299528E-4</v>
      </c>
      <c r="K12" s="37">
        <f>'FE-Transferências'!$E$4*0.0016*((($B$5/2.2)^1.3)/($C$10/2)^1.4)</f>
        <v>3.1476615645653572E-5</v>
      </c>
      <c r="L12" s="55">
        <f t="shared" si="0"/>
        <v>3.2785447330985424E-4</v>
      </c>
      <c r="M12" s="55">
        <f t="shared" si="1"/>
        <v>1.5506630494384999E-4</v>
      </c>
      <c r="N12" s="55">
        <f t="shared" si="2"/>
        <v>2.3481469034354427E-5</v>
      </c>
    </row>
    <row r="13" spans="1:14" s="3" customFormat="1" ht="15" customHeight="1" x14ac:dyDescent="0.2">
      <c r="A13" s="40" t="s">
        <v>127</v>
      </c>
      <c r="B13" s="48" t="s">
        <v>104</v>
      </c>
      <c r="C13" s="48">
        <v>1</v>
      </c>
      <c r="D13" s="48" t="s">
        <v>107</v>
      </c>
      <c r="E13" s="48">
        <v>70</v>
      </c>
      <c r="F13" s="38">
        <f>B4</f>
        <v>4.5508401826484022</v>
      </c>
      <c r="G13" s="113"/>
      <c r="H13" s="113"/>
      <c r="I13" s="37">
        <f>'FE-Transferências'!$A$4*0.0016*((($B$5/2.2)^1.3)/($C$10/2)^1.4)</f>
        <v>4.3948482222233288E-4</v>
      </c>
      <c r="J13" s="37">
        <f>'FE-Transferências'!$C$4*0.0016*((($B$5/2.2)^1.3)/($C$10/2)^1.4)</f>
        <v>2.0786444294299528E-4</v>
      </c>
      <c r="K13" s="37">
        <f>'FE-Transferências'!$E$4*0.0016*((($B$5/2.2)^1.3)/($C$10/2)^1.4)</f>
        <v>3.1476615645653572E-5</v>
      </c>
      <c r="L13" s="55">
        <f t="shared" si="0"/>
        <v>6.0000755659004473E-4</v>
      </c>
      <c r="M13" s="55">
        <f t="shared" si="1"/>
        <v>2.8378735784664275E-4</v>
      </c>
      <c r="N13" s="55">
        <f t="shared" si="2"/>
        <v>4.2973514188205906E-5</v>
      </c>
    </row>
    <row r="14" spans="1:14" s="3" customFormat="1" ht="15" customHeight="1" x14ac:dyDescent="0.2">
      <c r="A14" s="40" t="s">
        <v>149</v>
      </c>
      <c r="B14" s="8" t="s">
        <v>146</v>
      </c>
      <c r="C14" s="38">
        <f>'FE-Transferências'!$L$5</f>
        <v>7.4</v>
      </c>
      <c r="D14" s="47" t="s">
        <v>107</v>
      </c>
      <c r="E14" s="48">
        <v>70</v>
      </c>
      <c r="F14" s="38">
        <f>B3</f>
        <v>2.4866575342465751</v>
      </c>
      <c r="G14" s="113"/>
      <c r="H14" s="113"/>
      <c r="I14" s="37">
        <f>'FE-Transferências'!$A$4*0.0016*((($B$5/2.2)^1.3)/($C$10/2)^1.4)</f>
        <v>4.3948482222233288E-4</v>
      </c>
      <c r="J14" s="37">
        <f>'FE-Transferências'!$C$4*0.0016*((($B$5/2.2)^1.3)/($C$10/2)^1.4)</f>
        <v>2.0786444294299528E-4</v>
      </c>
      <c r="K14" s="37">
        <f>'FE-Transferências'!$E$4*0.0016*((($B$5/2.2)^1.3)/($C$10/2)^1.4)</f>
        <v>3.1476615645653572E-5</v>
      </c>
      <c r="L14" s="55">
        <f t="shared" si="0"/>
        <v>3.2785447330985424E-4</v>
      </c>
      <c r="M14" s="55">
        <f t="shared" si="1"/>
        <v>1.5506630494384999E-4</v>
      </c>
      <c r="N14" s="55">
        <f t="shared" si="2"/>
        <v>2.3481469034354427E-5</v>
      </c>
    </row>
    <row r="15" spans="1:14" s="3" customFormat="1" ht="15" customHeight="1" x14ac:dyDescent="0.2">
      <c r="A15" s="40" t="s">
        <v>128</v>
      </c>
      <c r="B15" s="48" t="s">
        <v>104</v>
      </c>
      <c r="C15" s="48">
        <v>1</v>
      </c>
      <c r="D15" s="47" t="s">
        <v>107</v>
      </c>
      <c r="E15" s="48">
        <v>70</v>
      </c>
      <c r="F15" s="38">
        <f>B4</f>
        <v>4.5508401826484022</v>
      </c>
      <c r="G15" s="113"/>
      <c r="H15" s="113"/>
      <c r="I15" s="37">
        <f>'FE-Transferências'!$A$4*0.0016*((($B$5/2.2)^1.3)/($C$10/2)^1.4)</f>
        <v>4.3948482222233288E-4</v>
      </c>
      <c r="J15" s="37">
        <f>'FE-Transferências'!$C$4*0.0016*((($B$5/2.2)^1.3)/($C$10/2)^1.4)</f>
        <v>2.0786444294299528E-4</v>
      </c>
      <c r="K15" s="37">
        <f>'FE-Transferências'!$E$4*0.0016*((($B$5/2.2)^1.3)/($C$10/2)^1.4)</f>
        <v>3.1476615645653572E-5</v>
      </c>
      <c r="L15" s="55">
        <f t="shared" si="0"/>
        <v>6.0000755659004473E-4</v>
      </c>
      <c r="M15" s="55">
        <f t="shared" si="1"/>
        <v>2.8378735784664275E-4</v>
      </c>
      <c r="N15" s="55">
        <f t="shared" si="2"/>
        <v>4.2973514188205906E-5</v>
      </c>
    </row>
    <row r="16" spans="1:14" ht="15" customHeight="1" x14ac:dyDescent="0.25">
      <c r="A16" s="102" t="s">
        <v>102</v>
      </c>
      <c r="B16" s="102"/>
      <c r="C16" s="102"/>
      <c r="D16" s="102"/>
      <c r="E16" s="102"/>
      <c r="F16" s="102"/>
      <c r="G16" s="102"/>
      <c r="H16" s="102"/>
      <c r="I16" s="102"/>
      <c r="J16" s="102"/>
      <c r="K16" s="102"/>
      <c r="L16" s="43">
        <f>SUM(L10:L15)</f>
        <v>3.4021607762996292E-3</v>
      </c>
      <c r="M16" s="43">
        <f>SUM(M10:M15)</f>
        <v>1.6091300968984733E-3</v>
      </c>
      <c r="N16" s="43">
        <f>SUM(N10:N15)</f>
        <v>2.4366827181605453E-4</v>
      </c>
    </row>
    <row r="17" spans="1:9" ht="15" customHeight="1" x14ac:dyDescent="0.25">
      <c r="A17" s="2" t="s">
        <v>165</v>
      </c>
    </row>
    <row r="18" spans="1:9" ht="15" customHeight="1" x14ac:dyDescent="0.2">
      <c r="A18" s="59" t="s">
        <v>166</v>
      </c>
      <c r="B18" s="1"/>
      <c r="C18" s="1"/>
    </row>
    <row r="19" spans="1:9" ht="15" customHeight="1" x14ac:dyDescent="0.2">
      <c r="A19" s="1"/>
      <c r="B19" s="1"/>
      <c r="C19" s="1"/>
      <c r="I19" s="44"/>
    </row>
    <row r="20" spans="1:9" ht="15" customHeight="1" x14ac:dyDescent="0.2">
      <c r="A20" s="1"/>
      <c r="B20" s="1"/>
      <c r="C20" s="1"/>
    </row>
    <row r="21" spans="1:9" ht="15" customHeight="1" x14ac:dyDescent="0.2">
      <c r="A21" s="1"/>
      <c r="B21" s="1"/>
      <c r="C21" s="1"/>
    </row>
    <row r="22" spans="1:9" ht="15" customHeight="1" x14ac:dyDescent="0.2">
      <c r="A22" s="1"/>
      <c r="B22" s="1"/>
      <c r="C22" s="1"/>
    </row>
    <row r="23" spans="1:9" ht="15" customHeight="1" x14ac:dyDescent="0.2">
      <c r="A23" s="1"/>
      <c r="B23" s="1"/>
      <c r="C23" s="1"/>
    </row>
    <row r="24" spans="1:9" ht="15" customHeight="1" x14ac:dyDescent="0.25">
      <c r="A24"/>
      <c r="B24"/>
      <c r="C24"/>
    </row>
    <row r="25" spans="1:9" ht="15" customHeight="1" x14ac:dyDescent="0.25">
      <c r="A25"/>
      <c r="B25"/>
      <c r="C25"/>
    </row>
    <row r="26" spans="1:9" ht="15" customHeight="1" x14ac:dyDescent="0.25">
      <c r="A26"/>
      <c r="B26"/>
      <c r="C26"/>
    </row>
  </sheetData>
  <sheetProtection password="B056" sheet="1" objects="1" scenarios="1"/>
  <mergeCells count="14">
    <mergeCell ref="L8:N8"/>
    <mergeCell ref="F8:F9"/>
    <mergeCell ref="G8:G9"/>
    <mergeCell ref="H8:H9"/>
    <mergeCell ref="I16:K16"/>
    <mergeCell ref="I8:K8"/>
    <mergeCell ref="A16:H16"/>
    <mergeCell ref="G10:G15"/>
    <mergeCell ref="H10:H15"/>
    <mergeCell ref="A8:A9"/>
    <mergeCell ref="B8:B9"/>
    <mergeCell ref="C8:C9"/>
    <mergeCell ref="D8:D9"/>
    <mergeCell ref="E8:E9"/>
  </mergeCells>
  <pageMargins left="0.511811024" right="0.511811024" top="0.78740157499999996" bottom="0.78740157499999996" header="0.31496062000000002" footer="0.31496062000000002"/>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M25" sqref="M25"/>
    </sheetView>
  </sheetViews>
  <sheetFormatPr defaultRowHeight="15" x14ac:dyDescent="0.25"/>
  <sheetData>
    <row r="1" spans="1:8" x14ac:dyDescent="0.25">
      <c r="A1" s="116" t="s">
        <v>162</v>
      </c>
      <c r="B1" s="116"/>
      <c r="C1" s="116"/>
      <c r="D1" s="116"/>
      <c r="E1" s="116"/>
      <c r="F1" s="116"/>
      <c r="G1" s="116"/>
      <c r="H1" s="116"/>
    </row>
    <row r="2" spans="1:8" x14ac:dyDescent="0.25">
      <c r="A2" s="116"/>
      <c r="B2" s="116"/>
      <c r="C2" s="116"/>
      <c r="D2" s="116"/>
      <c r="E2" s="116"/>
      <c r="F2" s="116"/>
      <c r="G2" s="116"/>
      <c r="H2" s="116"/>
    </row>
    <row r="3" spans="1:8" x14ac:dyDescent="0.25">
      <c r="A3" s="116"/>
      <c r="B3" s="116"/>
      <c r="C3" s="116"/>
      <c r="D3" s="116"/>
      <c r="E3" s="116"/>
      <c r="F3" s="116"/>
      <c r="G3" s="116"/>
      <c r="H3" s="116"/>
    </row>
    <row r="4" spans="1:8" x14ac:dyDescent="0.25">
      <c r="A4" s="116"/>
      <c r="B4" s="116"/>
      <c r="C4" s="116"/>
      <c r="D4" s="116"/>
      <c r="E4" s="116"/>
      <c r="F4" s="116"/>
      <c r="G4" s="116"/>
      <c r="H4" s="116"/>
    </row>
    <row r="5" spans="1:8" x14ac:dyDescent="0.25">
      <c r="A5" s="116"/>
      <c r="B5" s="116"/>
      <c r="C5" s="116"/>
      <c r="D5" s="116"/>
      <c r="E5" s="116"/>
      <c r="F5" s="116"/>
      <c r="G5" s="116"/>
      <c r="H5" s="116"/>
    </row>
  </sheetData>
  <sheetProtection password="B056" sheet="1" objects="1" scenarios="1"/>
  <mergeCells count="1">
    <mergeCell ref="A1:H5"/>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zoomScaleNormal="100" workbookViewId="0">
      <selection activeCell="C19" sqref="C19"/>
    </sheetView>
  </sheetViews>
  <sheetFormatPr defaultRowHeight="15" x14ac:dyDescent="0.25"/>
  <cols>
    <col min="1" max="1" width="21.42578125" customWidth="1"/>
  </cols>
  <sheetData>
    <row r="1" spans="1:10" x14ac:dyDescent="0.25">
      <c r="A1" s="117" t="s">
        <v>108</v>
      </c>
      <c r="B1" s="106" t="s">
        <v>1</v>
      </c>
      <c r="C1" s="107"/>
      <c r="D1" s="107"/>
      <c r="E1" s="107"/>
      <c r="F1" s="107"/>
      <c r="G1" s="107"/>
      <c r="H1" s="107"/>
    </row>
    <row r="2" spans="1:10" x14ac:dyDescent="0.25">
      <c r="A2" s="117"/>
      <c r="B2" s="5" t="s">
        <v>2</v>
      </c>
      <c r="C2" s="5" t="s">
        <v>3</v>
      </c>
      <c r="D2" s="5" t="s">
        <v>40</v>
      </c>
      <c r="E2" s="5" t="s">
        <v>5</v>
      </c>
      <c r="F2" s="5" t="s">
        <v>6</v>
      </c>
      <c r="G2" s="5" t="s">
        <v>4</v>
      </c>
      <c r="H2" s="5" t="s">
        <v>169</v>
      </c>
    </row>
    <row r="3" spans="1:10" x14ac:dyDescent="0.25">
      <c r="A3" s="2" t="s">
        <v>167</v>
      </c>
      <c r="B3" s="55">
        <f>'Emissão Chaminé'!H6</f>
        <v>0.13062269673860133</v>
      </c>
      <c r="C3" s="55">
        <f>'Emissão Chaminé'!I6</f>
        <v>0.11102929222781113</v>
      </c>
      <c r="D3" s="55">
        <f>'Emissão Chaminé'!J6</f>
        <v>3.91868090215804E-2</v>
      </c>
      <c r="E3" s="55" t="s">
        <v>60</v>
      </c>
      <c r="F3" s="55" t="s">
        <v>60</v>
      </c>
      <c r="G3" s="55" t="s">
        <v>60</v>
      </c>
      <c r="H3" s="55" t="s">
        <v>60</v>
      </c>
    </row>
    <row r="4" spans="1:10" x14ac:dyDescent="0.25">
      <c r="A4" s="2" t="s">
        <v>109</v>
      </c>
      <c r="B4" s="55">
        <f>'Emissão Transferências'!L16</f>
        <v>3.4021607762996292E-3</v>
      </c>
      <c r="C4" s="55">
        <f>'Emissão Transferências'!M16</f>
        <v>1.6091300968984733E-3</v>
      </c>
      <c r="D4" s="55">
        <f>'Emissão Transferências'!N16</f>
        <v>2.4366827181605453E-4</v>
      </c>
      <c r="E4" s="55" t="s">
        <v>60</v>
      </c>
      <c r="F4" s="55" t="s">
        <v>60</v>
      </c>
      <c r="G4" s="55" t="s">
        <v>60</v>
      </c>
      <c r="H4" s="55" t="s">
        <v>60</v>
      </c>
    </row>
    <row r="5" spans="1:10" x14ac:dyDescent="0.25">
      <c r="A5" s="2" t="s">
        <v>62</v>
      </c>
      <c r="B5" s="55">
        <f>'Emissão Maq e Equip'!M7</f>
        <v>4.3592163581138441E-3</v>
      </c>
      <c r="C5" s="55">
        <f>'Emissão Maq e Equip'!N7</f>
        <v>4.3592163581138441E-3</v>
      </c>
      <c r="D5" s="55">
        <f>'Emissão Maq e Equip'!O7</f>
        <v>4.3592163581138441E-3</v>
      </c>
      <c r="E5" s="55">
        <f>'Emissão Maq e Equip'!P7</f>
        <v>7.8523768206860106E-2</v>
      </c>
      <c r="F5" s="55">
        <f>'Emissão Maq e Equip'!Q7</f>
        <v>6.7824960985097101E-5</v>
      </c>
      <c r="G5" s="55">
        <f>'Emissão Maq e Equip'!R7</f>
        <v>3.6429604576235224E-2</v>
      </c>
      <c r="H5" s="55">
        <f>'Emissão Maq e Equip'!S7</f>
        <v>9.9758737426038149E-3</v>
      </c>
    </row>
    <row r="6" spans="1:10" x14ac:dyDescent="0.25">
      <c r="A6" s="2" t="s">
        <v>110</v>
      </c>
      <c r="B6" s="55">
        <v>4.0981961438995004E-2</v>
      </c>
      <c r="C6" s="55">
        <v>2.0490980719497502E-2</v>
      </c>
      <c r="D6" s="55">
        <v>3.0736471079246246E-3</v>
      </c>
      <c r="E6" s="55" t="s">
        <v>60</v>
      </c>
      <c r="F6" s="55" t="s">
        <v>60</v>
      </c>
      <c r="G6" s="55" t="s">
        <v>60</v>
      </c>
      <c r="H6" s="55" t="s">
        <v>60</v>
      </c>
    </row>
    <row r="7" spans="1:10" x14ac:dyDescent="0.25">
      <c r="A7" s="39" t="s">
        <v>102</v>
      </c>
      <c r="B7" s="43">
        <f>SUM(B3:B6)</f>
        <v>0.17936603531200979</v>
      </c>
      <c r="C7" s="43">
        <f>SUM(C3:C6)</f>
        <v>0.13748861940232096</v>
      </c>
      <c r="D7" s="43">
        <f>SUM(D3:D6)</f>
        <v>4.6863340759434921E-2</v>
      </c>
      <c r="E7" s="43">
        <f t="shared" ref="E7:H7" si="0">SUM(E3:E6)</f>
        <v>7.8523768206860106E-2</v>
      </c>
      <c r="F7" s="43">
        <f t="shared" si="0"/>
        <v>6.7824960985097101E-5</v>
      </c>
      <c r="G7" s="43">
        <f t="shared" si="0"/>
        <v>3.6429604576235224E-2</v>
      </c>
      <c r="H7" s="43">
        <f t="shared" si="0"/>
        <v>9.9758737426038149E-3</v>
      </c>
    </row>
    <row r="9" spans="1:10" x14ac:dyDescent="0.25">
      <c r="A9" s="2" t="s">
        <v>172</v>
      </c>
    </row>
    <row r="13" spans="1:10" x14ac:dyDescent="0.25">
      <c r="J13" t="s">
        <v>133</v>
      </c>
    </row>
  </sheetData>
  <sheetProtection password="B056" sheet="1" objects="1" scenarios="1"/>
  <mergeCells count="2">
    <mergeCell ref="A1:A2"/>
    <mergeCell ref="B1:H1"/>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dimension ref="A1:J23"/>
  <sheetViews>
    <sheetView workbookViewId="0">
      <selection activeCell="K6" sqref="K6"/>
    </sheetView>
  </sheetViews>
  <sheetFormatPr defaultRowHeight="15" x14ac:dyDescent="0.25"/>
  <cols>
    <col min="1" max="1" width="18.28515625" customWidth="1"/>
    <col min="5" max="5" width="25" bestFit="1" customWidth="1"/>
    <col min="6" max="6" width="20" bestFit="1" customWidth="1"/>
    <col min="7" max="7" width="15.140625" bestFit="1" customWidth="1"/>
    <col min="8" max="8" width="14.42578125" bestFit="1" customWidth="1"/>
    <col min="9" max="9" width="12.140625" bestFit="1" customWidth="1"/>
    <col min="10" max="10" width="21.7109375" bestFit="1" customWidth="1"/>
  </cols>
  <sheetData>
    <row r="1" spans="1:10" x14ac:dyDescent="0.25">
      <c r="A1" s="118" t="s">
        <v>17</v>
      </c>
      <c r="B1" s="119"/>
      <c r="C1" s="119"/>
      <c r="D1" s="119"/>
      <c r="E1" s="120"/>
    </row>
    <row r="2" spans="1:10" x14ac:dyDescent="0.25">
      <c r="A2" s="75" t="s">
        <v>16</v>
      </c>
      <c r="B2" s="78"/>
      <c r="C2" s="79"/>
      <c r="D2" s="79"/>
      <c r="E2" s="80"/>
    </row>
    <row r="3" spans="1:10" x14ac:dyDescent="0.25">
      <c r="A3" s="76"/>
      <c r="B3" s="81"/>
      <c r="C3" s="82"/>
      <c r="D3" s="82"/>
      <c r="E3" s="83"/>
    </row>
    <row r="4" spans="1:10" x14ac:dyDescent="0.25">
      <c r="A4" s="76"/>
      <c r="B4" s="84"/>
      <c r="C4" s="85"/>
      <c r="D4" s="85"/>
      <c r="E4" s="86"/>
    </row>
    <row r="5" spans="1:10" ht="15" customHeight="1" x14ac:dyDescent="0.25">
      <c r="A5" s="76"/>
      <c r="B5" s="87" t="s">
        <v>34</v>
      </c>
      <c r="C5" s="88"/>
      <c r="D5" s="88"/>
      <c r="E5" s="89"/>
    </row>
    <row r="6" spans="1:10" x14ac:dyDescent="0.25">
      <c r="A6" s="76"/>
      <c r="B6" s="90"/>
      <c r="C6" s="91"/>
      <c r="D6" s="91"/>
      <c r="E6" s="92"/>
    </row>
    <row r="7" spans="1:10" x14ac:dyDescent="0.25">
      <c r="A7" s="76"/>
      <c r="B7" s="90"/>
      <c r="C7" s="91"/>
      <c r="D7" s="91"/>
      <c r="E7" s="92"/>
    </row>
    <row r="8" spans="1:10" x14ac:dyDescent="0.25">
      <c r="A8" s="76"/>
      <c r="B8" s="90"/>
      <c r="C8" s="91"/>
      <c r="D8" s="91"/>
      <c r="E8" s="92"/>
    </row>
    <row r="9" spans="1:10" x14ac:dyDescent="0.25">
      <c r="A9" s="77"/>
      <c r="B9" s="93"/>
      <c r="C9" s="94"/>
      <c r="D9" s="94"/>
      <c r="E9" s="95"/>
    </row>
    <row r="12" spans="1:10" x14ac:dyDescent="0.25">
      <c r="A12" s="122" t="s">
        <v>35</v>
      </c>
      <c r="B12" s="122"/>
      <c r="C12" s="1"/>
      <c r="D12" s="1"/>
      <c r="E12" s="9" t="s">
        <v>33</v>
      </c>
      <c r="F12" s="9" t="s">
        <v>28</v>
      </c>
      <c r="G12" s="9" t="s">
        <v>32</v>
      </c>
      <c r="H12" s="9" t="s">
        <v>31</v>
      </c>
      <c r="I12" s="9" t="s">
        <v>29</v>
      </c>
      <c r="J12" s="9" t="s">
        <v>30</v>
      </c>
    </row>
    <row r="13" spans="1:10" x14ac:dyDescent="0.25">
      <c r="A13" s="2" t="s">
        <v>18</v>
      </c>
      <c r="B13" s="12">
        <v>46.005499999999998</v>
      </c>
      <c r="C13" s="1"/>
      <c r="D13" s="1"/>
      <c r="E13" s="2" t="s">
        <v>12</v>
      </c>
      <c r="F13" s="11" t="e">
        <f>#REF!</f>
        <v>#REF!</v>
      </c>
      <c r="G13" s="6" t="e">
        <f>#REF!</f>
        <v>#REF!</v>
      </c>
      <c r="H13" s="6" t="e">
        <f>G13+273.15</f>
        <v>#REF!</v>
      </c>
      <c r="I13" s="121">
        <v>1</v>
      </c>
      <c r="J13" s="12" t="e">
        <f>F13*0.04087*$B$15*(($I$13/1)*(298.15/H13))</f>
        <v>#REF!</v>
      </c>
    </row>
    <row r="14" spans="1:10" x14ac:dyDescent="0.25">
      <c r="A14" s="2" t="s">
        <v>19</v>
      </c>
      <c r="B14" s="12">
        <v>30.01</v>
      </c>
      <c r="C14" s="1"/>
      <c r="D14" s="1"/>
      <c r="E14" s="2" t="s">
        <v>13</v>
      </c>
      <c r="F14" s="11" t="e">
        <f>#REF!</f>
        <v>#REF!</v>
      </c>
      <c r="G14" s="6" t="e">
        <f>#REF!</f>
        <v>#REF!</v>
      </c>
      <c r="H14" s="6" t="e">
        <f t="shared" ref="H14:H21" si="0">G14+273.15</f>
        <v>#REF!</v>
      </c>
      <c r="I14" s="121"/>
      <c r="J14" s="12" t="e">
        <f t="shared" ref="J14:J21" si="1">F14*0.04087*$B$15*(($I$13/1)*(298.15/H14))</f>
        <v>#REF!</v>
      </c>
    </row>
    <row r="15" spans="1:10" x14ac:dyDescent="0.25">
      <c r="A15" s="2" t="s">
        <v>4</v>
      </c>
      <c r="B15" s="12">
        <v>28.01</v>
      </c>
      <c r="C15" s="1"/>
      <c r="D15" s="1"/>
      <c r="E15" s="2" t="s">
        <v>9</v>
      </c>
      <c r="F15" s="11" t="e">
        <f>#REF!</f>
        <v>#REF!</v>
      </c>
      <c r="G15" s="6" t="e">
        <f>#REF!</f>
        <v>#REF!</v>
      </c>
      <c r="H15" s="6" t="e">
        <f t="shared" si="0"/>
        <v>#REF!</v>
      </c>
      <c r="I15" s="121"/>
      <c r="J15" s="12" t="e">
        <f t="shared" si="1"/>
        <v>#REF!</v>
      </c>
    </row>
    <row r="16" spans="1:10" x14ac:dyDescent="0.25">
      <c r="A16" s="2" t="s">
        <v>20</v>
      </c>
      <c r="B16" s="12">
        <v>48</v>
      </c>
      <c r="C16" s="1"/>
      <c r="D16" s="1"/>
      <c r="E16" s="2" t="s">
        <v>8</v>
      </c>
      <c r="F16" s="11" t="e">
        <f>#REF!</f>
        <v>#REF!</v>
      </c>
      <c r="G16" s="6" t="e">
        <f>#REF!</f>
        <v>#REF!</v>
      </c>
      <c r="H16" s="6" t="e">
        <f t="shared" si="0"/>
        <v>#REF!</v>
      </c>
      <c r="I16" s="121"/>
      <c r="J16" s="12" t="e">
        <f t="shared" si="1"/>
        <v>#REF!</v>
      </c>
    </row>
    <row r="17" spans="1:10" x14ac:dyDescent="0.25">
      <c r="A17" s="2" t="s">
        <v>21</v>
      </c>
      <c r="B17" s="12">
        <v>34.1</v>
      </c>
      <c r="C17" s="1"/>
      <c r="D17" s="1"/>
      <c r="E17" s="2" t="s">
        <v>10</v>
      </c>
      <c r="F17" s="11" t="e">
        <f>#REF!</f>
        <v>#REF!</v>
      </c>
      <c r="G17" s="6" t="e">
        <f>#REF!</f>
        <v>#REF!</v>
      </c>
      <c r="H17" s="6" t="e">
        <f t="shared" si="0"/>
        <v>#REF!</v>
      </c>
      <c r="I17" s="121"/>
      <c r="J17" s="12" t="e">
        <f t="shared" si="1"/>
        <v>#REF!</v>
      </c>
    </row>
    <row r="18" spans="1:10" x14ac:dyDescent="0.25">
      <c r="A18" s="2" t="s">
        <v>22</v>
      </c>
      <c r="B18" s="12">
        <v>64.066000000000003</v>
      </c>
      <c r="C18" s="1"/>
      <c r="D18" s="1"/>
      <c r="E18" s="2" t="s">
        <v>11</v>
      </c>
      <c r="F18" s="11" t="e">
        <f>#REF!</f>
        <v>#REF!</v>
      </c>
      <c r="G18" s="6" t="e">
        <f>#REF!</f>
        <v>#REF!</v>
      </c>
      <c r="H18" s="6" t="e">
        <f t="shared" si="0"/>
        <v>#REF!</v>
      </c>
      <c r="I18" s="121"/>
      <c r="J18" s="12" t="e">
        <f t="shared" si="1"/>
        <v>#REF!</v>
      </c>
    </row>
    <row r="19" spans="1:10" x14ac:dyDescent="0.25">
      <c r="A19" s="2" t="s">
        <v>23</v>
      </c>
      <c r="B19" s="12">
        <v>36.46</v>
      </c>
      <c r="C19" s="1"/>
      <c r="D19" s="1"/>
      <c r="E19" s="3" t="s">
        <v>7</v>
      </c>
      <c r="F19" s="11" t="e">
        <f>#REF!</f>
        <v>#REF!</v>
      </c>
      <c r="G19" s="6" t="e">
        <f>#REF!</f>
        <v>#REF!</v>
      </c>
      <c r="H19" s="6" t="e">
        <f t="shared" si="0"/>
        <v>#REF!</v>
      </c>
      <c r="I19" s="121"/>
      <c r="J19" s="12" t="e">
        <f t="shared" si="1"/>
        <v>#REF!</v>
      </c>
    </row>
    <row r="20" spans="1:10" x14ac:dyDescent="0.25">
      <c r="A20" s="2" t="s">
        <v>24</v>
      </c>
      <c r="B20" s="12">
        <v>20.0063</v>
      </c>
      <c r="C20" s="1"/>
      <c r="D20" s="1"/>
      <c r="E20" s="2" t="s">
        <v>14</v>
      </c>
      <c r="F20" s="11" t="e">
        <f>#REF!</f>
        <v>#REF!</v>
      </c>
      <c r="G20" s="6" t="e">
        <f>#REF!</f>
        <v>#REF!</v>
      </c>
      <c r="H20" s="6" t="e">
        <f t="shared" si="0"/>
        <v>#REF!</v>
      </c>
      <c r="I20" s="121"/>
      <c r="J20" s="12" t="e">
        <f t="shared" si="1"/>
        <v>#REF!</v>
      </c>
    </row>
    <row r="21" spans="1:10" x14ac:dyDescent="0.25">
      <c r="A21" s="2" t="s">
        <v>25</v>
      </c>
      <c r="B21" s="12">
        <v>44.1</v>
      </c>
      <c r="C21" s="1"/>
      <c r="D21" s="1"/>
      <c r="E21" s="2" t="s">
        <v>15</v>
      </c>
      <c r="F21" s="11" t="e">
        <f>#REF!</f>
        <v>#REF!</v>
      </c>
      <c r="G21" s="6" t="e">
        <f>#REF!</f>
        <v>#REF!</v>
      </c>
      <c r="H21" s="6" t="e">
        <f t="shared" si="0"/>
        <v>#REF!</v>
      </c>
      <c r="I21" s="121"/>
      <c r="J21" s="12" t="e">
        <f t="shared" si="1"/>
        <v>#REF!</v>
      </c>
    </row>
    <row r="22" spans="1:10" x14ac:dyDescent="0.25">
      <c r="A22" s="2" t="s">
        <v>26</v>
      </c>
      <c r="B22" s="12">
        <v>78.11</v>
      </c>
      <c r="C22" s="1"/>
      <c r="D22" s="1"/>
      <c r="E22" s="1"/>
      <c r="F22" s="1"/>
      <c r="G22" s="1"/>
      <c r="H22" s="1"/>
      <c r="I22" s="1"/>
    </row>
    <row r="23" spans="1:10" x14ac:dyDescent="0.25">
      <c r="A23" s="2" t="s">
        <v>27</v>
      </c>
      <c r="B23" s="12">
        <v>44.01</v>
      </c>
      <c r="C23" s="1"/>
      <c r="D23" s="1"/>
      <c r="E23" s="1"/>
      <c r="F23" s="1"/>
      <c r="G23" s="1"/>
      <c r="H23" s="1"/>
      <c r="I23" s="1"/>
    </row>
  </sheetData>
  <mergeCells count="6">
    <mergeCell ref="A1:E1"/>
    <mergeCell ref="I13:I21"/>
    <mergeCell ref="A2:A9"/>
    <mergeCell ref="B2:E4"/>
    <mergeCell ref="B5:E9"/>
    <mergeCell ref="A12:B12"/>
  </mergeCells>
  <pageMargins left="0.511811024" right="0.511811024" top="0.78740157499999996" bottom="0.78740157499999996" header="0.31496062000000002" footer="0.31496062000000002"/>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2</vt:i4>
      </vt:variant>
    </vt:vector>
  </HeadingPairs>
  <TitlesOfParts>
    <vt:vector size="11" baseType="lpstr">
      <vt:lpstr>FE-Transferências</vt:lpstr>
      <vt:lpstr>FE-Maq e Equip</vt:lpstr>
      <vt:lpstr>Dados</vt:lpstr>
      <vt:lpstr>Emissão Chaminé</vt:lpstr>
      <vt:lpstr>Emissão Maq e Equip</vt:lpstr>
      <vt:lpstr>Emissão Transferências</vt:lpstr>
      <vt:lpstr>Emissão Vias</vt:lpstr>
      <vt:lpstr>Resumo</vt:lpstr>
      <vt:lpstr>ppm to mg.m-3</vt:lpstr>
      <vt:lpstr>FE_Maq_Equip</vt:lpstr>
      <vt:lpstr>Pot_Equip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Andrielly Moutinho Knupp</dc:creator>
  <cp:lastModifiedBy>Vanessa Brusco Filete</cp:lastModifiedBy>
  <dcterms:created xsi:type="dcterms:W3CDTF">2016-12-13T12:13:55Z</dcterms:created>
  <dcterms:modified xsi:type="dcterms:W3CDTF">2019-06-06T18:58:39Z</dcterms:modified>
</cp:coreProperties>
</file>