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Projecten\M240112 ECG vanaf 2024\05 AB (Ad hoc en Beleidsondersteuning)\2. Uitvoering\2.3 Resultaten\Cnossos_gezondheidseffecten\def\"/>
    </mc:Choice>
  </mc:AlternateContent>
  <xr:revisionPtr revIDLastSave="0" documentId="13_ncr:1_{CCEF87FA-7A65-4A4C-8A71-43D565DDD1C1}" xr6:coauthVersionLast="47" xr6:coauthVersionMax="47" xr10:uidLastSave="{00000000-0000-0000-0000-000000000000}"/>
  <bookViews>
    <workbookView xWindow="-120" yWindow="-120" windowWidth="29040" windowHeight="15840" tabRatio="679" xr2:uid="{34ECDF10-A76E-49E9-80BF-062259A53317}"/>
  </bookViews>
  <sheets>
    <sheet name="Samenvatting_resultaten" sheetId="12" r:id="rId1"/>
    <sheet name="Invullen_1dBklasse" sheetId="11" r:id="rId2"/>
    <sheet name="Wegverkeer hinder" sheetId="1" r:id="rId3"/>
    <sheet name="Wegverkeer slaapverstoring" sheetId="3" r:id="rId4"/>
    <sheet name="Wegverkeer IHZ" sheetId="4" r:id="rId5"/>
    <sheet name="Railverkeer hinder" sheetId="6" r:id="rId6"/>
    <sheet name="Railverkeer slaapverstoring" sheetId="7" r:id="rId7"/>
    <sheet name="Hinder vliegverkeer" sheetId="8" r:id="rId8"/>
    <sheet name="Slaapverstoring vliegverkeer" sheetId="9" r:id="rId9"/>
    <sheet name="Bevolkingsgegevens" sheetId="2" r:id="rId10"/>
    <sheet name="coronaire hartziekten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1" l="1"/>
  <c r="I10" i="11"/>
  <c r="L10" i="11"/>
  <c r="K10" i="11"/>
  <c r="M10" i="11"/>
  <c r="E10" i="11"/>
  <c r="D10" i="11"/>
  <c r="E16" i="12" l="1"/>
  <c r="D16" i="12"/>
  <c r="C16" i="12"/>
  <c r="E13" i="12"/>
  <c r="D13" i="12"/>
  <c r="C13" i="12"/>
  <c r="D12" i="12"/>
  <c r="C12" i="12"/>
  <c r="C15" i="12" l="1"/>
  <c r="E5" i="1"/>
  <c r="F5" i="1" s="1"/>
  <c r="H5" i="1" s="1"/>
  <c r="G45" i="6"/>
  <c r="F45" i="6"/>
  <c r="H45" i="6" s="1"/>
  <c r="E45" i="6"/>
  <c r="E6" i="6"/>
  <c r="F6" i="6" s="1"/>
  <c r="H6" i="6" s="1"/>
  <c r="E5" i="6"/>
  <c r="E46" i="6" s="1"/>
  <c r="G6" i="6"/>
  <c r="E7" i="6"/>
  <c r="F7" i="6" s="1"/>
  <c r="H7" i="6" s="1"/>
  <c r="G7" i="6"/>
  <c r="E8" i="6"/>
  <c r="F8" i="6" s="1"/>
  <c r="G8" i="6"/>
  <c r="E9" i="6"/>
  <c r="F9" i="6"/>
  <c r="G9" i="6"/>
  <c r="E10" i="6"/>
  <c r="F10" i="6"/>
  <c r="G10" i="6"/>
  <c r="E11" i="6"/>
  <c r="F11" i="6" s="1"/>
  <c r="G11" i="6"/>
  <c r="E12" i="6"/>
  <c r="F12" i="6"/>
  <c r="G12" i="6"/>
  <c r="E13" i="6"/>
  <c r="F13" i="6"/>
  <c r="G13" i="6"/>
  <c r="E14" i="6"/>
  <c r="F14" i="6" s="1"/>
  <c r="G14" i="6"/>
  <c r="E15" i="6"/>
  <c r="F15" i="6" s="1"/>
  <c r="G15" i="6"/>
  <c r="E16" i="6"/>
  <c r="F16" i="6" s="1"/>
  <c r="G16" i="6"/>
  <c r="E17" i="6"/>
  <c r="F17" i="6" s="1"/>
  <c r="G17" i="6"/>
  <c r="E18" i="6"/>
  <c r="F18" i="6"/>
  <c r="G18" i="6"/>
  <c r="E19" i="6"/>
  <c r="F19" i="6"/>
  <c r="G19" i="6"/>
  <c r="E20" i="6"/>
  <c r="F20" i="6" s="1"/>
  <c r="G20" i="6"/>
  <c r="E21" i="6"/>
  <c r="N5" i="6" s="1"/>
  <c r="F21" i="6"/>
  <c r="G21" i="6"/>
  <c r="E22" i="6"/>
  <c r="F22" i="6"/>
  <c r="G22" i="6"/>
  <c r="E23" i="6"/>
  <c r="F23" i="6" s="1"/>
  <c r="G23" i="6"/>
  <c r="E24" i="6"/>
  <c r="F24" i="6" s="1"/>
  <c r="G24" i="6"/>
  <c r="E25" i="6"/>
  <c r="F25" i="6" s="1"/>
  <c r="G25" i="6"/>
  <c r="E26" i="6"/>
  <c r="F26" i="6" s="1"/>
  <c r="G26" i="6"/>
  <c r="E27" i="6"/>
  <c r="F27" i="6"/>
  <c r="G27" i="6"/>
  <c r="E28" i="6"/>
  <c r="F28" i="6"/>
  <c r="G28" i="6"/>
  <c r="E29" i="6"/>
  <c r="F29" i="6" s="1"/>
  <c r="G29" i="6"/>
  <c r="E30" i="6"/>
  <c r="F30" i="6"/>
  <c r="G30" i="6"/>
  <c r="E31" i="6"/>
  <c r="F31" i="6"/>
  <c r="G31" i="6"/>
  <c r="E32" i="6"/>
  <c r="F32" i="6" s="1"/>
  <c r="G32" i="6"/>
  <c r="E33" i="6"/>
  <c r="F33" i="6" s="1"/>
  <c r="G33" i="6"/>
  <c r="E34" i="6"/>
  <c r="F34" i="6" s="1"/>
  <c r="G34" i="6"/>
  <c r="E35" i="6"/>
  <c r="F35" i="6" s="1"/>
  <c r="G35" i="6"/>
  <c r="E36" i="6"/>
  <c r="F36" i="6"/>
  <c r="G36" i="6"/>
  <c r="E37" i="6"/>
  <c r="F37" i="6"/>
  <c r="G37" i="6"/>
  <c r="E38" i="6"/>
  <c r="F38" i="6" s="1"/>
  <c r="G38" i="6"/>
  <c r="E39" i="6"/>
  <c r="F39" i="6"/>
  <c r="G39" i="6"/>
  <c r="E40" i="6"/>
  <c r="F40" i="6"/>
  <c r="G40" i="6"/>
  <c r="E41" i="6"/>
  <c r="F41" i="6" s="1"/>
  <c r="G41" i="6"/>
  <c r="E42" i="6"/>
  <c r="F42" i="6" s="1"/>
  <c r="G42" i="6"/>
  <c r="E43" i="6"/>
  <c r="F43" i="6" s="1"/>
  <c r="G43" i="6"/>
  <c r="E44" i="6"/>
  <c r="F44" i="6" s="1"/>
  <c r="G44" i="6"/>
  <c r="D15" i="12"/>
  <c r="F10" i="11"/>
  <c r="E12" i="12" s="1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6" i="8"/>
  <c r="E5" i="7" l="1"/>
  <c r="F5" i="7" s="1"/>
  <c r="H5" i="7" s="1"/>
  <c r="E5" i="9"/>
  <c r="F5" i="9" s="1"/>
  <c r="E15" i="12"/>
  <c r="E5" i="3"/>
  <c r="F5" i="3" s="1"/>
  <c r="H5" i="3" s="1"/>
  <c r="E5" i="8"/>
  <c r="F5" i="8" s="1"/>
  <c r="H5" i="8" s="1"/>
  <c r="N5" i="8"/>
  <c r="H10" i="6"/>
  <c r="H9" i="6"/>
  <c r="H8" i="6"/>
  <c r="H12" i="6"/>
  <c r="H11" i="6"/>
  <c r="H43" i="6"/>
  <c r="H42" i="6"/>
  <c r="H41" i="6"/>
  <c r="H34" i="6"/>
  <c r="H33" i="6"/>
  <c r="H32" i="6"/>
  <c r="H25" i="6"/>
  <c r="H24" i="6"/>
  <c r="H23" i="6"/>
  <c r="H16" i="6"/>
  <c r="H15" i="6"/>
  <c r="H14" i="6"/>
  <c r="H44" i="6"/>
  <c r="H37" i="6"/>
  <c r="H36" i="6"/>
  <c r="H35" i="6"/>
  <c r="H28" i="6"/>
  <c r="H27" i="6"/>
  <c r="H26" i="6"/>
  <c r="H19" i="6"/>
  <c r="H18" i="6"/>
  <c r="H17" i="6"/>
  <c r="H40" i="6"/>
  <c r="H39" i="6"/>
  <c r="H38" i="6"/>
  <c r="H31" i="6"/>
  <c r="H30" i="6"/>
  <c r="H29" i="6"/>
  <c r="H22" i="6"/>
  <c r="H21" i="6"/>
  <c r="H20" i="6"/>
  <c r="H13" i="6"/>
  <c r="M6" i="4"/>
  <c r="E7" i="9"/>
  <c r="F7" i="9" s="1"/>
  <c r="E8" i="9"/>
  <c r="F8" i="9" s="1"/>
  <c r="E9" i="9"/>
  <c r="F9" i="9" s="1"/>
  <c r="E10" i="9"/>
  <c r="F10" i="9" s="1"/>
  <c r="E11" i="9"/>
  <c r="F11" i="9" s="1"/>
  <c r="E12" i="9"/>
  <c r="F12" i="9" s="1"/>
  <c r="E13" i="9"/>
  <c r="F13" i="9" s="1"/>
  <c r="E14" i="9"/>
  <c r="F14" i="9" s="1"/>
  <c r="E15" i="9"/>
  <c r="F15" i="9" s="1"/>
  <c r="E16" i="9"/>
  <c r="F16" i="9" s="1"/>
  <c r="E17" i="9"/>
  <c r="F17" i="9" s="1"/>
  <c r="E18" i="9"/>
  <c r="F18" i="9" s="1"/>
  <c r="E19" i="9"/>
  <c r="F19" i="9" s="1"/>
  <c r="E20" i="9"/>
  <c r="F20" i="9" s="1"/>
  <c r="E21" i="9"/>
  <c r="E22" i="9"/>
  <c r="F22" i="9" s="1"/>
  <c r="E23" i="9"/>
  <c r="F23" i="9" s="1"/>
  <c r="E24" i="9"/>
  <c r="F24" i="9" s="1"/>
  <c r="E25" i="9"/>
  <c r="F25" i="9" s="1"/>
  <c r="E26" i="9"/>
  <c r="F26" i="9" s="1"/>
  <c r="E27" i="9"/>
  <c r="F27" i="9" s="1"/>
  <c r="E28" i="9"/>
  <c r="F28" i="9" s="1"/>
  <c r="E29" i="9"/>
  <c r="F29" i="9" s="1"/>
  <c r="E30" i="9"/>
  <c r="F30" i="9" s="1"/>
  <c r="E31" i="9"/>
  <c r="F31" i="9" s="1"/>
  <c r="E32" i="9"/>
  <c r="F32" i="9" s="1"/>
  <c r="E33" i="9"/>
  <c r="F33" i="9" s="1"/>
  <c r="E34" i="9"/>
  <c r="F34" i="9" s="1"/>
  <c r="E35" i="9"/>
  <c r="F35" i="9" s="1"/>
  <c r="E36" i="9"/>
  <c r="F36" i="9" s="1"/>
  <c r="E37" i="9"/>
  <c r="F37" i="9" s="1"/>
  <c r="E38" i="9"/>
  <c r="F38" i="9" s="1"/>
  <c r="E39" i="9"/>
  <c r="F39" i="9" s="1"/>
  <c r="E40" i="9"/>
  <c r="F40" i="9" s="1"/>
  <c r="E6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31" i="3"/>
  <c r="G32" i="3"/>
  <c r="G33" i="3"/>
  <c r="G34" i="3"/>
  <c r="G35" i="3"/>
  <c r="G36" i="3"/>
  <c r="G37" i="3"/>
  <c r="G38" i="3"/>
  <c r="G39" i="3"/>
  <c r="G40" i="3"/>
  <c r="G43" i="1"/>
  <c r="G44" i="1"/>
  <c r="G45" i="1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E6" i="7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H13" i="7" s="1"/>
  <c r="E14" i="7"/>
  <c r="F14" i="7" s="1"/>
  <c r="E15" i="7"/>
  <c r="F15" i="7" s="1"/>
  <c r="E16" i="7"/>
  <c r="E17" i="7"/>
  <c r="F17" i="7" s="1"/>
  <c r="E18" i="7"/>
  <c r="E19" i="7"/>
  <c r="F19" i="7" s="1"/>
  <c r="H19" i="7" s="1"/>
  <c r="E20" i="7"/>
  <c r="F20" i="7" s="1"/>
  <c r="E21" i="7"/>
  <c r="F21" i="7" s="1"/>
  <c r="E22" i="7"/>
  <c r="F22" i="7" s="1"/>
  <c r="E23" i="7"/>
  <c r="F23" i="7" s="1"/>
  <c r="E24" i="7"/>
  <c r="F24" i="7" s="1"/>
  <c r="E25" i="7"/>
  <c r="F25" i="7" s="1"/>
  <c r="E26" i="7"/>
  <c r="F26" i="7" s="1"/>
  <c r="E27" i="7"/>
  <c r="F27" i="7" s="1"/>
  <c r="E28" i="7"/>
  <c r="F28" i="7" s="1"/>
  <c r="E29" i="7"/>
  <c r="F29" i="7" s="1"/>
  <c r="E30" i="7"/>
  <c r="F30" i="7" s="1"/>
  <c r="E31" i="7"/>
  <c r="F31" i="7" s="1"/>
  <c r="E32" i="7"/>
  <c r="F32" i="7" s="1"/>
  <c r="E33" i="7"/>
  <c r="F33" i="7" s="1"/>
  <c r="E34" i="7"/>
  <c r="F34" i="7" s="1"/>
  <c r="E35" i="7"/>
  <c r="F35" i="7" s="1"/>
  <c r="E36" i="7"/>
  <c r="F36" i="7" s="1"/>
  <c r="E37" i="7"/>
  <c r="F37" i="7" s="1"/>
  <c r="H37" i="7" s="1"/>
  <c r="E38" i="7"/>
  <c r="F38" i="7" s="1"/>
  <c r="E39" i="7"/>
  <c r="F39" i="7" s="1"/>
  <c r="E40" i="7"/>
  <c r="F40" i="7" s="1"/>
  <c r="H40" i="7" s="1"/>
  <c r="F18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F5" i="6"/>
  <c r="F46" i="6" s="1"/>
  <c r="E41" i="8" l="1"/>
  <c r="F41" i="8"/>
  <c r="F16" i="7"/>
  <c r="N5" i="7"/>
  <c r="F6" i="7"/>
  <c r="F41" i="7" s="1"/>
  <c r="E41" i="7"/>
  <c r="N7" i="6"/>
  <c r="D4" i="12" s="1"/>
  <c r="N5" i="9"/>
  <c r="E41" i="9"/>
  <c r="F21" i="9"/>
  <c r="H40" i="9"/>
  <c r="H37" i="9"/>
  <c r="H34" i="9"/>
  <c r="H31" i="9"/>
  <c r="H28" i="9"/>
  <c r="H25" i="9"/>
  <c r="H22" i="9"/>
  <c r="H19" i="9"/>
  <c r="H16" i="9"/>
  <c r="H13" i="9"/>
  <c r="H10" i="9"/>
  <c r="H7" i="9"/>
  <c r="H39" i="9"/>
  <c r="H36" i="9"/>
  <c r="H33" i="9"/>
  <c r="H30" i="9"/>
  <c r="H27" i="9"/>
  <c r="H24" i="9"/>
  <c r="H21" i="9"/>
  <c r="H18" i="9"/>
  <c r="H15" i="9"/>
  <c r="H12" i="9"/>
  <c r="H38" i="9"/>
  <c r="H35" i="9"/>
  <c r="H32" i="9"/>
  <c r="H29" i="9"/>
  <c r="H26" i="9"/>
  <c r="H23" i="9"/>
  <c r="H20" i="9"/>
  <c r="H17" i="9"/>
  <c r="H14" i="9"/>
  <c r="H11" i="9"/>
  <c r="H8" i="9"/>
  <c r="H24" i="8"/>
  <c r="H21" i="8"/>
  <c r="H18" i="8"/>
  <c r="H15" i="8"/>
  <c r="H12" i="8"/>
  <c r="H9" i="8"/>
  <c r="H6" i="8"/>
  <c r="F6" i="9"/>
  <c r="H6" i="9" s="1"/>
  <c r="H41" i="9" s="1"/>
  <c r="H9" i="9"/>
  <c r="H36" i="8"/>
  <c r="H30" i="8"/>
  <c r="H38" i="8"/>
  <c r="H35" i="8"/>
  <c r="H32" i="8"/>
  <c r="H29" i="8"/>
  <c r="H26" i="8"/>
  <c r="H23" i="8"/>
  <c r="H20" i="8"/>
  <c r="H17" i="8"/>
  <c r="H14" i="8"/>
  <c r="H11" i="8"/>
  <c r="H8" i="8"/>
  <c r="H39" i="8"/>
  <c r="H33" i="8"/>
  <c r="H27" i="8"/>
  <c r="H40" i="8"/>
  <c r="H37" i="8"/>
  <c r="H34" i="8"/>
  <c r="H31" i="8"/>
  <c r="H28" i="8"/>
  <c r="H25" i="8"/>
  <c r="H22" i="8"/>
  <c r="H19" i="8"/>
  <c r="H16" i="8"/>
  <c r="H13" i="8"/>
  <c r="H10" i="8"/>
  <c r="H7" i="8"/>
  <c r="H38" i="7"/>
  <c r="H35" i="7"/>
  <c r="H32" i="7"/>
  <c r="H29" i="7"/>
  <c r="H26" i="7"/>
  <c r="H23" i="7"/>
  <c r="H20" i="7"/>
  <c r="H28" i="7"/>
  <c r="H14" i="7"/>
  <c r="H34" i="7"/>
  <c r="H25" i="7"/>
  <c r="H18" i="7"/>
  <c r="H10" i="7"/>
  <c r="H17" i="7"/>
  <c r="H11" i="7"/>
  <c r="H8" i="7"/>
  <c r="H31" i="7"/>
  <c r="H22" i="7"/>
  <c r="H16" i="7"/>
  <c r="H7" i="7"/>
  <c r="H39" i="7"/>
  <c r="H36" i="7"/>
  <c r="H33" i="7"/>
  <c r="H30" i="7"/>
  <c r="H27" i="7"/>
  <c r="H24" i="7"/>
  <c r="H21" i="7"/>
  <c r="H15" i="7"/>
  <c r="H12" i="7"/>
  <c r="H9" i="7"/>
  <c r="H6" i="7"/>
  <c r="H5" i="6"/>
  <c r="H41" i="8" l="1"/>
  <c r="N6" i="8"/>
  <c r="E5" i="12" s="1"/>
  <c r="N7" i="9"/>
  <c r="E9" i="12" s="1"/>
  <c r="N6" i="7"/>
  <c r="D10" i="12" s="1"/>
  <c r="H41" i="7"/>
  <c r="F41" i="9"/>
  <c r="H46" i="6"/>
  <c r="N6" i="6"/>
  <c r="D5" i="12" s="1"/>
  <c r="N7" i="7"/>
  <c r="D9" i="12" s="1"/>
  <c r="N7" i="8"/>
  <c r="E4" i="12" s="1"/>
  <c r="E8" i="4" l="1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7" i="4"/>
  <c r="E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E6" i="3"/>
  <c r="E7" i="3"/>
  <c r="F7" i="3" s="1"/>
  <c r="E8" i="3"/>
  <c r="E9" i="3"/>
  <c r="F9" i="3" s="1"/>
  <c r="E10" i="3"/>
  <c r="F10" i="3" s="1"/>
  <c r="E11" i="3"/>
  <c r="E12" i="3"/>
  <c r="F12" i="3" s="1"/>
  <c r="E13" i="3"/>
  <c r="F13" i="3" s="1"/>
  <c r="E14" i="3"/>
  <c r="E15" i="3"/>
  <c r="F15" i="3" s="1"/>
  <c r="E16" i="3"/>
  <c r="E17" i="3"/>
  <c r="E18" i="3"/>
  <c r="F18" i="3" s="1"/>
  <c r="E19" i="3"/>
  <c r="F19" i="3" s="1"/>
  <c r="E20" i="3"/>
  <c r="E21" i="3"/>
  <c r="F21" i="3" s="1"/>
  <c r="E22" i="3"/>
  <c r="F22" i="3" s="1"/>
  <c r="E23" i="3"/>
  <c r="E24" i="3"/>
  <c r="F24" i="3" s="1"/>
  <c r="E25" i="3"/>
  <c r="F25" i="3" s="1"/>
  <c r="E26" i="3"/>
  <c r="E27" i="3"/>
  <c r="F27" i="3" s="1"/>
  <c r="E28" i="3"/>
  <c r="F28" i="3" s="1"/>
  <c r="E29" i="3"/>
  <c r="E30" i="3"/>
  <c r="F30" i="3" s="1"/>
  <c r="E31" i="3"/>
  <c r="F31" i="3" s="1"/>
  <c r="H31" i="3" s="1"/>
  <c r="E32" i="3"/>
  <c r="E33" i="3"/>
  <c r="F33" i="3" s="1"/>
  <c r="H33" i="3" s="1"/>
  <c r="E34" i="3"/>
  <c r="F34" i="3" s="1"/>
  <c r="H34" i="3" s="1"/>
  <c r="E35" i="3"/>
  <c r="E36" i="3"/>
  <c r="F36" i="3" s="1"/>
  <c r="E37" i="3"/>
  <c r="F37" i="3" s="1"/>
  <c r="H37" i="3" s="1"/>
  <c r="E38" i="3"/>
  <c r="E39" i="3"/>
  <c r="F39" i="3" s="1"/>
  <c r="E40" i="3"/>
  <c r="F40" i="3" s="1"/>
  <c r="H40" i="3" s="1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E6" i="1"/>
  <c r="E7" i="1"/>
  <c r="F7" i="1" s="1"/>
  <c r="E8" i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J17" i="1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I17" i="1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M7" i="4" l="1"/>
  <c r="E41" i="3"/>
  <c r="G25" i="4"/>
  <c r="G16" i="4"/>
  <c r="G13" i="4"/>
  <c r="G10" i="4"/>
  <c r="H15" i="3"/>
  <c r="H24" i="3"/>
  <c r="H28" i="3"/>
  <c r="H25" i="3"/>
  <c r="F16" i="3"/>
  <c r="H16" i="3" s="1"/>
  <c r="N5" i="3"/>
  <c r="F21" i="1"/>
  <c r="N5" i="1"/>
  <c r="G32" i="4"/>
  <c r="G29" i="4"/>
  <c r="G26" i="4"/>
  <c r="G23" i="4"/>
  <c r="G20" i="4"/>
  <c r="G17" i="4"/>
  <c r="G8" i="4"/>
  <c r="F6" i="3"/>
  <c r="F6" i="1"/>
  <c r="E46" i="1"/>
  <c r="H22" i="3"/>
  <c r="H19" i="3"/>
  <c r="H7" i="3"/>
  <c r="H13" i="3"/>
  <c r="H10" i="3"/>
  <c r="H39" i="3"/>
  <c r="H36" i="3"/>
  <c r="H30" i="3"/>
  <c r="H27" i="3"/>
  <c r="H21" i="3"/>
  <c r="H18" i="3"/>
  <c r="H12" i="3"/>
  <c r="H9" i="3"/>
  <c r="G31" i="4"/>
  <c r="G22" i="4"/>
  <c r="G7" i="4"/>
  <c r="G33" i="4"/>
  <c r="G30" i="4"/>
  <c r="G27" i="4"/>
  <c r="G24" i="4"/>
  <c r="G21" i="4"/>
  <c r="G18" i="4"/>
  <c r="G9" i="4"/>
  <c r="G28" i="4"/>
  <c r="G19" i="4"/>
  <c r="F38" i="3"/>
  <c r="H38" i="3" s="1"/>
  <c r="F35" i="3"/>
  <c r="H35" i="3" s="1"/>
  <c r="F32" i="3"/>
  <c r="H32" i="3" s="1"/>
  <c r="F29" i="3"/>
  <c r="H29" i="3" s="1"/>
  <c r="F26" i="3"/>
  <c r="H26" i="3" s="1"/>
  <c r="F23" i="3"/>
  <c r="H23" i="3" s="1"/>
  <c r="F20" i="3"/>
  <c r="H20" i="3" s="1"/>
  <c r="F17" i="3"/>
  <c r="H17" i="3" s="1"/>
  <c r="F14" i="3"/>
  <c r="H14" i="3" s="1"/>
  <c r="F11" i="3"/>
  <c r="H11" i="3" s="1"/>
  <c r="F8" i="3"/>
  <c r="H8" i="3" s="1"/>
  <c r="E6" i="4"/>
  <c r="G6" i="4" s="1"/>
  <c r="G15" i="4"/>
  <c r="G12" i="4"/>
  <c r="F8" i="1"/>
  <c r="H8" i="1" s="1"/>
  <c r="G14" i="4"/>
  <c r="G11" i="4"/>
  <c r="H11" i="1"/>
  <c r="H14" i="1"/>
  <c r="H17" i="1"/>
  <c r="H20" i="1"/>
  <c r="H23" i="1"/>
  <c r="H26" i="1"/>
  <c r="H29" i="1"/>
  <c r="H32" i="1"/>
  <c r="H35" i="1"/>
  <c r="H38" i="1"/>
  <c r="H41" i="1"/>
  <c r="H44" i="1"/>
  <c r="H7" i="1"/>
  <c r="H10" i="1"/>
  <c r="H13" i="1"/>
  <c r="H16" i="1"/>
  <c r="H19" i="1"/>
  <c r="H22" i="1"/>
  <c r="H25" i="1"/>
  <c r="H28" i="1"/>
  <c r="H31" i="1"/>
  <c r="H34" i="1"/>
  <c r="H37" i="1"/>
  <c r="H40" i="1"/>
  <c r="H43" i="1"/>
  <c r="H6" i="1"/>
  <c r="H9" i="1"/>
  <c r="H12" i="1"/>
  <c r="H15" i="1"/>
  <c r="H18" i="1"/>
  <c r="H21" i="1"/>
  <c r="H24" i="1"/>
  <c r="H27" i="1"/>
  <c r="H30" i="1"/>
  <c r="H33" i="1"/>
  <c r="H36" i="1"/>
  <c r="H39" i="1"/>
  <c r="H42" i="1"/>
  <c r="H45" i="1"/>
  <c r="F41" i="3" l="1"/>
  <c r="H36" i="4"/>
  <c r="H37" i="4" s="1"/>
  <c r="M9" i="4" s="1"/>
  <c r="C6" i="12" s="1"/>
  <c r="F36" i="4"/>
  <c r="N6" i="1"/>
  <c r="C5" i="12" s="1"/>
  <c r="N7" i="3"/>
  <c r="C9" i="12" s="1"/>
  <c r="N7" i="1"/>
  <c r="C4" i="12" s="1"/>
  <c r="H6" i="3"/>
  <c r="H46" i="1"/>
  <c r="F46" i="1"/>
  <c r="N6" i="3" l="1"/>
  <c r="C10" i="12" s="1"/>
  <c r="H41" i="3"/>
  <c r="F37" i="4"/>
  <c r="M8" i="4" s="1"/>
  <c r="C7" i="12" s="1"/>
  <c r="C12" i="1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B12" i="1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D20" i="5" l="1"/>
  <c r="M23" i="5" l="1"/>
  <c r="N12" i="5"/>
  <c r="H12" i="5"/>
  <c r="H11" i="5"/>
  <c r="H10" i="5"/>
  <c r="H9" i="5"/>
  <c r="L7" i="2" l="1"/>
  <c r="F112" i="2"/>
  <c r="L6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L5" i="2"/>
  <c r="E112" i="2"/>
  <c r="D112" i="2"/>
  <c r="N6" i="9" l="1"/>
  <c r="E10" i="12" s="1"/>
</calcChain>
</file>

<file path=xl/sharedStrings.xml><?xml version="1.0" encoding="utf-8"?>
<sst xmlns="http://schemas.openxmlformats.org/spreadsheetml/2006/main" count="286" uniqueCount="200">
  <si>
    <t>Ondergrens (&gt;=)</t>
  </si>
  <si>
    <t>Bovengrens (&lt;)</t>
  </si>
  <si>
    <t>Gemiddelde blootstelling</t>
  </si>
  <si>
    <t>Aantal mensen</t>
  </si>
  <si>
    <t xml:space="preserve"> </t>
  </si>
  <si>
    <t>Aantal personen op 1 januari</t>
  </si>
  <si>
    <t>Leeftijd</t>
  </si>
  <si>
    <t>0 jaar</t>
  </si>
  <si>
    <t>1 jaar</t>
  </si>
  <si>
    <t>2 jaar</t>
  </si>
  <si>
    <t>3 jaar</t>
  </si>
  <si>
    <t>4 jaar</t>
  </si>
  <si>
    <t>5 jaar</t>
  </si>
  <si>
    <t>6 jaar</t>
  </si>
  <si>
    <t>7 jaar</t>
  </si>
  <si>
    <t>8 jaar</t>
  </si>
  <si>
    <t>9 jaar</t>
  </si>
  <si>
    <t>10 jaar</t>
  </si>
  <si>
    <t>11 jaar</t>
  </si>
  <si>
    <t>12 jaar</t>
  </si>
  <si>
    <t>13 jaar</t>
  </si>
  <si>
    <t>14 jaar</t>
  </si>
  <si>
    <t>15 jaar</t>
  </si>
  <si>
    <t>16 jaar</t>
  </si>
  <si>
    <t>17 jaar</t>
  </si>
  <si>
    <t>18 jaar</t>
  </si>
  <si>
    <t>19 jaar</t>
  </si>
  <si>
    <t>20 jaar</t>
  </si>
  <si>
    <t>21 jaar</t>
  </si>
  <si>
    <t>22 jaar</t>
  </si>
  <si>
    <t>23 jaar</t>
  </si>
  <si>
    <t>24 jaar</t>
  </si>
  <si>
    <t>25 jaar</t>
  </si>
  <si>
    <t>26 jaar</t>
  </si>
  <si>
    <t>27 jaar</t>
  </si>
  <si>
    <t>28 jaar</t>
  </si>
  <si>
    <t>29 jaar</t>
  </si>
  <si>
    <t>30 jaar</t>
  </si>
  <si>
    <t>31 jaar</t>
  </si>
  <si>
    <t>32 jaar</t>
  </si>
  <si>
    <t>33 jaar</t>
  </si>
  <si>
    <t>34 jaar</t>
  </si>
  <si>
    <t>35 jaar</t>
  </si>
  <si>
    <t>36 jaar</t>
  </si>
  <si>
    <t>37 jaar</t>
  </si>
  <si>
    <t>38 jaar</t>
  </si>
  <si>
    <t>39 jaar</t>
  </si>
  <si>
    <t>40 jaar</t>
  </si>
  <si>
    <t>41 jaar</t>
  </si>
  <si>
    <t>42 jaar</t>
  </si>
  <si>
    <t>43 jaar</t>
  </si>
  <si>
    <t>44 jaar</t>
  </si>
  <si>
    <t>45 jaar</t>
  </si>
  <si>
    <t>46 jaar</t>
  </si>
  <si>
    <t>47 jaar</t>
  </si>
  <si>
    <t>48 jaar</t>
  </si>
  <si>
    <t>49 jaar</t>
  </si>
  <si>
    <t>50 jaar</t>
  </si>
  <si>
    <t>51 jaar</t>
  </si>
  <si>
    <t>52 jaar</t>
  </si>
  <si>
    <t>53 jaar</t>
  </si>
  <si>
    <t>54 jaar</t>
  </si>
  <si>
    <t>55 jaar</t>
  </si>
  <si>
    <t>56 jaar</t>
  </si>
  <si>
    <t>57 jaar</t>
  </si>
  <si>
    <t>58 jaar</t>
  </si>
  <si>
    <t>59 jaar</t>
  </si>
  <si>
    <t>60 jaar</t>
  </si>
  <si>
    <t>61 jaar</t>
  </si>
  <si>
    <t>62 jaar</t>
  </si>
  <si>
    <t>63 jaar</t>
  </si>
  <si>
    <t>64 jaar</t>
  </si>
  <si>
    <t>65 jaar</t>
  </si>
  <si>
    <t>66 jaar</t>
  </si>
  <si>
    <t>67 jaar</t>
  </si>
  <si>
    <t>68 jaar</t>
  </si>
  <si>
    <t>69 jaar</t>
  </si>
  <si>
    <t>70 jaar</t>
  </si>
  <si>
    <t>71 jaar</t>
  </si>
  <si>
    <t>72 jaar</t>
  </si>
  <si>
    <t>73 jaar</t>
  </si>
  <si>
    <t>74 jaar</t>
  </si>
  <si>
    <t>75 jaar</t>
  </si>
  <si>
    <t>76 jaar</t>
  </si>
  <si>
    <t>77 jaar</t>
  </si>
  <si>
    <t>78 jaar</t>
  </si>
  <si>
    <t>79 jaar</t>
  </si>
  <si>
    <t>80 jaar</t>
  </si>
  <si>
    <t>81 jaar</t>
  </si>
  <si>
    <t>82 jaar</t>
  </si>
  <si>
    <t>83 jaar</t>
  </si>
  <si>
    <t>84 jaar</t>
  </si>
  <si>
    <t>85 jaar</t>
  </si>
  <si>
    <t>86 jaar</t>
  </si>
  <si>
    <t>87 jaar</t>
  </si>
  <si>
    <t>88 jaar</t>
  </si>
  <si>
    <t>89 jaar</t>
  </si>
  <si>
    <t>90 jaar</t>
  </si>
  <si>
    <t>91 jaar</t>
  </si>
  <si>
    <t>92 jaar</t>
  </si>
  <si>
    <t>93 jaar</t>
  </si>
  <si>
    <t>94 jaar</t>
  </si>
  <si>
    <t>95 jaar</t>
  </si>
  <si>
    <t>96 jaar</t>
  </si>
  <si>
    <t>97 jaar</t>
  </si>
  <si>
    <t>98 jaar</t>
  </si>
  <si>
    <t>99 jaar</t>
  </si>
  <si>
    <t>100 jaar</t>
  </si>
  <si>
    <t>101 jaar</t>
  </si>
  <si>
    <t>102 jaar</t>
  </si>
  <si>
    <t>103 jaar</t>
  </si>
  <si>
    <t>104 jaar</t>
  </si>
  <si>
    <t>105 jaar of ouder</t>
  </si>
  <si>
    <t>Totaal</t>
  </si>
  <si>
    <t>Aantal personen van 18 jaar en ouder in 2021</t>
  </si>
  <si>
    <t>Totaal in 2021</t>
  </si>
  <si>
    <t>Kans op ernstige hinder (per 100)</t>
  </si>
  <si>
    <t>Aantal mensen van 18 jaar en ouder</t>
  </si>
  <si>
    <t>Gezondheidseffect</t>
  </si>
  <si>
    <t>Blootstellingsklasse (Lden)</t>
  </si>
  <si>
    <t>Aantal ernstig gehinderde personen</t>
  </si>
  <si>
    <t>Indicator</t>
  </si>
  <si>
    <t>Blootstellingsklasse (Lnight)</t>
  </si>
  <si>
    <t>Kans op ernstige slaapverstoring (per 100)</t>
  </si>
  <si>
    <t>Aantal ernstig slaapverstoorde personen</t>
  </si>
  <si>
    <t>RR per klasse</t>
  </si>
  <si>
    <t>n/N*(RR-1) per klasse</t>
  </si>
  <si>
    <t>Nieuwe gevallen in 2021</t>
  </si>
  <si>
    <t>Aandoening</t>
  </si>
  <si>
    <t>Angina Pectoris (K74)</t>
  </si>
  <si>
    <t>Acuut myocardinfarct (AMI; K75)</t>
  </si>
  <si>
    <t>Andere/chronische ischemische hartziekte (K76)</t>
  </si>
  <si>
    <t>Aantallen per 1000 personen</t>
  </si>
  <si>
    <t>Mannen</t>
  </si>
  <si>
    <t>Vrouwen</t>
  </si>
  <si>
    <t>Absolute aantallen</t>
  </si>
  <si>
    <t>Bron: vzinfo.nl, Nivel Zorgregistraties eerste lijn (huisartsenregistraties)</t>
  </si>
  <si>
    <t>Bron: OECD Health database, hospital discharges by diagnostic categories in The Netherlands in 2021</t>
  </si>
  <si>
    <t>Angina pectoris</t>
  </si>
  <si>
    <t>Absolute number</t>
  </si>
  <si>
    <t>Afkomstig van de Landelijke Basisregistratie Ziekenhuiszorg en Landelijke Medische registratie van Nederlandse Ziekenhuisgegevens (DHD)</t>
  </si>
  <si>
    <t>Acute myocardial infarction</t>
  </si>
  <si>
    <t>Other ischaemic heart diseases</t>
  </si>
  <si>
    <t>per 100 000 population</t>
  </si>
  <si>
    <t>European Heart Network, European Cardiovascular Disease statistics , 2021</t>
  </si>
  <si>
    <t>Age-standardized incidence of ischeamic heart disease in the Netherlands</t>
  </si>
  <si>
    <t>267 per 100.000</t>
  </si>
  <si>
    <t>Source: Timmis et al European society of cardiology: cardiovascular disease statistics 2021; European Heart Journal, 43(8):717-799</t>
  </si>
  <si>
    <t>Deze alleen gebruiken als je vergelijkingen wilt maken met andere landen (dit cijfer houdt rekening met verschillen in leeftijdsopbouw tussen landen). Maar dat is nu niet nodig</t>
  </si>
  <si>
    <t>Aantal gevallen IHD toe te schrijven aan geluid wegverkeer</t>
  </si>
  <si>
    <t>PAFoverall</t>
  </si>
  <si>
    <t>Absoluut gaat het dan om</t>
  </si>
  <si>
    <t>gevallen per jaar</t>
  </si>
  <si>
    <t xml:space="preserve">Je zou deze ook kunnen gebruiken, maar dit zijn alle mensen die naar de huisarts gaan. </t>
  </si>
  <si>
    <t>Een groot deel gaat ook naar het ziekenhuis. Sommigen gaan direct naar het ziekenhuis</t>
  </si>
  <si>
    <t>Dit getal is lager dan het getal van het NIVEL. Het gaat hier alleen om mensen die in het ziekenhuis hebben gelegen</t>
  </si>
  <si>
    <t>Let op: dit is voor de HELE bevolking. Maar als je alleen naar 55 dB of hoger kijkt, wonen er natuurlijk minder mensen en is het aantal gevallen natuurlijk lager</t>
  </si>
  <si>
    <t>Totaal aantal mensen blootgesteld aan 55 dB (Lden) of meer</t>
  </si>
  <si>
    <t>Schatting van totaal aantal ernstig gehinderden in gehele gebied</t>
  </si>
  <si>
    <t>Aantal ernstig gehinderden blootgesteld aan 55 dB (Lden) of meer</t>
  </si>
  <si>
    <t>Ernstige hinder door geluid van wegverkeer in agglomeraties (ongeacht type weg)</t>
  </si>
  <si>
    <t>Ernstige slaapverstoring door geluid van wegverkeer in agglomeraties</t>
  </si>
  <si>
    <t>Totaal aantal mensen blootgesteld aan 50 dB (Lnight) of meer</t>
  </si>
  <si>
    <t>Schatting van totaal aantal ernstig slaapverstoorden in gehele gebied</t>
  </si>
  <si>
    <t>Aantal ernstig slaapverstoord blootgesteld aan 50 dB (Lnight) of meer</t>
  </si>
  <si>
    <t>Ischemische hartziekten t.g.v. geluid van wegverkeer in agglomeraties</t>
  </si>
  <si>
    <t>Ernstige slaapverstoring door geluid van railverkeer in agglomeraties</t>
  </si>
  <si>
    <t>Aantal inwoners in studiegebied</t>
  </si>
  <si>
    <t>van</t>
  </si>
  <si>
    <t>tot</t>
  </si>
  <si>
    <t>Wegverkeer</t>
  </si>
  <si>
    <t>Railverkeer</t>
  </si>
  <si>
    <t>Luchtvaart</t>
  </si>
  <si>
    <t>Aantal inwoners studiegebied (gemeente/agglomeratie)</t>
  </si>
  <si>
    <t>Geschat aantal ernstig gehinderden onder alle inwoners</t>
  </si>
  <si>
    <t>Geschat aantal ernstig slaapvertoorden onder alle inwoners</t>
  </si>
  <si>
    <t>Samenvatting resultaat berekening</t>
  </si>
  <si>
    <t>Totale bevolkingsomvang medio 2021</t>
  </si>
  <si>
    <t>Gebruikte Incidentie</t>
  </si>
  <si>
    <t>Aantal</t>
  </si>
  <si>
    <t>Ernstige hinder door geluid van vliegverkeer</t>
  </si>
  <si>
    <t>PAF 55dB en meer</t>
  </si>
  <si>
    <t>Aantal gevallen IHD toe te schrijven aan geluid wegverkeer van 55 dB of meer</t>
  </si>
  <si>
    <t>Ernstige slaapverstoring door geluid van railverkeer</t>
  </si>
  <si>
    <t>Ernstige hinder door geluid van railverkeer</t>
  </si>
  <si>
    <t>Deze sheet is voor alle bronnen, indien detail gegevens beschikbaar zijn. er wordt geen schatting gemaakt van niveaus onder 55dB Lden of 50dB Lnight</t>
  </si>
  <si>
    <t>Vul 0 in in het geval van grote wegen</t>
  </si>
  <si>
    <t>Totaal aantal gevallen van IHD per jaar toe te schrijven aan geluid wegverkeer in studiegebied</t>
  </si>
  <si>
    <t>Aantal geluidbelaste inwoners (Lnight)</t>
  </si>
  <si>
    <t>Aantal geluidbelaste inwoners (Lden)</t>
  </si>
  <si>
    <t>Aantal ernstig gehinderden onder inwoners met geluidbelasting &gt; 55dB Lden</t>
  </si>
  <si>
    <t>Aantal gevallen van IHD per jaar toe te schrijven aan geluid wegverkeer bij de populatie met geluid &gt;55dB Lden</t>
  </si>
  <si>
    <t>Aantal ernstig slaapverstoorden onder inwoners met geluidbelasting &gt; 50dB Lnight</t>
  </si>
  <si>
    <t>Aantal gevallen IHD toe te schrijven aan geluid wegverkeer van 55dB (Lden) of meer</t>
  </si>
  <si>
    <t>Fractie mensen van 18 jaarr en ouder</t>
  </si>
  <si>
    <t>In te vullen gegevens in groene vakjes</t>
  </si>
  <si>
    <t>Aantal inwoners studiegebied Lden</t>
  </si>
  <si>
    <t>Aantal inwoners &gt; 55dB Lden</t>
  </si>
  <si>
    <t>Aantal inwoners studiegebied Lnight</t>
  </si>
  <si>
    <t>Aantal inwoners &gt; 50dB Lnight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</si>
</sst>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i/>
      <sz val="10"/>
      <color theme="1"/>
      <name val="Arial"/>
      <family val="2"/>
    </font>
    <font>
      <sz val="11"/>
      <name val="Calibri"/>
      <family val="2"/>
      <scheme val="minor"/>
    </font>
    <font>
      <b/>
      <sz val="12"/>
      <color theme="2" tint="-0.499984740745262"/>
      <name val="Arial"/>
      <family val="2"/>
    </font>
    <font>
      <sz val="10"/>
      <color theme="2" tint="-0.499984740745262"/>
      <name val="Arial"/>
      <family val="2"/>
    </font>
    <font>
      <i/>
      <sz val="10"/>
      <color theme="2" tint="-0.499984740745262"/>
      <name val="Arial"/>
      <family val="2"/>
    </font>
    <font>
      <b/>
      <sz val="14"/>
      <color rgb="FFFF0000"/>
      <name val="Calibri"/>
      <family val="2"/>
      <scheme val="minor"/>
    </font>
    <font>
      <b/>
      <i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4" borderId="2" xfId="0" applyFont="1" applyFill="1" applyBorder="1"/>
    <xf numFmtId="1" fontId="1" fillId="5" borderId="2" xfId="0" applyNumberFormat="1" applyFont="1" applyFill="1" applyBorder="1"/>
    <xf numFmtId="0" fontId="2" fillId="4" borderId="2" xfId="0" applyFont="1" applyFill="1" applyBorder="1"/>
    <xf numFmtId="0" fontId="2" fillId="2" borderId="6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6" borderId="2" xfId="0" applyFont="1" applyFill="1" applyBorder="1"/>
    <xf numFmtId="0" fontId="1" fillId="6" borderId="2" xfId="0" applyFont="1" applyFill="1" applyBorder="1"/>
    <xf numFmtId="0" fontId="2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wrapText="1"/>
    </xf>
    <xf numFmtId="0" fontId="6" fillId="0" borderId="0" xfId="0" applyFont="1"/>
    <xf numFmtId="0" fontId="2" fillId="0" borderId="0" xfId="0" applyFont="1" applyFill="1" applyBorder="1"/>
    <xf numFmtId="1" fontId="2" fillId="0" borderId="0" xfId="0" applyNumberFormat="1" applyFont="1" applyFill="1" applyBorder="1"/>
    <xf numFmtId="1" fontId="1" fillId="0" borderId="0" xfId="0" applyNumberFormat="1" applyFont="1" applyFill="1" applyBorder="1"/>
    <xf numFmtId="0" fontId="1" fillId="0" borderId="0" xfId="0" applyFont="1" applyFill="1" applyBorder="1"/>
    <xf numFmtId="0" fontId="2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 wrapText="1"/>
    </xf>
    <xf numFmtId="0" fontId="6" fillId="5" borderId="2" xfId="0" applyFont="1" applyFill="1" applyBorder="1"/>
    <xf numFmtId="0" fontId="1" fillId="0" borderId="0" xfId="0" applyFont="1" applyBorder="1"/>
    <xf numFmtId="165" fontId="1" fillId="0" borderId="0" xfId="0" applyNumberFormat="1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0" fontId="1" fillId="0" borderId="2" xfId="0" applyFont="1" applyBorder="1"/>
    <xf numFmtId="0" fontId="8" fillId="0" borderId="0" xfId="0" applyFont="1"/>
    <xf numFmtId="0" fontId="9" fillId="0" borderId="0" xfId="0" applyFont="1"/>
    <xf numFmtId="1" fontId="9" fillId="0" borderId="0" xfId="0" applyNumberFormat="1" applyFont="1"/>
    <xf numFmtId="0" fontId="10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0" borderId="0" xfId="0" applyFont="1"/>
    <xf numFmtId="1" fontId="1" fillId="5" borderId="2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0" borderId="0" xfId="0" applyFont="1" applyFill="1" applyAlignment="1"/>
    <xf numFmtId="0" fontId="1" fillId="6" borderId="9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2" fillId="2" borderId="2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7" fillId="0" borderId="0" xfId="0" applyFont="1"/>
    <xf numFmtId="1" fontId="0" fillId="8" borderId="2" xfId="0" applyNumberForma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0" borderId="0" xfId="0" applyFill="1" applyBorder="1"/>
    <xf numFmtId="1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5" borderId="2" xfId="0" applyFont="1" applyFill="1" applyBorder="1"/>
    <xf numFmtId="0" fontId="2" fillId="6" borderId="2" xfId="0" applyFont="1" applyFill="1" applyBorder="1" applyAlignment="1">
      <alignment wrapText="1"/>
    </xf>
    <xf numFmtId="1" fontId="0" fillId="8" borderId="8" xfId="0" applyNumberFormat="1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1" fillId="0" borderId="0" xfId="0" applyNumberFormat="1" applyFont="1" applyFill="1" applyBorder="1"/>
    <xf numFmtId="1" fontId="1" fillId="0" borderId="0" xfId="0" applyNumberFormat="1" applyFont="1" applyFill="1" applyBorder="1" applyAlignment="1">
      <alignment wrapText="1"/>
    </xf>
    <xf numFmtId="1" fontId="6" fillId="0" borderId="0" xfId="0" applyNumberFormat="1" applyFont="1" applyFill="1" applyBorder="1"/>
    <xf numFmtId="1" fontId="1" fillId="9" borderId="2" xfId="0" applyNumberFormat="1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1" fontId="6" fillId="9" borderId="2" xfId="0" applyNumberFormat="1" applyFont="1" applyFill="1" applyBorder="1" applyAlignment="1">
      <alignment horizontal="center"/>
    </xf>
    <xf numFmtId="1" fontId="1" fillId="9" borderId="2" xfId="0" applyNumberFormat="1" applyFont="1" applyFill="1" applyBorder="1" applyAlignment="1">
      <alignment horizontal="center" wrapText="1"/>
    </xf>
    <xf numFmtId="2" fontId="1" fillId="9" borderId="2" xfId="0" applyNumberFormat="1" applyFont="1" applyFill="1" applyBorder="1" applyAlignment="1">
      <alignment horizontal="center"/>
    </xf>
    <xf numFmtId="1" fontId="12" fillId="9" borderId="2" xfId="0" applyNumberFormat="1" applyFont="1" applyFill="1" applyBorder="1" applyAlignment="1">
      <alignment horizontal="center"/>
    </xf>
    <xf numFmtId="1" fontId="2" fillId="9" borderId="2" xfId="0" applyNumberFormat="1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1" fontId="1" fillId="9" borderId="5" xfId="0" applyNumberFormat="1" applyFont="1" applyFill="1" applyBorder="1" applyAlignment="1">
      <alignment horizontal="center"/>
    </xf>
    <xf numFmtId="164" fontId="1" fillId="9" borderId="2" xfId="0" applyNumberFormat="1" applyFont="1" applyFill="1" applyBorder="1" applyAlignment="1">
      <alignment horizontal="center"/>
    </xf>
    <xf numFmtId="1" fontId="12" fillId="3" borderId="2" xfId="0" applyNumberFormat="1" applyFont="1" applyFill="1" applyBorder="1" applyAlignment="1">
      <alignment horizontal="center"/>
    </xf>
    <xf numFmtId="1" fontId="12" fillId="4" borderId="2" xfId="0" applyNumberFormat="1" applyFont="1" applyFill="1" applyBorder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/>
    </xf>
    <xf numFmtId="1" fontId="6" fillId="5" borderId="2" xfId="0" applyNumberFormat="1" applyFont="1" applyFill="1" applyBorder="1"/>
    <xf numFmtId="1" fontId="6" fillId="5" borderId="2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vertical="center"/>
    </xf>
    <xf numFmtId="0" fontId="14" fillId="9" borderId="2" xfId="0" applyFont="1" applyFill="1" applyBorder="1" applyAlignment="1">
      <alignment horizontal="center"/>
    </xf>
    <xf numFmtId="0" fontId="14" fillId="9" borderId="3" xfId="0" applyFont="1" applyFill="1" applyBorder="1" applyAlignment="1">
      <alignment horizontal="center"/>
    </xf>
    <xf numFmtId="1" fontId="14" fillId="9" borderId="2" xfId="0" applyNumberFormat="1" applyFont="1" applyFill="1" applyBorder="1" applyAlignment="1">
      <alignment horizontal="center"/>
    </xf>
    <xf numFmtId="165" fontId="14" fillId="9" borderId="5" xfId="0" applyNumberFormat="1" applyFont="1" applyFill="1" applyBorder="1" applyAlignment="1">
      <alignment horizontal="center"/>
    </xf>
    <xf numFmtId="0" fontId="14" fillId="0" borderId="0" xfId="0" applyFont="1"/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1" fillId="2" borderId="2" xfId="0" applyNumberFormat="1" applyFont="1" applyFill="1" applyBorder="1"/>
    <xf numFmtId="166" fontId="1" fillId="2" borderId="2" xfId="0" applyNumberFormat="1" applyFont="1" applyFill="1" applyBorder="1"/>
    <xf numFmtId="0" fontId="1" fillId="4" borderId="2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 wrapText="1"/>
    </xf>
    <xf numFmtId="2" fontId="1" fillId="0" borderId="0" xfId="0" applyNumberFormat="1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" fontId="2" fillId="4" borderId="2" xfId="0" applyNumberFormat="1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13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left" wrapText="1"/>
    </xf>
    <xf numFmtId="0" fontId="2" fillId="4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" fontId="0" fillId="10" borderId="2" xfId="0" applyNumberFormat="1" applyFill="1" applyBorder="1" applyAlignment="1">
      <alignment horizontal="center"/>
    </xf>
    <xf numFmtId="1" fontId="0" fillId="10" borderId="8" xfId="0" applyNumberFormat="1" applyFill="1" applyBorder="1" applyAlignment="1">
      <alignment horizontal="center" vertical="center"/>
    </xf>
    <xf numFmtId="1" fontId="0" fillId="10" borderId="11" xfId="0" applyNumberFormat="1" applyFill="1" applyBorder="1" applyAlignment="1">
      <alignment horizontal="center" vertical="center"/>
    </xf>
    <xf numFmtId="1" fontId="0" fillId="10" borderId="9" xfId="0" applyNumberFormat="1" applyFill="1" applyBorder="1" applyAlignment="1">
      <alignment horizontal="center" vertical="center"/>
    </xf>
    <xf numFmtId="1" fontId="1" fillId="9" borderId="0" xfId="0" applyNumberFormat="1" applyFont="1" applyFill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74C40-A45E-49BA-8494-190D4D8891C6}">
  <sheetPr>
    <tabColor theme="4" tint="0.39997558519241921"/>
  </sheetPr>
  <dimension ref="B2:E16"/>
  <sheetViews>
    <sheetView tabSelected="1" workbookViewId="0">
      <selection activeCell="C12" sqref="C12"/>
    </sheetView>
  </sheetViews>
  <sheetFormatPr defaultRowHeight="15" x14ac:dyDescent="0.25"/>
  <cols>
    <col min="2" max="2" width="94.28515625" bestFit="1" customWidth="1"/>
    <col min="3" max="3" width="10.7109375" bestFit="1" customWidth="1"/>
    <col min="4" max="4" width="10" bestFit="1" customWidth="1"/>
    <col min="5" max="5" width="9.42578125" bestFit="1" customWidth="1"/>
  </cols>
  <sheetData>
    <row r="2" spans="2:5" x14ac:dyDescent="0.25">
      <c r="B2" s="102" t="s">
        <v>176</v>
      </c>
      <c r="C2" s="103"/>
      <c r="D2" s="103"/>
      <c r="E2" s="104"/>
    </row>
    <row r="3" spans="2:5" x14ac:dyDescent="0.25">
      <c r="B3" s="1"/>
      <c r="C3" s="42" t="s">
        <v>170</v>
      </c>
      <c r="D3" s="42" t="s">
        <v>171</v>
      </c>
      <c r="E3" s="42" t="s">
        <v>172</v>
      </c>
    </row>
    <row r="4" spans="2:5" x14ac:dyDescent="0.25">
      <c r="B4" s="28" t="s">
        <v>190</v>
      </c>
      <c r="C4" s="36">
        <f>'Wegverkeer hinder'!N7</f>
        <v>26309.244279405179</v>
      </c>
      <c r="D4" s="36">
        <f>'Railverkeer hinder'!N7</f>
        <v>28304.177215506592</v>
      </c>
      <c r="E4" s="36">
        <f>'Hinder vliegverkeer'!N7</f>
        <v>36778.79084048322</v>
      </c>
    </row>
    <row r="5" spans="2:5" x14ac:dyDescent="0.25">
      <c r="B5" s="28" t="s">
        <v>174</v>
      </c>
      <c r="C5" s="36">
        <f>'Wegverkeer hinder'!N6</f>
        <v>33019.759684933932</v>
      </c>
      <c r="D5" s="36">
        <f>'Railverkeer hinder'!N6</f>
        <v>33883.645110405749</v>
      </c>
      <c r="E5" s="36">
        <f>'Hinder vliegverkeer'!N6</f>
        <v>67446.396161746758</v>
      </c>
    </row>
    <row r="6" spans="2:5" x14ac:dyDescent="0.25">
      <c r="B6" s="28" t="s">
        <v>191</v>
      </c>
      <c r="C6" s="36">
        <f>'Wegverkeer IHZ'!M9</f>
        <v>35.812329983741307</v>
      </c>
    </row>
    <row r="7" spans="2:5" x14ac:dyDescent="0.25">
      <c r="B7" s="28" t="s">
        <v>187</v>
      </c>
      <c r="C7" s="36">
        <f>'Wegverkeer IHZ'!M8</f>
        <v>36.666644006294021</v>
      </c>
      <c r="D7" s="19"/>
      <c r="E7" s="45"/>
    </row>
    <row r="8" spans="2:5" x14ac:dyDescent="0.25">
      <c r="D8" s="19"/>
      <c r="E8" s="45"/>
    </row>
    <row r="9" spans="2:5" x14ac:dyDescent="0.25">
      <c r="B9" s="28" t="s">
        <v>192</v>
      </c>
      <c r="C9" s="36">
        <f>'Wegverkeer slaapverstoring'!N7</f>
        <v>10829.268260362544</v>
      </c>
      <c r="D9" s="36">
        <f>'Railverkeer slaapverstoring'!N7</f>
        <v>16845.849362835317</v>
      </c>
      <c r="E9" s="36">
        <f>'Slaapverstoring vliegverkeer'!N7</f>
        <v>37994.834925071074</v>
      </c>
    </row>
    <row r="10" spans="2:5" x14ac:dyDescent="0.25">
      <c r="B10" s="28" t="s">
        <v>175</v>
      </c>
      <c r="C10" s="36">
        <f>'Wegverkeer slaapverstoring'!N6</f>
        <v>13701.075668533009</v>
      </c>
      <c r="D10" s="36">
        <f>'Railverkeer slaapverstoring'!N6</f>
        <v>20530.739804551125</v>
      </c>
      <c r="E10" s="36">
        <f>'Slaapverstoring vliegverkeer'!N6</f>
        <v>50226.875019162529</v>
      </c>
    </row>
    <row r="11" spans="2:5" x14ac:dyDescent="0.25">
      <c r="B11" s="1"/>
      <c r="C11" s="1"/>
      <c r="D11" s="1"/>
      <c r="E11" s="1"/>
    </row>
    <row r="12" spans="2:5" x14ac:dyDescent="0.25">
      <c r="B12" s="28" t="s">
        <v>196</v>
      </c>
      <c r="C12" s="36">
        <f>SUM(Invullen_1dBklasse!D10:D50)</f>
        <v>360000</v>
      </c>
      <c r="D12" s="36">
        <f>SUM(Invullen_1dBklasse!E10:E50)</f>
        <v>360000</v>
      </c>
      <c r="E12" s="36">
        <f>SUM(Invullen_1dBklasse!F10:F50)</f>
        <v>360000</v>
      </c>
    </row>
    <row r="13" spans="2:5" x14ac:dyDescent="0.25">
      <c r="B13" s="28" t="s">
        <v>197</v>
      </c>
      <c r="C13" s="101">
        <f>SUM(Invullen_1dBklasse!D26:D50)</f>
        <v>193700</v>
      </c>
      <c r="D13" s="101">
        <f>SUM(Invullen_1dBklasse!E26:E50)</f>
        <v>193700</v>
      </c>
      <c r="E13" s="101">
        <f>SUM(Invullen_1dBklasse!F26:F50)</f>
        <v>193700</v>
      </c>
    </row>
    <row r="14" spans="2:5" x14ac:dyDescent="0.25">
      <c r="C14" s="1"/>
      <c r="D14" s="1"/>
      <c r="E14" s="1"/>
    </row>
    <row r="15" spans="2:5" x14ac:dyDescent="0.25">
      <c r="B15" s="28" t="s">
        <v>198</v>
      </c>
      <c r="C15" s="36">
        <f>SUM(Invullen_1dBklasse!K10:K50)</f>
        <v>360000</v>
      </c>
      <c r="D15" s="36">
        <f>SUM(Invullen_1dBklasse!L10:L50)</f>
        <v>360000</v>
      </c>
      <c r="E15" s="36">
        <f>SUM(Invullen_1dBklasse!M10:M50)</f>
        <v>360000</v>
      </c>
    </row>
    <row r="16" spans="2:5" x14ac:dyDescent="0.25">
      <c r="B16" s="28" t="s">
        <v>199</v>
      </c>
      <c r="C16" s="101">
        <f>SUM(Invullen_1dBklasse!K26:K50)</f>
        <v>193700</v>
      </c>
      <c r="D16" s="101">
        <f>SUM(Invullen_1dBklasse!L26:L50)</f>
        <v>179560</v>
      </c>
      <c r="E16" s="101">
        <f>SUM(Invullen_1dBklasse!M26:M50)</f>
        <v>179560</v>
      </c>
    </row>
  </sheetData>
  <mergeCells count="1">
    <mergeCell ref="B2:E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9A984-1D38-411B-8FFC-8C67AABFB1AE}">
  <sheetPr>
    <tabColor theme="5" tint="0.39997558519241921"/>
  </sheetPr>
  <dimension ref="C4:L112"/>
  <sheetViews>
    <sheetView workbookViewId="0">
      <selection activeCell="B2" sqref="B2:E16"/>
    </sheetView>
  </sheetViews>
  <sheetFormatPr defaultRowHeight="15" x14ac:dyDescent="0.25"/>
  <cols>
    <col min="3" max="3" width="16.7109375" customWidth="1"/>
    <col min="4" max="4" width="10.140625" bestFit="1" customWidth="1"/>
    <col min="5" max="5" width="12.140625" customWidth="1"/>
    <col min="6" max="6" width="14.85546875" customWidth="1"/>
    <col min="11" max="11" width="15.42578125" customWidth="1"/>
    <col min="12" max="12" width="12.42578125" bestFit="1" customWidth="1"/>
  </cols>
  <sheetData>
    <row r="4" spans="3:12" x14ac:dyDescent="0.25">
      <c r="C4" s="134" t="s">
        <v>5</v>
      </c>
      <c r="D4" s="134"/>
      <c r="E4" s="134"/>
      <c r="F4" s="134"/>
    </row>
    <row r="5" spans="3:12" x14ac:dyDescent="0.25">
      <c r="C5" s="4" t="s">
        <v>6</v>
      </c>
      <c r="D5" s="22">
        <v>2021</v>
      </c>
      <c r="E5" s="22">
        <v>2022</v>
      </c>
      <c r="F5" s="22" t="s">
        <v>115</v>
      </c>
      <c r="H5" s="116" t="s">
        <v>177</v>
      </c>
      <c r="I5" s="116"/>
      <c r="J5" s="116"/>
      <c r="K5" s="116"/>
      <c r="L5" s="89">
        <f>(D112+E112)/2</f>
        <v>17533043.5</v>
      </c>
    </row>
    <row r="6" spans="3:12" x14ac:dyDescent="0.25">
      <c r="C6" s="28" t="s">
        <v>7</v>
      </c>
      <c r="D6" s="38">
        <v>168270</v>
      </c>
      <c r="E6" s="38">
        <v>179133</v>
      </c>
      <c r="F6" s="39">
        <f>(D6+E6)/2</f>
        <v>173701.5</v>
      </c>
      <c r="H6" s="116" t="s">
        <v>114</v>
      </c>
      <c r="I6" s="116"/>
      <c r="J6" s="116"/>
      <c r="K6" s="116"/>
      <c r="L6" s="89">
        <f>SUM(F24:F111)</f>
        <v>14227010.5</v>
      </c>
    </row>
    <row r="7" spans="3:12" x14ac:dyDescent="0.25">
      <c r="C7" s="28" t="s">
        <v>8</v>
      </c>
      <c r="D7" s="38">
        <v>170354</v>
      </c>
      <c r="E7" s="38">
        <v>169323</v>
      </c>
      <c r="F7" s="39">
        <f t="shared" ref="F7:F70" si="0">(D7+E7)/2</f>
        <v>169838.5</v>
      </c>
      <c r="H7" s="116" t="s">
        <v>194</v>
      </c>
      <c r="I7" s="116"/>
      <c r="J7" s="116"/>
      <c r="K7" s="116"/>
      <c r="L7" s="90">
        <f>L6/L5</f>
        <v>0.81143986781302402</v>
      </c>
    </row>
    <row r="8" spans="3:12" x14ac:dyDescent="0.25">
      <c r="C8" s="28" t="s">
        <v>9</v>
      </c>
      <c r="D8" s="38">
        <v>170474</v>
      </c>
      <c r="E8" s="38">
        <v>171226</v>
      </c>
      <c r="F8" s="39">
        <f t="shared" si="0"/>
        <v>170850</v>
      </c>
    </row>
    <row r="9" spans="3:12" x14ac:dyDescent="0.25">
      <c r="C9" s="28" t="s">
        <v>10</v>
      </c>
      <c r="D9" s="38">
        <v>172564</v>
      </c>
      <c r="E9" s="38">
        <v>171415</v>
      </c>
      <c r="F9" s="39">
        <f t="shared" si="0"/>
        <v>171989.5</v>
      </c>
    </row>
    <row r="10" spans="3:12" x14ac:dyDescent="0.25">
      <c r="C10" s="28" t="s">
        <v>11</v>
      </c>
      <c r="D10" s="38">
        <v>175964</v>
      </c>
      <c r="E10" s="38">
        <v>173556</v>
      </c>
      <c r="F10" s="39">
        <f t="shared" si="0"/>
        <v>174760</v>
      </c>
    </row>
    <row r="11" spans="3:12" x14ac:dyDescent="0.25">
      <c r="C11" s="28" t="s">
        <v>12</v>
      </c>
      <c r="D11" s="38">
        <v>175403</v>
      </c>
      <c r="E11" s="38">
        <v>176741</v>
      </c>
      <c r="F11" s="39">
        <f t="shared" si="0"/>
        <v>176072</v>
      </c>
    </row>
    <row r="12" spans="3:12" x14ac:dyDescent="0.25">
      <c r="C12" s="28" t="s">
        <v>13</v>
      </c>
      <c r="D12" s="38">
        <v>180140</v>
      </c>
      <c r="E12" s="38">
        <v>176234</v>
      </c>
      <c r="F12" s="39">
        <f t="shared" si="0"/>
        <v>178187</v>
      </c>
    </row>
    <row r="13" spans="3:12" x14ac:dyDescent="0.25">
      <c r="C13" s="28" t="s">
        <v>14</v>
      </c>
      <c r="D13" s="38">
        <v>176907</v>
      </c>
      <c r="E13" s="38">
        <v>181103</v>
      </c>
      <c r="F13" s="39">
        <f t="shared" si="0"/>
        <v>179005</v>
      </c>
    </row>
    <row r="14" spans="3:12" x14ac:dyDescent="0.25">
      <c r="C14" s="28" t="s">
        <v>15</v>
      </c>
      <c r="D14" s="38">
        <v>181785</v>
      </c>
      <c r="E14" s="38">
        <v>177793</v>
      </c>
      <c r="F14" s="39">
        <f t="shared" si="0"/>
        <v>179789</v>
      </c>
    </row>
    <row r="15" spans="3:12" x14ac:dyDescent="0.25">
      <c r="C15" s="28" t="s">
        <v>16</v>
      </c>
      <c r="D15" s="38">
        <v>185592</v>
      </c>
      <c r="E15" s="38">
        <v>182749</v>
      </c>
      <c r="F15" s="39">
        <f t="shared" si="0"/>
        <v>184170.5</v>
      </c>
    </row>
    <row r="16" spans="3:12" x14ac:dyDescent="0.25">
      <c r="C16" s="28" t="s">
        <v>17</v>
      </c>
      <c r="D16" s="38">
        <v>190637</v>
      </c>
      <c r="E16" s="38">
        <v>186513</v>
      </c>
      <c r="F16" s="39">
        <f t="shared" si="0"/>
        <v>188575</v>
      </c>
    </row>
    <row r="17" spans="3:6" x14ac:dyDescent="0.25">
      <c r="C17" s="28" t="s">
        <v>18</v>
      </c>
      <c r="D17" s="38">
        <v>191484</v>
      </c>
      <c r="E17" s="38">
        <v>191599</v>
      </c>
      <c r="F17" s="39">
        <f t="shared" si="0"/>
        <v>191541.5</v>
      </c>
    </row>
    <row r="18" spans="3:6" x14ac:dyDescent="0.25">
      <c r="C18" s="28" t="s">
        <v>19</v>
      </c>
      <c r="D18" s="38">
        <v>192004</v>
      </c>
      <c r="E18" s="38">
        <v>192560</v>
      </c>
      <c r="F18" s="39">
        <f t="shared" si="0"/>
        <v>192282</v>
      </c>
    </row>
    <row r="19" spans="3:6" x14ac:dyDescent="0.25">
      <c r="C19" s="28" t="s">
        <v>20</v>
      </c>
      <c r="D19" s="38">
        <v>188438</v>
      </c>
      <c r="E19" s="38">
        <v>193037</v>
      </c>
      <c r="F19" s="39">
        <f t="shared" si="0"/>
        <v>190737.5</v>
      </c>
    </row>
    <row r="20" spans="3:6" x14ac:dyDescent="0.25">
      <c r="C20" s="28" t="s">
        <v>21</v>
      </c>
      <c r="D20" s="38">
        <v>191715</v>
      </c>
      <c r="E20" s="38">
        <v>189479</v>
      </c>
      <c r="F20" s="39">
        <f t="shared" si="0"/>
        <v>190597</v>
      </c>
    </row>
    <row r="21" spans="3:6" x14ac:dyDescent="0.25">
      <c r="C21" s="28" t="s">
        <v>22</v>
      </c>
      <c r="D21" s="38">
        <v>193570</v>
      </c>
      <c r="E21" s="38">
        <v>192725</v>
      </c>
      <c r="F21" s="39">
        <f t="shared" si="0"/>
        <v>193147.5</v>
      </c>
    </row>
    <row r="22" spans="3:6" x14ac:dyDescent="0.25">
      <c r="C22" s="28" t="s">
        <v>23</v>
      </c>
      <c r="D22" s="38">
        <v>199394</v>
      </c>
      <c r="E22" s="38">
        <v>194719</v>
      </c>
      <c r="F22" s="39">
        <f t="shared" si="0"/>
        <v>197056.5</v>
      </c>
    </row>
    <row r="23" spans="3:6" x14ac:dyDescent="0.25">
      <c r="C23" s="28" t="s">
        <v>24</v>
      </c>
      <c r="D23" s="38">
        <v>206527</v>
      </c>
      <c r="E23" s="38">
        <v>200939</v>
      </c>
      <c r="F23" s="39">
        <f t="shared" si="0"/>
        <v>203733</v>
      </c>
    </row>
    <row r="24" spans="3:6" x14ac:dyDescent="0.25">
      <c r="C24" s="28" t="s">
        <v>25</v>
      </c>
      <c r="D24" s="38">
        <v>212171</v>
      </c>
      <c r="E24" s="38">
        <v>214061</v>
      </c>
      <c r="F24" s="39">
        <f t="shared" si="0"/>
        <v>213116</v>
      </c>
    </row>
    <row r="25" spans="3:6" x14ac:dyDescent="0.25">
      <c r="C25" s="28" t="s">
        <v>26</v>
      </c>
      <c r="D25" s="38">
        <v>220073</v>
      </c>
      <c r="E25" s="38">
        <v>222912</v>
      </c>
      <c r="F25" s="39">
        <f t="shared" si="0"/>
        <v>221492.5</v>
      </c>
    </row>
    <row r="26" spans="3:6" x14ac:dyDescent="0.25">
      <c r="C26" s="28" t="s">
        <v>27</v>
      </c>
      <c r="D26" s="38">
        <v>227053</v>
      </c>
      <c r="E26" s="38">
        <v>226197</v>
      </c>
      <c r="F26" s="39">
        <f t="shared" si="0"/>
        <v>226625</v>
      </c>
    </row>
    <row r="27" spans="3:6" x14ac:dyDescent="0.25">
      <c r="C27" s="28" t="s">
        <v>28</v>
      </c>
      <c r="D27" s="38">
        <v>223141</v>
      </c>
      <c r="E27" s="38">
        <v>231493</v>
      </c>
      <c r="F27" s="39">
        <f t="shared" si="0"/>
        <v>227317</v>
      </c>
    </row>
    <row r="28" spans="3:6" x14ac:dyDescent="0.25">
      <c r="C28" s="28" t="s">
        <v>29</v>
      </c>
      <c r="D28" s="38">
        <v>222345</v>
      </c>
      <c r="E28" s="38">
        <v>227225</v>
      </c>
      <c r="F28" s="39">
        <f t="shared" si="0"/>
        <v>224785</v>
      </c>
    </row>
    <row r="29" spans="3:6" x14ac:dyDescent="0.25">
      <c r="C29" s="28" t="s">
        <v>30</v>
      </c>
      <c r="D29" s="38">
        <v>217581</v>
      </c>
      <c r="E29" s="38">
        <v>226996</v>
      </c>
      <c r="F29" s="39">
        <f t="shared" si="0"/>
        <v>222288.5</v>
      </c>
    </row>
    <row r="30" spans="3:6" x14ac:dyDescent="0.25">
      <c r="C30" s="28" t="s">
        <v>31</v>
      </c>
      <c r="D30" s="38">
        <v>217366</v>
      </c>
      <c r="E30" s="38">
        <v>220974</v>
      </c>
      <c r="F30" s="39">
        <f t="shared" si="0"/>
        <v>219170</v>
      </c>
    </row>
    <row r="31" spans="3:6" x14ac:dyDescent="0.25">
      <c r="C31" s="28" t="s">
        <v>32</v>
      </c>
      <c r="D31" s="38">
        <v>218668</v>
      </c>
      <c r="E31" s="38">
        <v>220818</v>
      </c>
      <c r="F31" s="39">
        <f t="shared" si="0"/>
        <v>219743</v>
      </c>
    </row>
    <row r="32" spans="3:6" x14ac:dyDescent="0.25">
      <c r="C32" s="28" t="s">
        <v>33</v>
      </c>
      <c r="D32" s="38">
        <v>225920</v>
      </c>
      <c r="E32" s="38">
        <v>222029</v>
      </c>
      <c r="F32" s="39">
        <f t="shared" si="0"/>
        <v>223974.5</v>
      </c>
    </row>
    <row r="33" spans="3:6" x14ac:dyDescent="0.25">
      <c r="C33" s="28" t="s">
        <v>34</v>
      </c>
      <c r="D33" s="38">
        <v>226583</v>
      </c>
      <c r="E33" s="38">
        <v>229261</v>
      </c>
      <c r="F33" s="39">
        <f t="shared" si="0"/>
        <v>227922</v>
      </c>
    </row>
    <row r="34" spans="3:6" x14ac:dyDescent="0.25">
      <c r="C34" s="28" t="s">
        <v>35</v>
      </c>
      <c r="D34" s="38">
        <v>229437</v>
      </c>
      <c r="E34" s="38">
        <v>229982</v>
      </c>
      <c r="F34" s="39">
        <f t="shared" si="0"/>
        <v>229709.5</v>
      </c>
    </row>
    <row r="35" spans="3:6" x14ac:dyDescent="0.25">
      <c r="C35" s="28" t="s">
        <v>36</v>
      </c>
      <c r="D35" s="38">
        <v>232334</v>
      </c>
      <c r="E35" s="38">
        <v>232416</v>
      </c>
      <c r="F35" s="39">
        <f t="shared" si="0"/>
        <v>232375</v>
      </c>
    </row>
    <row r="36" spans="3:6" x14ac:dyDescent="0.25">
      <c r="C36" s="28" t="s">
        <v>37</v>
      </c>
      <c r="D36" s="38">
        <v>233373</v>
      </c>
      <c r="E36" s="38">
        <v>235174</v>
      </c>
      <c r="F36" s="39">
        <f t="shared" si="0"/>
        <v>234273.5</v>
      </c>
    </row>
    <row r="37" spans="3:6" x14ac:dyDescent="0.25">
      <c r="C37" s="28" t="s">
        <v>38</v>
      </c>
      <c r="D37" s="38">
        <v>225767</v>
      </c>
      <c r="E37" s="38">
        <v>235817</v>
      </c>
      <c r="F37" s="39">
        <f t="shared" si="0"/>
        <v>230792</v>
      </c>
    </row>
    <row r="38" spans="3:6" x14ac:dyDescent="0.25">
      <c r="C38" s="28" t="s">
        <v>39</v>
      </c>
      <c r="D38" s="38">
        <v>223130</v>
      </c>
      <c r="E38" s="38">
        <v>227912</v>
      </c>
      <c r="F38" s="39">
        <f t="shared" si="0"/>
        <v>225521</v>
      </c>
    </row>
    <row r="39" spans="3:6" x14ac:dyDescent="0.25">
      <c r="C39" s="28" t="s">
        <v>40</v>
      </c>
      <c r="D39" s="38">
        <v>222511</v>
      </c>
      <c r="E39" s="38">
        <v>225299</v>
      </c>
      <c r="F39" s="39">
        <f t="shared" si="0"/>
        <v>223905</v>
      </c>
    </row>
    <row r="40" spans="3:6" x14ac:dyDescent="0.25">
      <c r="C40" s="28" t="s">
        <v>41</v>
      </c>
      <c r="D40" s="38">
        <v>221708</v>
      </c>
      <c r="E40" s="38">
        <v>224277</v>
      </c>
      <c r="F40" s="39">
        <f t="shared" si="0"/>
        <v>222992.5</v>
      </c>
    </row>
    <row r="41" spans="3:6" x14ac:dyDescent="0.25">
      <c r="C41" s="28" t="s">
        <v>42</v>
      </c>
      <c r="D41" s="38">
        <v>216405</v>
      </c>
      <c r="E41" s="38">
        <v>223383</v>
      </c>
      <c r="F41" s="39">
        <f t="shared" si="0"/>
        <v>219894</v>
      </c>
    </row>
    <row r="42" spans="3:6" x14ac:dyDescent="0.25">
      <c r="C42" s="28" t="s">
        <v>43</v>
      </c>
      <c r="D42" s="38">
        <v>212811</v>
      </c>
      <c r="E42" s="38">
        <v>217872</v>
      </c>
      <c r="F42" s="39">
        <f t="shared" si="0"/>
        <v>215341.5</v>
      </c>
    </row>
    <row r="43" spans="3:6" x14ac:dyDescent="0.25">
      <c r="C43" s="28" t="s">
        <v>44</v>
      </c>
      <c r="D43" s="38">
        <v>206720</v>
      </c>
      <c r="E43" s="38">
        <v>214114</v>
      </c>
      <c r="F43" s="39">
        <f t="shared" si="0"/>
        <v>210417</v>
      </c>
    </row>
    <row r="44" spans="3:6" x14ac:dyDescent="0.25">
      <c r="C44" s="28" t="s">
        <v>45</v>
      </c>
      <c r="D44" s="38">
        <v>207274</v>
      </c>
      <c r="E44" s="38">
        <v>208001</v>
      </c>
      <c r="F44" s="39">
        <f t="shared" si="0"/>
        <v>207637.5</v>
      </c>
    </row>
    <row r="45" spans="3:6" x14ac:dyDescent="0.25">
      <c r="C45" s="28" t="s">
        <v>46</v>
      </c>
      <c r="D45" s="38">
        <v>210876</v>
      </c>
      <c r="E45" s="38">
        <v>208601</v>
      </c>
      <c r="F45" s="39">
        <f t="shared" si="0"/>
        <v>209738.5</v>
      </c>
    </row>
    <row r="46" spans="3:6" x14ac:dyDescent="0.25">
      <c r="C46" s="28" t="s">
        <v>47</v>
      </c>
      <c r="D46" s="38">
        <v>213550</v>
      </c>
      <c r="E46" s="38">
        <v>211882</v>
      </c>
      <c r="F46" s="39">
        <f t="shared" si="0"/>
        <v>212716</v>
      </c>
    </row>
    <row r="47" spans="3:6" x14ac:dyDescent="0.25">
      <c r="C47" s="28" t="s">
        <v>48</v>
      </c>
      <c r="D47" s="38">
        <v>206262</v>
      </c>
      <c r="E47" s="38">
        <v>214516</v>
      </c>
      <c r="F47" s="39">
        <f t="shared" si="0"/>
        <v>210389</v>
      </c>
    </row>
    <row r="48" spans="3:6" x14ac:dyDescent="0.25">
      <c r="C48" s="28" t="s">
        <v>49</v>
      </c>
      <c r="D48" s="38">
        <v>206100</v>
      </c>
      <c r="E48" s="38">
        <v>207041</v>
      </c>
      <c r="F48" s="39">
        <f t="shared" si="0"/>
        <v>206570.5</v>
      </c>
    </row>
    <row r="49" spans="3:6" x14ac:dyDescent="0.25">
      <c r="C49" s="28" t="s">
        <v>50</v>
      </c>
      <c r="D49" s="38">
        <v>203073</v>
      </c>
      <c r="E49" s="38">
        <v>206855</v>
      </c>
      <c r="F49" s="39">
        <f t="shared" si="0"/>
        <v>204964</v>
      </c>
    </row>
    <row r="50" spans="3:6" x14ac:dyDescent="0.25">
      <c r="C50" s="28" t="s">
        <v>51</v>
      </c>
      <c r="D50" s="38">
        <v>204503</v>
      </c>
      <c r="E50" s="38">
        <v>203753</v>
      </c>
      <c r="F50" s="39">
        <f t="shared" si="0"/>
        <v>204128</v>
      </c>
    </row>
    <row r="51" spans="3:6" x14ac:dyDescent="0.25">
      <c r="C51" s="28" t="s">
        <v>52</v>
      </c>
      <c r="D51" s="38">
        <v>205701</v>
      </c>
      <c r="E51" s="38">
        <v>205223</v>
      </c>
      <c r="F51" s="39">
        <f t="shared" si="0"/>
        <v>205462</v>
      </c>
    </row>
    <row r="52" spans="3:6" x14ac:dyDescent="0.25">
      <c r="C52" s="28" t="s">
        <v>53</v>
      </c>
      <c r="D52" s="38">
        <v>214822</v>
      </c>
      <c r="E52" s="38">
        <v>206214</v>
      </c>
      <c r="F52" s="39">
        <f t="shared" si="0"/>
        <v>210518</v>
      </c>
    </row>
    <row r="53" spans="3:6" x14ac:dyDescent="0.25">
      <c r="C53" s="28" t="s">
        <v>54</v>
      </c>
      <c r="D53" s="38">
        <v>221788</v>
      </c>
      <c r="E53" s="38">
        <v>215171</v>
      </c>
      <c r="F53" s="39">
        <f t="shared" si="0"/>
        <v>218479.5</v>
      </c>
    </row>
    <row r="54" spans="3:6" x14ac:dyDescent="0.25">
      <c r="C54" s="28" t="s">
        <v>55</v>
      </c>
      <c r="D54" s="38">
        <v>239467</v>
      </c>
      <c r="E54" s="38">
        <v>222245</v>
      </c>
      <c r="F54" s="39">
        <f t="shared" si="0"/>
        <v>230856</v>
      </c>
    </row>
    <row r="55" spans="3:6" x14ac:dyDescent="0.25">
      <c r="C55" s="28" t="s">
        <v>56</v>
      </c>
      <c r="D55" s="38">
        <v>250796</v>
      </c>
      <c r="E55" s="38">
        <v>239601</v>
      </c>
      <c r="F55" s="39">
        <f t="shared" si="0"/>
        <v>245198.5</v>
      </c>
    </row>
    <row r="56" spans="3:6" x14ac:dyDescent="0.25">
      <c r="C56" s="28" t="s">
        <v>57</v>
      </c>
      <c r="D56" s="38">
        <v>261085</v>
      </c>
      <c r="E56" s="38">
        <v>250796</v>
      </c>
      <c r="F56" s="39">
        <f t="shared" si="0"/>
        <v>255940.5</v>
      </c>
    </row>
    <row r="57" spans="3:6" x14ac:dyDescent="0.25">
      <c r="C57" s="28" t="s">
        <v>58</v>
      </c>
      <c r="D57" s="38">
        <v>266184</v>
      </c>
      <c r="E57" s="38">
        <v>260912</v>
      </c>
      <c r="F57" s="39">
        <f t="shared" si="0"/>
        <v>263548</v>
      </c>
    </row>
    <row r="58" spans="3:6" x14ac:dyDescent="0.25">
      <c r="C58" s="28" t="s">
        <v>59</v>
      </c>
      <c r="D58" s="38">
        <v>254782</v>
      </c>
      <c r="E58" s="38">
        <v>265900</v>
      </c>
      <c r="F58" s="39">
        <f t="shared" si="0"/>
        <v>260341</v>
      </c>
    </row>
    <row r="59" spans="3:6" x14ac:dyDescent="0.25">
      <c r="C59" s="28" t="s">
        <v>60</v>
      </c>
      <c r="D59" s="38">
        <v>251614</v>
      </c>
      <c r="E59" s="38">
        <v>254354</v>
      </c>
      <c r="F59" s="39">
        <f t="shared" si="0"/>
        <v>252984</v>
      </c>
    </row>
    <row r="60" spans="3:6" x14ac:dyDescent="0.25">
      <c r="C60" s="28" t="s">
        <v>61</v>
      </c>
      <c r="D60" s="38">
        <v>252466</v>
      </c>
      <c r="E60" s="38">
        <v>251108</v>
      </c>
      <c r="F60" s="39">
        <f t="shared" si="0"/>
        <v>251787</v>
      </c>
    </row>
    <row r="61" spans="3:6" x14ac:dyDescent="0.25">
      <c r="C61" s="28" t="s">
        <v>62</v>
      </c>
      <c r="D61" s="38">
        <v>255486</v>
      </c>
      <c r="E61" s="38">
        <v>251762</v>
      </c>
      <c r="F61" s="39">
        <f t="shared" si="0"/>
        <v>253624</v>
      </c>
    </row>
    <row r="62" spans="3:6" x14ac:dyDescent="0.25">
      <c r="C62" s="28" t="s">
        <v>63</v>
      </c>
      <c r="D62" s="38">
        <v>259303</v>
      </c>
      <c r="E62" s="38">
        <v>254567</v>
      </c>
      <c r="F62" s="39">
        <f t="shared" si="0"/>
        <v>256935</v>
      </c>
    </row>
    <row r="63" spans="3:6" x14ac:dyDescent="0.25">
      <c r="C63" s="28" t="s">
        <v>64</v>
      </c>
      <c r="D63" s="38">
        <v>254398</v>
      </c>
      <c r="E63" s="38">
        <v>258325</v>
      </c>
      <c r="F63" s="39">
        <f t="shared" si="0"/>
        <v>256361.5</v>
      </c>
    </row>
    <row r="64" spans="3:6" x14ac:dyDescent="0.25">
      <c r="C64" s="28" t="s">
        <v>65</v>
      </c>
      <c r="D64" s="38">
        <v>248827</v>
      </c>
      <c r="E64" s="38">
        <v>253240</v>
      </c>
      <c r="F64" s="39">
        <f t="shared" si="0"/>
        <v>251033.5</v>
      </c>
    </row>
    <row r="65" spans="3:6" x14ac:dyDescent="0.25">
      <c r="C65" s="28" t="s">
        <v>66</v>
      </c>
      <c r="D65" s="38">
        <v>245543</v>
      </c>
      <c r="E65" s="38">
        <v>247599</v>
      </c>
      <c r="F65" s="39">
        <f t="shared" si="0"/>
        <v>246571</v>
      </c>
    </row>
    <row r="66" spans="3:6" x14ac:dyDescent="0.25">
      <c r="C66" s="28" t="s">
        <v>67</v>
      </c>
      <c r="D66" s="38">
        <v>237918</v>
      </c>
      <c r="E66" s="38">
        <v>243990</v>
      </c>
      <c r="F66" s="39">
        <f t="shared" si="0"/>
        <v>240954</v>
      </c>
    </row>
    <row r="67" spans="3:6" x14ac:dyDescent="0.25">
      <c r="C67" s="28" t="s">
        <v>68</v>
      </c>
      <c r="D67" s="38">
        <v>234687</v>
      </c>
      <c r="E67" s="38">
        <v>236460</v>
      </c>
      <c r="F67" s="39">
        <f t="shared" si="0"/>
        <v>235573.5</v>
      </c>
    </row>
    <row r="68" spans="3:6" x14ac:dyDescent="0.25">
      <c r="C68" s="28" t="s">
        <v>69</v>
      </c>
      <c r="D68" s="38">
        <v>227404</v>
      </c>
      <c r="E68" s="38">
        <v>232975</v>
      </c>
      <c r="F68" s="39">
        <f t="shared" si="0"/>
        <v>230189.5</v>
      </c>
    </row>
    <row r="69" spans="3:6" x14ac:dyDescent="0.25">
      <c r="C69" s="28" t="s">
        <v>70</v>
      </c>
      <c r="D69" s="38">
        <v>221404</v>
      </c>
      <c r="E69" s="38">
        <v>225583</v>
      </c>
      <c r="F69" s="39">
        <f t="shared" si="0"/>
        <v>223493.5</v>
      </c>
    </row>
    <row r="70" spans="3:6" x14ac:dyDescent="0.25">
      <c r="C70" s="28" t="s">
        <v>71</v>
      </c>
      <c r="D70" s="38">
        <v>216248</v>
      </c>
      <c r="E70" s="38">
        <v>219489</v>
      </c>
      <c r="F70" s="39">
        <f t="shared" si="0"/>
        <v>217868.5</v>
      </c>
    </row>
    <row r="71" spans="3:6" x14ac:dyDescent="0.25">
      <c r="C71" s="28" t="s">
        <v>72</v>
      </c>
      <c r="D71" s="38">
        <v>209603</v>
      </c>
      <c r="E71" s="38">
        <v>214114</v>
      </c>
      <c r="F71" s="39">
        <f t="shared" ref="F71:F111" si="1">(D71+E71)/2</f>
        <v>211858.5</v>
      </c>
    </row>
    <row r="72" spans="3:6" x14ac:dyDescent="0.25">
      <c r="C72" s="28" t="s">
        <v>73</v>
      </c>
      <c r="D72" s="38">
        <v>205025</v>
      </c>
      <c r="E72" s="38">
        <v>207190</v>
      </c>
      <c r="F72" s="39">
        <f t="shared" si="1"/>
        <v>206107.5</v>
      </c>
    </row>
    <row r="73" spans="3:6" x14ac:dyDescent="0.25">
      <c r="C73" s="28" t="s">
        <v>74</v>
      </c>
      <c r="D73" s="38">
        <v>200160</v>
      </c>
      <c r="E73" s="38">
        <v>202404</v>
      </c>
      <c r="F73" s="39">
        <f t="shared" si="1"/>
        <v>201282</v>
      </c>
    </row>
    <row r="74" spans="3:6" x14ac:dyDescent="0.25">
      <c r="C74" s="28" t="s">
        <v>75</v>
      </c>
      <c r="D74" s="38">
        <v>198911</v>
      </c>
      <c r="E74" s="38">
        <v>197548</v>
      </c>
      <c r="F74" s="39">
        <f t="shared" si="1"/>
        <v>198229.5</v>
      </c>
    </row>
    <row r="75" spans="3:6" x14ac:dyDescent="0.25">
      <c r="C75" s="28" t="s">
        <v>76</v>
      </c>
      <c r="D75" s="38">
        <v>190079</v>
      </c>
      <c r="E75" s="38">
        <v>196060</v>
      </c>
      <c r="F75" s="39">
        <f t="shared" si="1"/>
        <v>193069.5</v>
      </c>
    </row>
    <row r="76" spans="3:6" x14ac:dyDescent="0.25">
      <c r="C76" s="28" t="s">
        <v>77</v>
      </c>
      <c r="D76" s="38">
        <v>189248</v>
      </c>
      <c r="E76" s="38">
        <v>187009</v>
      </c>
      <c r="F76" s="39">
        <f t="shared" si="1"/>
        <v>188128.5</v>
      </c>
    </row>
    <row r="77" spans="3:6" x14ac:dyDescent="0.25">
      <c r="C77" s="28" t="s">
        <v>78</v>
      </c>
      <c r="D77" s="38">
        <v>189136</v>
      </c>
      <c r="E77" s="38">
        <v>185993</v>
      </c>
      <c r="F77" s="39">
        <f t="shared" si="1"/>
        <v>187564.5</v>
      </c>
    </row>
    <row r="78" spans="3:6" x14ac:dyDescent="0.25">
      <c r="C78" s="28" t="s">
        <v>79</v>
      </c>
      <c r="D78" s="38">
        <v>192126</v>
      </c>
      <c r="E78" s="38">
        <v>185630</v>
      </c>
      <c r="F78" s="39">
        <f t="shared" si="1"/>
        <v>188878</v>
      </c>
    </row>
    <row r="79" spans="3:6" x14ac:dyDescent="0.25">
      <c r="C79" s="28" t="s">
        <v>80</v>
      </c>
      <c r="D79" s="38">
        <v>198904</v>
      </c>
      <c r="E79" s="38">
        <v>188339</v>
      </c>
      <c r="F79" s="39">
        <f t="shared" si="1"/>
        <v>193621.5</v>
      </c>
    </row>
    <row r="80" spans="3:6" x14ac:dyDescent="0.25">
      <c r="C80" s="28" t="s">
        <v>81</v>
      </c>
      <c r="D80" s="38">
        <v>201622</v>
      </c>
      <c r="E80" s="38">
        <v>194454</v>
      </c>
      <c r="F80" s="39">
        <f t="shared" si="1"/>
        <v>198038</v>
      </c>
    </row>
    <row r="81" spans="3:6" x14ac:dyDescent="0.25">
      <c r="C81" s="28" t="s">
        <v>82</v>
      </c>
      <c r="D81" s="38">
        <v>140597</v>
      </c>
      <c r="E81" s="38">
        <v>196590</v>
      </c>
      <c r="F81" s="39">
        <f t="shared" si="1"/>
        <v>168593.5</v>
      </c>
    </row>
    <row r="82" spans="3:6" x14ac:dyDescent="0.25">
      <c r="C82" s="28" t="s">
        <v>83</v>
      </c>
      <c r="D82" s="38">
        <v>143353</v>
      </c>
      <c r="E82" s="38">
        <v>136563</v>
      </c>
      <c r="F82" s="39">
        <f t="shared" si="1"/>
        <v>139958</v>
      </c>
    </row>
    <row r="83" spans="3:6" x14ac:dyDescent="0.25">
      <c r="C83" s="28" t="s">
        <v>84</v>
      </c>
      <c r="D83" s="38">
        <v>132521</v>
      </c>
      <c r="E83" s="38">
        <v>138728</v>
      </c>
      <c r="F83" s="39">
        <f t="shared" si="1"/>
        <v>135624.5</v>
      </c>
    </row>
    <row r="84" spans="3:6" x14ac:dyDescent="0.25">
      <c r="C84" s="28" t="s">
        <v>85</v>
      </c>
      <c r="D84" s="38">
        <v>118606</v>
      </c>
      <c r="E84" s="38">
        <v>127888</v>
      </c>
      <c r="F84" s="39">
        <f t="shared" si="1"/>
        <v>123247</v>
      </c>
    </row>
    <row r="85" spans="3:6" x14ac:dyDescent="0.25">
      <c r="C85" s="28" t="s">
        <v>86</v>
      </c>
      <c r="D85" s="38">
        <v>108983</v>
      </c>
      <c r="E85" s="38">
        <v>113836</v>
      </c>
      <c r="F85" s="39">
        <f t="shared" si="1"/>
        <v>111409.5</v>
      </c>
    </row>
    <row r="86" spans="3:6" x14ac:dyDescent="0.25">
      <c r="C86" s="28" t="s">
        <v>87</v>
      </c>
      <c r="D86" s="38">
        <v>107048</v>
      </c>
      <c r="E86" s="38">
        <v>104107</v>
      </c>
      <c r="F86" s="39">
        <f t="shared" si="1"/>
        <v>105577.5</v>
      </c>
    </row>
    <row r="87" spans="3:6" x14ac:dyDescent="0.25">
      <c r="C87" s="28" t="s">
        <v>88</v>
      </c>
      <c r="D87" s="38">
        <v>98199</v>
      </c>
      <c r="E87" s="38">
        <v>101553</v>
      </c>
      <c r="F87" s="39">
        <f t="shared" si="1"/>
        <v>99876</v>
      </c>
    </row>
    <row r="88" spans="3:6" x14ac:dyDescent="0.25">
      <c r="C88" s="28" t="s">
        <v>89</v>
      </c>
      <c r="D88" s="38">
        <v>90976</v>
      </c>
      <c r="E88" s="38">
        <v>92671</v>
      </c>
      <c r="F88" s="39">
        <f t="shared" si="1"/>
        <v>91823.5</v>
      </c>
    </row>
    <row r="89" spans="3:6" x14ac:dyDescent="0.25">
      <c r="C89" s="28" t="s">
        <v>90</v>
      </c>
      <c r="D89" s="38">
        <v>79679</v>
      </c>
      <c r="E89" s="38">
        <v>85237</v>
      </c>
      <c r="F89" s="39">
        <f t="shared" si="1"/>
        <v>82458</v>
      </c>
    </row>
    <row r="90" spans="3:6" x14ac:dyDescent="0.25">
      <c r="C90" s="28" t="s">
        <v>91</v>
      </c>
      <c r="D90" s="38">
        <v>73221</v>
      </c>
      <c r="E90" s="38">
        <v>73972</v>
      </c>
      <c r="F90" s="39">
        <f t="shared" si="1"/>
        <v>73596.5</v>
      </c>
    </row>
    <row r="91" spans="3:6" x14ac:dyDescent="0.25">
      <c r="C91" s="28" t="s">
        <v>92</v>
      </c>
      <c r="D91" s="38">
        <v>65612</v>
      </c>
      <c r="E91" s="38">
        <v>67067</v>
      </c>
      <c r="F91" s="39">
        <f t="shared" si="1"/>
        <v>66339.5</v>
      </c>
    </row>
    <row r="92" spans="3:6" x14ac:dyDescent="0.25">
      <c r="C92" s="28" t="s">
        <v>93</v>
      </c>
      <c r="D92" s="38">
        <v>58402</v>
      </c>
      <c r="E92" s="38">
        <v>59420</v>
      </c>
      <c r="F92" s="39">
        <f t="shared" si="1"/>
        <v>58911</v>
      </c>
    </row>
    <row r="93" spans="3:6" x14ac:dyDescent="0.25">
      <c r="C93" s="28" t="s">
        <v>94</v>
      </c>
      <c r="D93" s="38">
        <v>50597</v>
      </c>
      <c r="E93" s="38">
        <v>52155</v>
      </c>
      <c r="F93" s="39">
        <f t="shared" si="1"/>
        <v>51376</v>
      </c>
    </row>
    <row r="94" spans="3:6" x14ac:dyDescent="0.25">
      <c r="C94" s="28" t="s">
        <v>95</v>
      </c>
      <c r="D94" s="38">
        <v>45191</v>
      </c>
      <c r="E94" s="38">
        <v>44428</v>
      </c>
      <c r="F94" s="39">
        <f t="shared" si="1"/>
        <v>44809.5</v>
      </c>
    </row>
    <row r="95" spans="3:6" x14ac:dyDescent="0.25">
      <c r="C95" s="28" t="s">
        <v>96</v>
      </c>
      <c r="D95" s="38">
        <v>38007</v>
      </c>
      <c r="E95" s="38">
        <v>38948</v>
      </c>
      <c r="F95" s="39">
        <f t="shared" si="1"/>
        <v>38477.5</v>
      </c>
    </row>
    <row r="96" spans="3:6" x14ac:dyDescent="0.25">
      <c r="C96" s="28" t="s">
        <v>97</v>
      </c>
      <c r="D96" s="38">
        <v>32206</v>
      </c>
      <c r="E96" s="38">
        <v>32086</v>
      </c>
      <c r="F96" s="39">
        <f t="shared" si="1"/>
        <v>32146</v>
      </c>
    </row>
    <row r="97" spans="3:6" x14ac:dyDescent="0.25">
      <c r="C97" s="28" t="s">
        <v>98</v>
      </c>
      <c r="D97" s="38">
        <v>25188</v>
      </c>
      <c r="E97" s="38">
        <v>26672</v>
      </c>
      <c r="F97" s="39">
        <f t="shared" si="1"/>
        <v>25930</v>
      </c>
    </row>
    <row r="98" spans="3:6" x14ac:dyDescent="0.25">
      <c r="C98" s="28" t="s">
        <v>99</v>
      </c>
      <c r="D98" s="38">
        <v>20335</v>
      </c>
      <c r="E98" s="38">
        <v>20250</v>
      </c>
      <c r="F98" s="39">
        <f t="shared" si="1"/>
        <v>20292.5</v>
      </c>
    </row>
    <row r="99" spans="3:6" x14ac:dyDescent="0.25">
      <c r="C99" s="28" t="s">
        <v>100</v>
      </c>
      <c r="D99" s="38">
        <v>15450</v>
      </c>
      <c r="E99" s="38">
        <v>16003</v>
      </c>
      <c r="F99" s="39">
        <f t="shared" si="1"/>
        <v>15726.5</v>
      </c>
    </row>
    <row r="100" spans="3:6" x14ac:dyDescent="0.25">
      <c r="C100" s="28" t="s">
        <v>101</v>
      </c>
      <c r="D100" s="38">
        <v>11869</v>
      </c>
      <c r="E100" s="38">
        <v>11729</v>
      </c>
      <c r="F100" s="39">
        <f t="shared" si="1"/>
        <v>11799</v>
      </c>
    </row>
    <row r="101" spans="3:6" x14ac:dyDescent="0.25">
      <c r="C101" s="28" t="s">
        <v>102</v>
      </c>
      <c r="D101" s="38">
        <v>8685</v>
      </c>
      <c r="E101" s="38">
        <v>8822</v>
      </c>
      <c r="F101" s="39">
        <f t="shared" si="1"/>
        <v>8753.5</v>
      </c>
    </row>
    <row r="102" spans="3:6" x14ac:dyDescent="0.25">
      <c r="C102" s="28" t="s">
        <v>103</v>
      </c>
      <c r="D102" s="38">
        <v>6349</v>
      </c>
      <c r="E102" s="38">
        <v>6229</v>
      </c>
      <c r="F102" s="39">
        <f t="shared" si="1"/>
        <v>6289</v>
      </c>
    </row>
    <row r="103" spans="3:6" x14ac:dyDescent="0.25">
      <c r="C103" s="28" t="s">
        <v>104</v>
      </c>
      <c r="D103" s="38">
        <v>4352</v>
      </c>
      <c r="E103" s="38">
        <v>4356</v>
      </c>
      <c r="F103" s="39">
        <f t="shared" si="1"/>
        <v>4354</v>
      </c>
    </row>
    <row r="104" spans="3:6" x14ac:dyDescent="0.25">
      <c r="C104" s="28" t="s">
        <v>105</v>
      </c>
      <c r="D104" s="38">
        <v>2922</v>
      </c>
      <c r="E104" s="38">
        <v>2895</v>
      </c>
      <c r="F104" s="39">
        <f t="shared" si="1"/>
        <v>2908.5</v>
      </c>
    </row>
    <row r="105" spans="3:6" x14ac:dyDescent="0.25">
      <c r="C105" s="28" t="s">
        <v>106</v>
      </c>
      <c r="D105" s="38">
        <v>1837</v>
      </c>
      <c r="E105" s="38">
        <v>1912</v>
      </c>
      <c r="F105" s="39">
        <f t="shared" si="1"/>
        <v>1874.5</v>
      </c>
    </row>
    <row r="106" spans="3:6" x14ac:dyDescent="0.25">
      <c r="C106" s="28" t="s">
        <v>107</v>
      </c>
      <c r="D106" s="38">
        <v>1169</v>
      </c>
      <c r="E106" s="38">
        <v>1146</v>
      </c>
      <c r="F106" s="39">
        <f t="shared" si="1"/>
        <v>1157.5</v>
      </c>
    </row>
    <row r="107" spans="3:6" x14ac:dyDescent="0.25">
      <c r="C107" s="28" t="s">
        <v>108</v>
      </c>
      <c r="D107" s="38">
        <v>638</v>
      </c>
      <c r="E107" s="38">
        <v>705</v>
      </c>
      <c r="F107" s="39">
        <f t="shared" si="1"/>
        <v>671.5</v>
      </c>
    </row>
    <row r="108" spans="3:6" x14ac:dyDescent="0.25">
      <c r="C108" s="28" t="s">
        <v>109</v>
      </c>
      <c r="D108" s="38">
        <v>341</v>
      </c>
      <c r="E108" s="38">
        <v>355</v>
      </c>
      <c r="F108" s="39">
        <f t="shared" si="1"/>
        <v>348</v>
      </c>
    </row>
    <row r="109" spans="3:6" x14ac:dyDescent="0.25">
      <c r="C109" s="28" t="s">
        <v>110</v>
      </c>
      <c r="D109" s="38">
        <v>201</v>
      </c>
      <c r="E109" s="38">
        <v>199</v>
      </c>
      <c r="F109" s="39">
        <f t="shared" si="1"/>
        <v>200</v>
      </c>
    </row>
    <row r="110" spans="3:6" x14ac:dyDescent="0.25">
      <c r="C110" s="28" t="s">
        <v>111</v>
      </c>
      <c r="D110" s="38">
        <v>97</v>
      </c>
      <c r="E110" s="38">
        <v>104</v>
      </c>
      <c r="F110" s="39">
        <f t="shared" si="1"/>
        <v>100.5</v>
      </c>
    </row>
    <row r="111" spans="3:6" x14ac:dyDescent="0.25">
      <c r="C111" s="28" t="s">
        <v>112</v>
      </c>
      <c r="D111" s="38">
        <v>90</v>
      </c>
      <c r="E111" s="38">
        <v>86</v>
      </c>
      <c r="F111" s="39">
        <f t="shared" si="1"/>
        <v>88</v>
      </c>
    </row>
    <row r="112" spans="3:6" x14ac:dyDescent="0.25">
      <c r="C112" s="28" t="s">
        <v>113</v>
      </c>
      <c r="D112" s="38">
        <f>SUM(D6:D111)</f>
        <v>17475415</v>
      </c>
      <c r="E112" s="38">
        <f>SUM(E6:E111)</f>
        <v>17590672</v>
      </c>
      <c r="F112" s="39">
        <f>SUM(F6:F111)</f>
        <v>17533043.5</v>
      </c>
    </row>
  </sheetData>
  <mergeCells count="4">
    <mergeCell ref="C4:F4"/>
    <mergeCell ref="H5:K5"/>
    <mergeCell ref="H6:K6"/>
    <mergeCell ref="H7:K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BD4BB-5E5F-4F84-B36E-369D0365AD7D}">
  <sheetPr>
    <tabColor theme="5" tint="0.39997558519241921"/>
  </sheetPr>
  <dimension ref="C2:Z27"/>
  <sheetViews>
    <sheetView workbookViewId="0">
      <selection activeCell="B2" sqref="B2:E16"/>
    </sheetView>
  </sheetViews>
  <sheetFormatPr defaultRowHeight="12.75" x14ac:dyDescent="0.2"/>
  <cols>
    <col min="1" max="2" width="9.140625" style="1"/>
    <col min="3" max="3" width="30.28515625" style="1" customWidth="1"/>
    <col min="4" max="4" width="12.5703125" style="1" customWidth="1"/>
    <col min="5" max="5" width="15.7109375" style="1" customWidth="1"/>
    <col min="6" max="12" width="9.140625" style="1"/>
    <col min="13" max="13" width="30.42578125" style="1" customWidth="1"/>
    <col min="14" max="14" width="9.140625" style="1"/>
    <col min="15" max="15" width="12.85546875" style="1" customWidth="1"/>
    <col min="16" max="16384" width="9.140625" style="1"/>
  </cols>
  <sheetData>
    <row r="2" spans="3:26" ht="15.75" x14ac:dyDescent="0.25">
      <c r="C2" s="12" t="s">
        <v>136</v>
      </c>
      <c r="M2" s="12" t="s">
        <v>137</v>
      </c>
    </row>
    <row r="3" spans="3:26" x14ac:dyDescent="0.2">
      <c r="M3" s="2" t="s">
        <v>140</v>
      </c>
    </row>
    <row r="4" spans="3:26" ht="15" x14ac:dyDescent="0.2">
      <c r="C4" s="13" t="s">
        <v>127</v>
      </c>
    </row>
    <row r="5" spans="3:26" ht="15" x14ac:dyDescent="0.2">
      <c r="C5" s="13"/>
    </row>
    <row r="6" spans="3:26" ht="15" x14ac:dyDescent="0.2">
      <c r="C6" s="13"/>
    </row>
    <row r="7" spans="3:26" x14ac:dyDescent="0.2">
      <c r="C7" s="2"/>
      <c r="D7" s="135" t="s">
        <v>132</v>
      </c>
      <c r="E7" s="135"/>
      <c r="F7" s="135" t="s">
        <v>135</v>
      </c>
      <c r="G7" s="135"/>
      <c r="H7" s="135"/>
    </row>
    <row r="8" spans="3:26" ht="25.5" x14ac:dyDescent="0.2">
      <c r="C8" s="2" t="s">
        <v>128</v>
      </c>
      <c r="D8" s="34" t="s">
        <v>133</v>
      </c>
      <c r="E8" s="34" t="s">
        <v>134</v>
      </c>
      <c r="F8" s="34" t="s">
        <v>133</v>
      </c>
      <c r="G8" s="34" t="s">
        <v>134</v>
      </c>
      <c r="H8" s="34" t="s">
        <v>113</v>
      </c>
      <c r="M8" s="2" t="s">
        <v>128</v>
      </c>
      <c r="N8" s="11" t="s">
        <v>139</v>
      </c>
      <c r="O8" s="11" t="s">
        <v>143</v>
      </c>
      <c r="R8" s="15" t="s">
        <v>155</v>
      </c>
    </row>
    <row r="9" spans="3:26" x14ac:dyDescent="0.2">
      <c r="C9" s="11" t="s">
        <v>129</v>
      </c>
      <c r="D9" s="33">
        <v>1.8</v>
      </c>
      <c r="E9" s="33">
        <v>1.3</v>
      </c>
      <c r="F9" s="33">
        <v>15300</v>
      </c>
      <c r="G9" s="33">
        <v>11300</v>
      </c>
      <c r="H9" s="33">
        <f>F9+G9</f>
        <v>26600</v>
      </c>
      <c r="M9" s="2" t="s">
        <v>138</v>
      </c>
      <c r="N9" s="1">
        <v>7284</v>
      </c>
      <c r="O9" s="1">
        <v>41.5</v>
      </c>
    </row>
    <row r="10" spans="3:26" ht="15.75" customHeight="1" x14ac:dyDescent="0.2">
      <c r="C10" s="11" t="s">
        <v>130</v>
      </c>
      <c r="D10" s="33">
        <v>5.5</v>
      </c>
      <c r="E10" s="33">
        <v>2.4</v>
      </c>
      <c r="F10" s="33">
        <v>48200</v>
      </c>
      <c r="G10" s="33">
        <v>21600</v>
      </c>
      <c r="H10" s="33">
        <f t="shared" ref="H10:H11" si="0">F10+G10</f>
        <v>69800</v>
      </c>
      <c r="M10" s="11" t="s">
        <v>141</v>
      </c>
      <c r="N10" s="1">
        <v>30728</v>
      </c>
      <c r="O10" s="1">
        <v>175.3</v>
      </c>
    </row>
    <row r="11" spans="3:26" ht="15.75" customHeight="1" x14ac:dyDescent="0.2">
      <c r="C11" s="11" t="s">
        <v>131</v>
      </c>
      <c r="D11" s="33">
        <v>0.8</v>
      </c>
      <c r="E11" s="33">
        <v>0.4</v>
      </c>
      <c r="F11" s="33">
        <v>6800</v>
      </c>
      <c r="G11" s="33">
        <v>3300</v>
      </c>
      <c r="H11" s="33">
        <f t="shared" si="0"/>
        <v>10100</v>
      </c>
      <c r="M11" s="11" t="s">
        <v>142</v>
      </c>
      <c r="N11" s="1">
        <v>13881</v>
      </c>
      <c r="O11" s="1">
        <v>79.2</v>
      </c>
      <c r="P11" s="14"/>
    </row>
    <row r="12" spans="3:26" x14ac:dyDescent="0.2">
      <c r="D12" s="33"/>
      <c r="E12" s="33"/>
      <c r="F12" s="33"/>
      <c r="G12" s="33"/>
      <c r="H12" s="33">
        <f>SUM(H9:H11)</f>
        <v>106500</v>
      </c>
      <c r="N12" s="1">
        <f>SUM(N9:N11)</f>
        <v>51893</v>
      </c>
      <c r="R12" s="15" t="s">
        <v>156</v>
      </c>
    </row>
    <row r="15" spans="3:26" x14ac:dyDescent="0.2">
      <c r="C15" s="15" t="s">
        <v>153</v>
      </c>
    </row>
    <row r="16" spans="3:26" ht="15.75" x14ac:dyDescent="0.25">
      <c r="C16" s="15" t="s">
        <v>154</v>
      </c>
      <c r="M16" s="29" t="s">
        <v>144</v>
      </c>
      <c r="N16" s="29"/>
      <c r="O16" s="29"/>
      <c r="P16" s="29"/>
      <c r="Q16" s="29"/>
      <c r="R16" s="29"/>
      <c r="S16" s="30"/>
      <c r="T16" s="30"/>
      <c r="U16" s="30"/>
      <c r="V16" s="30"/>
      <c r="W16" s="30"/>
      <c r="X16" s="30"/>
      <c r="Y16" s="30"/>
      <c r="Z16" s="30"/>
    </row>
    <row r="17" spans="3:26" x14ac:dyDescent="0.2">
      <c r="M17" s="30" t="s">
        <v>147</v>
      </c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3:26" x14ac:dyDescent="0.2"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3:26" x14ac:dyDescent="0.2">
      <c r="M19" s="30" t="s">
        <v>145</v>
      </c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3:26" x14ac:dyDescent="0.2">
      <c r="C20" s="6" t="s">
        <v>178</v>
      </c>
      <c r="D20" s="10">
        <f>N12</f>
        <v>51893</v>
      </c>
      <c r="M20" s="30" t="s">
        <v>146</v>
      </c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3:26" x14ac:dyDescent="0.2"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3:26" x14ac:dyDescent="0.2">
      <c r="M22" s="30" t="s">
        <v>151</v>
      </c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3:26" x14ac:dyDescent="0.2">
      <c r="M23" s="31">
        <f>(267*Bevolkingsgegevens!L5)/100000</f>
        <v>46813.226145000001</v>
      </c>
      <c r="N23" s="30" t="s">
        <v>152</v>
      </c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3:26" x14ac:dyDescent="0.2"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3:26" x14ac:dyDescent="0.2"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3:26" x14ac:dyDescent="0.2">
      <c r="M26" s="32" t="s">
        <v>148</v>
      </c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3:26" x14ac:dyDescent="0.2"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</sheetData>
  <mergeCells count="2">
    <mergeCell ref="D7:E7"/>
    <mergeCell ref="F7:H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270A-621A-4797-9A57-E27524992942}">
  <sheetPr>
    <tabColor theme="9" tint="0.39997558519241921"/>
  </sheetPr>
  <dimension ref="B1:AA56"/>
  <sheetViews>
    <sheetView workbookViewId="0">
      <selection activeCell="B11" sqref="B11"/>
    </sheetView>
  </sheetViews>
  <sheetFormatPr defaultRowHeight="15" x14ac:dyDescent="0.25"/>
  <cols>
    <col min="1" max="1" width="3.85546875" customWidth="1"/>
    <col min="3" max="3" width="9.85546875" customWidth="1"/>
    <col min="4" max="4" width="11.85546875" bestFit="1" customWidth="1"/>
    <col min="5" max="5" width="12" customWidth="1"/>
    <col min="6" max="6" width="11.85546875" customWidth="1"/>
    <col min="7" max="7" width="10.28515625" customWidth="1"/>
    <col min="9" max="9" width="10.42578125" customWidth="1"/>
    <col min="10" max="10" width="10.7109375" customWidth="1"/>
    <col min="11" max="11" width="13.140625" customWidth="1"/>
    <col min="12" max="12" width="14.7109375" customWidth="1"/>
    <col min="13" max="13" width="14" customWidth="1"/>
    <col min="14" max="14" width="10.28515625" customWidth="1"/>
    <col min="15" max="15" width="93.140625" customWidth="1"/>
    <col min="16" max="16" width="11.7109375" customWidth="1"/>
    <col min="17" max="17" width="12" customWidth="1"/>
    <col min="18" max="18" width="11.85546875" customWidth="1"/>
  </cols>
  <sheetData>
    <row r="1" spans="2:18" x14ac:dyDescent="0.25">
      <c r="B1" s="46" t="s">
        <v>185</v>
      </c>
    </row>
    <row r="2" spans="2:18" ht="18.75" x14ac:dyDescent="0.3">
      <c r="B2" s="35"/>
    </row>
    <row r="4" spans="2:18" x14ac:dyDescent="0.25">
      <c r="B4" s="113" t="s">
        <v>195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"/>
      <c r="O4" s="1"/>
      <c r="P4" s="1"/>
      <c r="Q4" s="1"/>
      <c r="R4" s="1"/>
    </row>
    <row r="5" spans="2:18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2:18" x14ac:dyDescent="0.25">
      <c r="B6" s="109" t="s">
        <v>173</v>
      </c>
      <c r="C6" s="110"/>
      <c r="D6" s="110"/>
      <c r="E6" s="110"/>
      <c r="F6" s="111"/>
      <c r="G6" s="40">
        <v>360000</v>
      </c>
      <c r="H6" s="15" t="s">
        <v>186</v>
      </c>
      <c r="N6" s="41"/>
    </row>
    <row r="7" spans="2:18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2:18" x14ac:dyDescent="0.25">
      <c r="B8" s="112" t="s">
        <v>189</v>
      </c>
      <c r="C8" s="112"/>
      <c r="D8" s="112"/>
      <c r="E8" s="112"/>
      <c r="F8" s="112"/>
      <c r="G8" s="43"/>
      <c r="H8" s="1"/>
      <c r="I8" s="112" t="s">
        <v>188</v>
      </c>
      <c r="J8" s="112"/>
      <c r="K8" s="112"/>
      <c r="L8" s="112"/>
      <c r="M8" s="112"/>
      <c r="N8" s="43"/>
    </row>
    <row r="9" spans="2:18" x14ac:dyDescent="0.25">
      <c r="B9" s="37" t="s">
        <v>168</v>
      </c>
      <c r="C9" s="37" t="s">
        <v>169</v>
      </c>
      <c r="D9" s="37" t="s">
        <v>170</v>
      </c>
      <c r="E9" s="37" t="s">
        <v>171</v>
      </c>
      <c r="F9" s="37" t="s">
        <v>172</v>
      </c>
      <c r="G9" s="25"/>
      <c r="H9" s="1"/>
      <c r="I9" s="37" t="s">
        <v>168</v>
      </c>
      <c r="J9" s="37" t="s">
        <v>169</v>
      </c>
      <c r="K9" s="37" t="s">
        <v>170</v>
      </c>
      <c r="L9" s="37" t="s">
        <v>171</v>
      </c>
      <c r="M9" s="37" t="s">
        <v>172</v>
      </c>
      <c r="N9" s="25"/>
    </row>
    <row r="10" spans="2:18" x14ac:dyDescent="0.25">
      <c r="B10" s="91" t="str">
        <f>"(35)"</f>
        <v>(35)</v>
      </c>
      <c r="C10" s="91">
        <v>40</v>
      </c>
      <c r="D10" s="136">
        <f>IF($G$6&gt;0,$G$6-SUM(D11:D50),1.68894*SUM(D21:D50))</f>
        <v>81800</v>
      </c>
      <c r="E10" s="136">
        <f>IF($G$6&gt;0,$G$6-SUM(E11:E50),1.68894*SUM(E21:E50))</f>
        <v>81800</v>
      </c>
      <c r="F10" s="92">
        <f>IF($G$6&gt;0,$G$6-SUM(F11:F50),"niet bekend")</f>
        <v>66300</v>
      </c>
      <c r="I10" s="91" t="str">
        <f>"(30)"</f>
        <v>(30)</v>
      </c>
      <c r="J10" s="91">
        <v>35</v>
      </c>
      <c r="K10" s="137">
        <f>IF($G$6&gt;0,$G$6-SUM(K16:K50),2.975*SUM(K21:K50))</f>
        <v>66300</v>
      </c>
      <c r="L10" s="137">
        <f>IF($G$6&gt;0,$G$6-SUM(L16:L50),2.975*SUM(L21:L50))</f>
        <v>80440</v>
      </c>
      <c r="M10" s="136">
        <f>IF($G$6&gt;0,$G$6-SUM(M11:M50),15.15587*SUM(M26:M30))</f>
        <v>80440</v>
      </c>
      <c r="N10" s="25"/>
    </row>
    <row r="11" spans="2:18" x14ac:dyDescent="0.25">
      <c r="B11" s="91">
        <v>40</v>
      </c>
      <c r="C11" s="91">
        <v>41</v>
      </c>
      <c r="D11" s="47"/>
      <c r="E11" s="47"/>
      <c r="F11" s="47"/>
      <c r="G11" s="1"/>
      <c r="H11" s="1"/>
      <c r="I11" s="91">
        <v>35</v>
      </c>
      <c r="J11" s="91">
        <v>36</v>
      </c>
      <c r="K11" s="138"/>
      <c r="L11" s="138"/>
      <c r="M11" s="47"/>
      <c r="N11" s="1"/>
    </row>
    <row r="12" spans="2:18" x14ac:dyDescent="0.25">
      <c r="B12" s="91">
        <f>B11+1</f>
        <v>41</v>
      </c>
      <c r="C12" s="91">
        <f>C11+1</f>
        <v>42</v>
      </c>
      <c r="D12" s="47"/>
      <c r="E12" s="47"/>
      <c r="F12" s="47"/>
      <c r="G12" s="1"/>
      <c r="H12" s="1"/>
      <c r="I12" s="91">
        <v>36</v>
      </c>
      <c r="J12" s="91">
        <v>37</v>
      </c>
      <c r="K12" s="138"/>
      <c r="L12" s="138"/>
      <c r="M12" s="47"/>
      <c r="N12" s="1"/>
    </row>
    <row r="13" spans="2:18" x14ac:dyDescent="0.25">
      <c r="B13" s="91">
        <f t="shared" ref="B13:C40" si="0">B12+1</f>
        <v>42</v>
      </c>
      <c r="C13" s="91">
        <f t="shared" si="0"/>
        <v>43</v>
      </c>
      <c r="D13" s="48">
        <v>500</v>
      </c>
      <c r="E13" s="48">
        <v>500</v>
      </c>
      <c r="F13" s="47"/>
      <c r="G13" s="1"/>
      <c r="H13" s="1"/>
      <c r="I13" s="91">
        <v>37</v>
      </c>
      <c r="J13" s="91">
        <v>38</v>
      </c>
      <c r="K13" s="138"/>
      <c r="L13" s="138"/>
      <c r="M13" s="47"/>
      <c r="N13" s="1"/>
    </row>
    <row r="14" spans="2:18" x14ac:dyDescent="0.25">
      <c r="B14" s="91">
        <f t="shared" si="0"/>
        <v>43</v>
      </c>
      <c r="C14" s="91">
        <f t="shared" si="0"/>
        <v>44</v>
      </c>
      <c r="D14" s="48">
        <v>500</v>
      </c>
      <c r="E14" s="48">
        <v>500</v>
      </c>
      <c r="F14" s="48"/>
      <c r="G14" s="1"/>
      <c r="H14" s="1"/>
      <c r="I14" s="91">
        <v>38</v>
      </c>
      <c r="J14" s="91">
        <v>39</v>
      </c>
      <c r="K14" s="138"/>
      <c r="L14" s="138"/>
      <c r="M14" s="47"/>
      <c r="N14" s="1"/>
    </row>
    <row r="15" spans="2:18" x14ac:dyDescent="0.25">
      <c r="B15" s="91">
        <f t="shared" si="0"/>
        <v>44</v>
      </c>
      <c r="C15" s="91">
        <f t="shared" si="0"/>
        <v>45</v>
      </c>
      <c r="D15" s="48">
        <v>500</v>
      </c>
      <c r="E15" s="48">
        <v>500</v>
      </c>
      <c r="F15" s="48"/>
      <c r="G15" s="1"/>
      <c r="H15" s="1"/>
      <c r="I15" s="91">
        <v>39</v>
      </c>
      <c r="J15" s="91">
        <v>40</v>
      </c>
      <c r="K15" s="139"/>
      <c r="L15" s="139"/>
      <c r="M15" s="47"/>
      <c r="N15" s="1"/>
    </row>
    <row r="16" spans="2:18" x14ac:dyDescent="0.25">
      <c r="B16" s="91">
        <f t="shared" si="0"/>
        <v>45</v>
      </c>
      <c r="C16" s="91">
        <f t="shared" si="0"/>
        <v>46</v>
      </c>
      <c r="D16" s="48">
        <v>500</v>
      </c>
      <c r="E16" s="48">
        <v>500</v>
      </c>
      <c r="F16" s="48"/>
      <c r="G16" s="1"/>
      <c r="H16" s="1"/>
      <c r="I16" s="91">
        <v>40</v>
      </c>
      <c r="J16" s="91">
        <v>41</v>
      </c>
      <c r="K16" s="47"/>
      <c r="L16" s="47"/>
      <c r="M16" s="47"/>
      <c r="N16" s="1"/>
    </row>
    <row r="17" spans="2:27" x14ac:dyDescent="0.25">
      <c r="B17" s="91">
        <f t="shared" si="0"/>
        <v>46</v>
      </c>
      <c r="C17" s="91">
        <f t="shared" si="0"/>
        <v>47</v>
      </c>
      <c r="D17" s="48">
        <v>500</v>
      </c>
      <c r="E17" s="48">
        <v>500</v>
      </c>
      <c r="F17" s="48"/>
      <c r="G17" s="1"/>
      <c r="H17" s="1"/>
      <c r="I17" s="91">
        <f t="shared" ref="I17:I50" si="1">I16+1</f>
        <v>41</v>
      </c>
      <c r="J17" s="91">
        <f t="shared" ref="J17:J49" si="2">J16+1</f>
        <v>42</v>
      </c>
      <c r="K17" s="47"/>
      <c r="L17" s="47"/>
      <c r="M17" s="47"/>
      <c r="N17" s="1"/>
    </row>
    <row r="18" spans="2:27" x14ac:dyDescent="0.25">
      <c r="B18" s="91">
        <f t="shared" si="0"/>
        <v>47</v>
      </c>
      <c r="C18" s="91">
        <f t="shared" si="0"/>
        <v>48</v>
      </c>
      <c r="D18" s="48">
        <v>500</v>
      </c>
      <c r="E18" s="48">
        <v>500</v>
      </c>
      <c r="F18" s="48"/>
      <c r="G18" s="1"/>
      <c r="H18" s="1"/>
      <c r="I18" s="91">
        <f t="shared" si="1"/>
        <v>42</v>
      </c>
      <c r="J18" s="91">
        <f t="shared" si="2"/>
        <v>43</v>
      </c>
      <c r="K18" s="47"/>
      <c r="L18" s="47"/>
      <c r="M18" s="47"/>
      <c r="N18" s="1"/>
    </row>
    <row r="19" spans="2:27" x14ac:dyDescent="0.25">
      <c r="B19" s="91">
        <f t="shared" si="0"/>
        <v>48</v>
      </c>
      <c r="C19" s="91">
        <f t="shared" si="0"/>
        <v>49</v>
      </c>
      <c r="D19" s="48">
        <v>500</v>
      </c>
      <c r="E19" s="48">
        <v>500</v>
      </c>
      <c r="F19" s="48"/>
      <c r="G19" s="1"/>
      <c r="H19" s="1"/>
      <c r="I19" s="91">
        <f t="shared" si="1"/>
        <v>43</v>
      </c>
      <c r="J19" s="91">
        <f t="shared" si="2"/>
        <v>44</v>
      </c>
      <c r="K19" s="48"/>
      <c r="L19" s="48"/>
      <c r="M19" s="48"/>
      <c r="N19" s="1"/>
    </row>
    <row r="20" spans="2:27" x14ac:dyDescent="0.25">
      <c r="B20" s="91">
        <f t="shared" si="0"/>
        <v>49</v>
      </c>
      <c r="C20" s="91">
        <f t="shared" si="0"/>
        <v>50</v>
      </c>
      <c r="D20" s="48">
        <v>500</v>
      </c>
      <c r="E20" s="48">
        <v>500</v>
      </c>
      <c r="F20" s="48"/>
      <c r="G20" s="1"/>
      <c r="H20" s="1"/>
      <c r="I20" s="91">
        <f t="shared" si="1"/>
        <v>44</v>
      </c>
      <c r="J20" s="91">
        <f t="shared" si="2"/>
        <v>45</v>
      </c>
      <c r="K20" s="48"/>
      <c r="L20" s="48"/>
      <c r="M20" s="48"/>
      <c r="N20" s="19"/>
    </row>
    <row r="21" spans="2:27" x14ac:dyDescent="0.25">
      <c r="B21" s="91">
        <f t="shared" si="0"/>
        <v>50</v>
      </c>
      <c r="C21" s="91">
        <f t="shared" si="0"/>
        <v>51</v>
      </c>
      <c r="D21" s="48">
        <v>500</v>
      </c>
      <c r="E21" s="48">
        <v>500</v>
      </c>
      <c r="F21" s="48">
        <v>20000</v>
      </c>
      <c r="G21" s="1"/>
      <c r="H21" s="1"/>
      <c r="I21" s="91">
        <f t="shared" si="1"/>
        <v>45</v>
      </c>
      <c r="J21" s="91">
        <f t="shared" si="2"/>
        <v>46</v>
      </c>
      <c r="K21" s="48">
        <v>20000</v>
      </c>
      <c r="L21" s="48">
        <v>20000</v>
      </c>
      <c r="M21" s="48">
        <v>20000</v>
      </c>
      <c r="N21" s="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49"/>
    </row>
    <row r="22" spans="2:27" x14ac:dyDescent="0.25">
      <c r="B22" s="91">
        <f t="shared" si="0"/>
        <v>51</v>
      </c>
      <c r="C22" s="91">
        <f t="shared" si="0"/>
        <v>52</v>
      </c>
      <c r="D22" s="48">
        <v>20000</v>
      </c>
      <c r="E22" s="48">
        <v>20000</v>
      </c>
      <c r="F22" s="48">
        <v>20000</v>
      </c>
      <c r="I22" s="91">
        <f t="shared" si="1"/>
        <v>46</v>
      </c>
      <c r="J22" s="91">
        <f t="shared" si="2"/>
        <v>47</v>
      </c>
      <c r="K22" s="48">
        <v>20000</v>
      </c>
      <c r="L22" s="48">
        <v>20000</v>
      </c>
      <c r="M22" s="48">
        <v>20000</v>
      </c>
      <c r="N22" s="1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49"/>
    </row>
    <row r="23" spans="2:27" x14ac:dyDescent="0.25">
      <c r="B23" s="91">
        <f t="shared" si="0"/>
        <v>52</v>
      </c>
      <c r="C23" s="91">
        <f t="shared" si="0"/>
        <v>53</v>
      </c>
      <c r="D23" s="48">
        <v>20000</v>
      </c>
      <c r="E23" s="48">
        <v>20000</v>
      </c>
      <c r="F23" s="48">
        <v>20000</v>
      </c>
      <c r="I23" s="91">
        <f t="shared" si="1"/>
        <v>47</v>
      </c>
      <c r="J23" s="91">
        <f t="shared" si="2"/>
        <v>48</v>
      </c>
      <c r="K23" s="48">
        <v>20000</v>
      </c>
      <c r="L23" s="48">
        <v>20000</v>
      </c>
      <c r="M23" s="48">
        <v>20000</v>
      </c>
      <c r="N23" s="1"/>
      <c r="O23" s="43"/>
      <c r="P23" s="43"/>
      <c r="Q23" s="43"/>
      <c r="R23" s="43"/>
      <c r="S23" s="43"/>
      <c r="T23" s="43"/>
      <c r="U23" s="19"/>
      <c r="V23" s="114"/>
      <c r="W23" s="114"/>
      <c r="X23" s="114"/>
      <c r="Y23" s="114"/>
      <c r="Z23" s="114"/>
      <c r="AA23" s="49"/>
    </row>
    <row r="24" spans="2:27" x14ac:dyDescent="0.25">
      <c r="B24" s="91">
        <f t="shared" si="0"/>
        <v>53</v>
      </c>
      <c r="C24" s="91">
        <f t="shared" si="0"/>
        <v>54</v>
      </c>
      <c r="D24" s="48">
        <v>20000</v>
      </c>
      <c r="E24" s="48">
        <v>20000</v>
      </c>
      <c r="F24" s="48">
        <v>20000</v>
      </c>
      <c r="I24" s="91">
        <f t="shared" si="1"/>
        <v>48</v>
      </c>
      <c r="J24" s="91">
        <f t="shared" si="2"/>
        <v>49</v>
      </c>
      <c r="K24" s="48">
        <v>20000</v>
      </c>
      <c r="L24" s="48">
        <v>20000</v>
      </c>
      <c r="M24" s="48">
        <v>20000</v>
      </c>
      <c r="N24" s="1"/>
      <c r="O24" s="45"/>
      <c r="P24" s="45"/>
      <c r="Q24" s="45"/>
      <c r="R24" s="45"/>
      <c r="S24" s="45"/>
      <c r="T24" s="19"/>
      <c r="U24" s="19"/>
      <c r="V24" s="45"/>
      <c r="W24" s="45"/>
      <c r="X24" s="45"/>
      <c r="Y24" s="45"/>
      <c r="Z24" s="45"/>
      <c r="AA24" s="49"/>
    </row>
    <row r="25" spans="2:27" x14ac:dyDescent="0.25">
      <c r="B25" s="91">
        <f t="shared" si="0"/>
        <v>54</v>
      </c>
      <c r="C25" s="91">
        <f t="shared" si="0"/>
        <v>55</v>
      </c>
      <c r="D25" s="48">
        <v>20000</v>
      </c>
      <c r="E25" s="48">
        <v>20000</v>
      </c>
      <c r="F25" s="48">
        <v>20000</v>
      </c>
      <c r="I25" s="91">
        <f t="shared" si="1"/>
        <v>49</v>
      </c>
      <c r="J25" s="91">
        <f t="shared" si="2"/>
        <v>50</v>
      </c>
      <c r="K25" s="48">
        <v>20000</v>
      </c>
      <c r="L25" s="48">
        <v>20000</v>
      </c>
      <c r="M25" s="48">
        <v>20000</v>
      </c>
      <c r="N25" s="1"/>
      <c r="O25" s="45"/>
      <c r="P25" s="45"/>
      <c r="Q25" s="50"/>
      <c r="R25" s="50"/>
      <c r="S25" s="50"/>
      <c r="T25" s="19"/>
      <c r="U25" s="19"/>
      <c r="V25" s="45"/>
      <c r="W25" s="45"/>
      <c r="X25" s="50"/>
      <c r="Y25" s="50"/>
      <c r="Z25" s="50"/>
      <c r="AA25" s="49"/>
    </row>
    <row r="26" spans="2:27" x14ac:dyDescent="0.25">
      <c r="B26" s="91">
        <f t="shared" si="0"/>
        <v>55</v>
      </c>
      <c r="C26" s="91">
        <f t="shared" si="0"/>
        <v>56</v>
      </c>
      <c r="D26" s="48">
        <v>17940</v>
      </c>
      <c r="E26" s="48">
        <v>17940</v>
      </c>
      <c r="F26" s="48">
        <v>17940</v>
      </c>
      <c r="I26" s="91">
        <f t="shared" si="1"/>
        <v>50</v>
      </c>
      <c r="J26" s="91">
        <f t="shared" si="2"/>
        <v>51</v>
      </c>
      <c r="K26" s="48">
        <v>17940</v>
      </c>
      <c r="L26" s="48">
        <v>17940</v>
      </c>
      <c r="M26" s="48">
        <v>17940</v>
      </c>
      <c r="N26" s="1"/>
      <c r="O26" s="45"/>
      <c r="P26" s="45"/>
      <c r="Q26" s="50"/>
      <c r="R26" s="50"/>
      <c r="S26" s="50"/>
      <c r="T26" s="19"/>
      <c r="U26" s="19"/>
      <c r="V26" s="45"/>
      <c r="W26" s="45"/>
      <c r="X26" s="50"/>
      <c r="Y26" s="50"/>
      <c r="Z26" s="50"/>
      <c r="AA26" s="49"/>
    </row>
    <row r="27" spans="2:27" x14ac:dyDescent="0.25">
      <c r="B27" s="91">
        <f t="shared" si="0"/>
        <v>56</v>
      </c>
      <c r="C27" s="91">
        <f t="shared" si="0"/>
        <v>57</v>
      </c>
      <c r="D27" s="47">
        <v>17940</v>
      </c>
      <c r="E27" s="47">
        <v>17940</v>
      </c>
      <c r="F27" s="47">
        <v>17940</v>
      </c>
      <c r="I27" s="91">
        <f t="shared" si="1"/>
        <v>51</v>
      </c>
      <c r="J27" s="91">
        <f t="shared" si="2"/>
        <v>52</v>
      </c>
      <c r="K27" s="47">
        <v>17940</v>
      </c>
      <c r="L27" s="47">
        <v>17940</v>
      </c>
      <c r="M27" s="47">
        <v>17940</v>
      </c>
      <c r="N27" s="1"/>
      <c r="O27" s="45"/>
      <c r="P27" s="45"/>
      <c r="Q27" s="50"/>
      <c r="R27" s="50"/>
      <c r="S27" s="50"/>
      <c r="T27" s="19"/>
      <c r="U27" s="19"/>
      <c r="V27" s="45"/>
      <c r="W27" s="45"/>
      <c r="X27" s="50"/>
      <c r="Y27" s="50"/>
      <c r="Z27" s="50"/>
      <c r="AA27" s="49"/>
    </row>
    <row r="28" spans="2:27" x14ac:dyDescent="0.25">
      <c r="B28" s="91">
        <f t="shared" si="0"/>
        <v>57</v>
      </c>
      <c r="C28" s="91">
        <f t="shared" si="0"/>
        <v>58</v>
      </c>
      <c r="D28" s="47">
        <v>17940</v>
      </c>
      <c r="E28" s="47">
        <v>17940</v>
      </c>
      <c r="F28" s="47">
        <v>17940</v>
      </c>
      <c r="I28" s="91">
        <f t="shared" si="1"/>
        <v>52</v>
      </c>
      <c r="J28" s="91">
        <f t="shared" si="2"/>
        <v>53</v>
      </c>
      <c r="K28" s="47">
        <v>17940</v>
      </c>
      <c r="L28" s="47">
        <v>17940</v>
      </c>
      <c r="M28" s="47">
        <v>17940</v>
      </c>
      <c r="N28" s="1"/>
      <c r="O28" s="45"/>
      <c r="P28" s="45"/>
      <c r="Q28" s="50"/>
      <c r="R28" s="50"/>
      <c r="S28" s="50"/>
      <c r="T28" s="19"/>
      <c r="U28" s="19"/>
      <c r="V28" s="45"/>
      <c r="W28" s="45"/>
      <c r="X28" s="50"/>
      <c r="Y28" s="50"/>
      <c r="Z28" s="50"/>
      <c r="AA28" s="49"/>
    </row>
    <row r="29" spans="2:27" x14ac:dyDescent="0.25">
      <c r="B29" s="91">
        <f t="shared" si="0"/>
        <v>58</v>
      </c>
      <c r="C29" s="91">
        <f t="shared" si="0"/>
        <v>59</v>
      </c>
      <c r="D29" s="47">
        <v>17940</v>
      </c>
      <c r="E29" s="47">
        <v>17940</v>
      </c>
      <c r="F29" s="47">
        <v>17940</v>
      </c>
      <c r="I29" s="91">
        <f t="shared" si="1"/>
        <v>53</v>
      </c>
      <c r="J29" s="91">
        <f t="shared" si="2"/>
        <v>54</v>
      </c>
      <c r="K29" s="47">
        <v>17940</v>
      </c>
      <c r="L29" s="47">
        <v>17940</v>
      </c>
      <c r="M29" s="47">
        <v>17940</v>
      </c>
      <c r="N29" s="1"/>
      <c r="O29" s="45"/>
      <c r="P29" s="45"/>
      <c r="Q29" s="45"/>
      <c r="R29" s="45"/>
      <c r="S29" s="45"/>
      <c r="T29" s="19"/>
      <c r="U29" s="19"/>
      <c r="V29" s="45"/>
      <c r="W29" s="45"/>
      <c r="X29" s="50"/>
      <c r="Y29" s="50"/>
      <c r="Z29" s="50"/>
      <c r="AA29" s="49"/>
    </row>
    <row r="30" spans="2:27" x14ac:dyDescent="0.25">
      <c r="B30" s="91">
        <f t="shared" si="0"/>
        <v>59</v>
      </c>
      <c r="C30" s="91">
        <f t="shared" si="0"/>
        <v>60</v>
      </c>
      <c r="D30" s="47">
        <v>17940</v>
      </c>
      <c r="E30" s="47">
        <v>17940</v>
      </c>
      <c r="F30" s="47">
        <v>17940</v>
      </c>
      <c r="I30" s="91">
        <f t="shared" si="1"/>
        <v>54</v>
      </c>
      <c r="J30" s="91">
        <f t="shared" si="2"/>
        <v>55</v>
      </c>
      <c r="K30" s="47">
        <v>17940</v>
      </c>
      <c r="L30" s="47">
        <v>17940</v>
      </c>
      <c r="M30" s="47">
        <v>17940</v>
      </c>
      <c r="N30" s="1"/>
      <c r="O30" s="45"/>
      <c r="P30" s="45"/>
      <c r="Q30" s="45"/>
      <c r="R30" s="45"/>
      <c r="S30" s="45"/>
      <c r="T30" s="19"/>
      <c r="U30" s="19"/>
      <c r="V30" s="45"/>
      <c r="W30" s="45"/>
      <c r="X30" s="45"/>
      <c r="Y30" s="45"/>
      <c r="Z30" s="45"/>
      <c r="AA30" s="49"/>
    </row>
    <row r="31" spans="2:27" x14ac:dyDescent="0.25">
      <c r="B31" s="91">
        <f t="shared" si="0"/>
        <v>60</v>
      </c>
      <c r="C31" s="91">
        <f t="shared" si="0"/>
        <v>61</v>
      </c>
      <c r="D31" s="47">
        <v>14240</v>
      </c>
      <c r="E31" s="47">
        <v>14240</v>
      </c>
      <c r="F31" s="47">
        <v>14240</v>
      </c>
      <c r="I31" s="91">
        <f t="shared" si="1"/>
        <v>55</v>
      </c>
      <c r="J31" s="91">
        <f t="shared" si="2"/>
        <v>56</v>
      </c>
      <c r="K31" s="47">
        <v>14240</v>
      </c>
      <c r="L31" s="47">
        <v>14240</v>
      </c>
      <c r="M31" s="47">
        <v>14240</v>
      </c>
      <c r="N31" s="1"/>
      <c r="O31" s="45"/>
      <c r="P31" s="45"/>
      <c r="Q31" s="45"/>
      <c r="R31" s="45"/>
      <c r="S31" s="45"/>
      <c r="T31" s="19"/>
      <c r="U31" s="19"/>
      <c r="V31" s="45"/>
      <c r="W31" s="45"/>
      <c r="X31" s="45"/>
      <c r="Y31" s="45"/>
      <c r="Z31" s="45"/>
      <c r="AA31" s="49"/>
    </row>
    <row r="32" spans="2:27" x14ac:dyDescent="0.25">
      <c r="B32" s="91">
        <f t="shared" si="0"/>
        <v>61</v>
      </c>
      <c r="C32" s="91">
        <f t="shared" si="0"/>
        <v>62</v>
      </c>
      <c r="D32" s="47">
        <v>14240</v>
      </c>
      <c r="E32" s="47">
        <v>14240</v>
      </c>
      <c r="F32" s="47">
        <v>14240</v>
      </c>
      <c r="I32" s="91">
        <f t="shared" si="1"/>
        <v>56</v>
      </c>
      <c r="J32" s="91">
        <f t="shared" si="2"/>
        <v>57</v>
      </c>
      <c r="K32" s="47">
        <v>14240</v>
      </c>
      <c r="L32" s="47">
        <v>14240</v>
      </c>
      <c r="M32" s="47">
        <v>14240</v>
      </c>
      <c r="N32" s="1"/>
      <c r="O32" s="45"/>
      <c r="P32" s="45"/>
      <c r="Q32" s="45"/>
      <c r="R32" s="45"/>
      <c r="S32" s="45"/>
      <c r="T32" s="19"/>
      <c r="U32" s="19"/>
      <c r="V32" s="45"/>
      <c r="W32" s="45"/>
      <c r="X32" s="45"/>
      <c r="Y32" s="45"/>
      <c r="Z32" s="45"/>
      <c r="AA32" s="49"/>
    </row>
    <row r="33" spans="2:27" x14ac:dyDescent="0.25">
      <c r="B33" s="91">
        <f t="shared" si="0"/>
        <v>62</v>
      </c>
      <c r="C33" s="91">
        <f t="shared" si="0"/>
        <v>63</v>
      </c>
      <c r="D33" s="47">
        <v>14240</v>
      </c>
      <c r="E33" s="47">
        <v>14240</v>
      </c>
      <c r="F33" s="47">
        <v>14240</v>
      </c>
      <c r="I33" s="91">
        <f t="shared" si="1"/>
        <v>57</v>
      </c>
      <c r="J33" s="91">
        <f t="shared" si="2"/>
        <v>58</v>
      </c>
      <c r="K33" s="47">
        <v>14240</v>
      </c>
      <c r="L33" s="47">
        <v>14240</v>
      </c>
      <c r="M33" s="47">
        <v>14240</v>
      </c>
      <c r="N33" s="1"/>
      <c r="O33" s="45"/>
      <c r="P33" s="45"/>
      <c r="Q33" s="45"/>
      <c r="R33" s="45"/>
      <c r="S33" s="45"/>
      <c r="T33" s="19"/>
      <c r="U33" s="19"/>
      <c r="V33" s="45"/>
      <c r="W33" s="45"/>
      <c r="X33" s="45"/>
      <c r="Y33" s="45"/>
      <c r="Z33" s="45"/>
      <c r="AA33" s="49"/>
    </row>
    <row r="34" spans="2:27" x14ac:dyDescent="0.25">
      <c r="B34" s="91">
        <f t="shared" si="0"/>
        <v>63</v>
      </c>
      <c r="C34" s="91">
        <f t="shared" si="0"/>
        <v>64</v>
      </c>
      <c r="D34" s="47">
        <v>14240</v>
      </c>
      <c r="E34" s="47">
        <v>14240</v>
      </c>
      <c r="F34" s="47">
        <v>14240</v>
      </c>
      <c r="I34" s="91">
        <f t="shared" si="1"/>
        <v>58</v>
      </c>
      <c r="J34" s="91">
        <f t="shared" si="2"/>
        <v>59</v>
      </c>
      <c r="K34" s="47">
        <v>14240</v>
      </c>
      <c r="L34" s="47">
        <v>14240</v>
      </c>
      <c r="M34" s="47">
        <v>14240</v>
      </c>
      <c r="N34" s="1"/>
      <c r="O34" s="45"/>
      <c r="P34" s="45"/>
      <c r="Q34" s="45"/>
      <c r="R34" s="45"/>
      <c r="S34" s="45"/>
      <c r="T34" s="19"/>
      <c r="U34" s="19"/>
      <c r="V34" s="45"/>
      <c r="W34" s="45"/>
      <c r="X34" s="45"/>
      <c r="Y34" s="45"/>
      <c r="Z34" s="45"/>
      <c r="AA34" s="49"/>
    </row>
    <row r="35" spans="2:27" x14ac:dyDescent="0.25">
      <c r="B35" s="91">
        <f t="shared" si="0"/>
        <v>64</v>
      </c>
      <c r="C35" s="91">
        <f t="shared" si="0"/>
        <v>65</v>
      </c>
      <c r="D35" s="47">
        <v>14240</v>
      </c>
      <c r="E35" s="47">
        <v>14240</v>
      </c>
      <c r="F35" s="47">
        <v>14240</v>
      </c>
      <c r="I35" s="91">
        <f t="shared" si="1"/>
        <v>59</v>
      </c>
      <c r="J35" s="91">
        <f t="shared" si="2"/>
        <v>60</v>
      </c>
      <c r="K35" s="47">
        <v>14240</v>
      </c>
      <c r="L35" s="47">
        <v>14240</v>
      </c>
      <c r="M35" s="47">
        <v>14240</v>
      </c>
      <c r="N35" s="1"/>
      <c r="O35" s="19"/>
      <c r="P35" s="19"/>
      <c r="Q35" s="19"/>
      <c r="R35" s="19"/>
      <c r="S35" s="19"/>
      <c r="T35" s="19"/>
      <c r="U35" s="19"/>
      <c r="V35" s="45"/>
      <c r="W35" s="45"/>
      <c r="X35" s="45"/>
      <c r="Y35" s="45"/>
      <c r="Z35" s="45"/>
      <c r="AA35" s="49"/>
    </row>
    <row r="36" spans="2:27" x14ac:dyDescent="0.25">
      <c r="B36" s="91">
        <f t="shared" si="0"/>
        <v>65</v>
      </c>
      <c r="C36" s="91">
        <f t="shared" si="0"/>
        <v>66</v>
      </c>
      <c r="D36" s="47">
        <v>6220</v>
      </c>
      <c r="E36" s="47">
        <v>6220</v>
      </c>
      <c r="F36" s="47">
        <v>6220</v>
      </c>
      <c r="I36" s="91">
        <f t="shared" si="1"/>
        <v>60</v>
      </c>
      <c r="J36" s="91">
        <f t="shared" si="2"/>
        <v>61</v>
      </c>
      <c r="K36" s="47">
        <v>6220</v>
      </c>
      <c r="L36" s="47">
        <v>6220</v>
      </c>
      <c r="M36" s="47">
        <v>6220</v>
      </c>
      <c r="N36" s="1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</row>
    <row r="37" spans="2:27" x14ac:dyDescent="0.25">
      <c r="B37" s="91">
        <f t="shared" si="0"/>
        <v>66</v>
      </c>
      <c r="C37" s="91">
        <f t="shared" si="0"/>
        <v>67</v>
      </c>
      <c r="D37" s="47">
        <v>6220</v>
      </c>
      <c r="E37" s="47">
        <v>6220</v>
      </c>
      <c r="F37" s="47">
        <v>6220</v>
      </c>
      <c r="I37" s="91">
        <f t="shared" si="1"/>
        <v>61</v>
      </c>
      <c r="J37" s="91">
        <f t="shared" si="2"/>
        <v>62</v>
      </c>
      <c r="K37" s="47">
        <v>6220</v>
      </c>
      <c r="L37" s="47">
        <v>6220</v>
      </c>
      <c r="M37" s="47">
        <v>6220</v>
      </c>
      <c r="O37" s="49"/>
      <c r="P37" s="49"/>
      <c r="Q37" s="49"/>
      <c r="R37" s="49"/>
      <c r="S37" s="49"/>
      <c r="T37" s="49"/>
      <c r="U37" s="49"/>
      <c r="V37" s="108"/>
      <c r="W37" s="108"/>
      <c r="X37" s="108"/>
      <c r="Y37" s="108"/>
      <c r="Z37" s="108"/>
      <c r="AA37" s="49"/>
    </row>
    <row r="38" spans="2:27" x14ac:dyDescent="0.25">
      <c r="B38" s="91">
        <f t="shared" si="0"/>
        <v>67</v>
      </c>
      <c r="C38" s="91">
        <f t="shared" si="0"/>
        <v>68</v>
      </c>
      <c r="D38" s="47">
        <v>6220</v>
      </c>
      <c r="E38" s="47">
        <v>6220</v>
      </c>
      <c r="F38" s="47">
        <v>6220</v>
      </c>
      <c r="I38" s="91">
        <f t="shared" si="1"/>
        <v>62</v>
      </c>
      <c r="J38" s="91">
        <f t="shared" si="2"/>
        <v>63</v>
      </c>
      <c r="K38" s="47">
        <v>6220</v>
      </c>
      <c r="L38" s="47">
        <v>6220</v>
      </c>
      <c r="M38" s="47">
        <v>6220</v>
      </c>
    </row>
    <row r="39" spans="2:27" x14ac:dyDescent="0.25">
      <c r="B39" s="91">
        <f t="shared" si="0"/>
        <v>68</v>
      </c>
      <c r="C39" s="91">
        <f t="shared" si="0"/>
        <v>69</v>
      </c>
      <c r="D39" s="47">
        <v>6220</v>
      </c>
      <c r="E39" s="47">
        <v>6220</v>
      </c>
      <c r="F39" s="47">
        <v>6220</v>
      </c>
      <c r="I39" s="91">
        <f t="shared" si="1"/>
        <v>63</v>
      </c>
      <c r="J39" s="91">
        <f t="shared" si="2"/>
        <v>64</v>
      </c>
      <c r="K39" s="47">
        <v>6220</v>
      </c>
      <c r="L39" s="48"/>
      <c r="M39" s="48"/>
    </row>
    <row r="40" spans="2:27" x14ac:dyDescent="0.25">
      <c r="B40" s="91">
        <f t="shared" si="0"/>
        <v>69</v>
      </c>
      <c r="C40" s="91">
        <f t="shared" si="0"/>
        <v>70</v>
      </c>
      <c r="D40" s="47">
        <v>6220</v>
      </c>
      <c r="E40" s="47">
        <v>6220</v>
      </c>
      <c r="F40" s="47">
        <v>6220</v>
      </c>
      <c r="I40" s="91">
        <f t="shared" si="1"/>
        <v>64</v>
      </c>
      <c r="J40" s="91">
        <f t="shared" si="2"/>
        <v>65</v>
      </c>
      <c r="K40" s="47">
        <v>6220</v>
      </c>
      <c r="L40" s="48"/>
      <c r="M40" s="48"/>
    </row>
    <row r="41" spans="2:27" x14ac:dyDescent="0.25">
      <c r="B41" s="91">
        <f t="shared" ref="B41:C50" si="3">B40+1</f>
        <v>70</v>
      </c>
      <c r="C41" s="91">
        <f t="shared" si="3"/>
        <v>71</v>
      </c>
      <c r="D41" s="47">
        <v>340</v>
      </c>
      <c r="E41" s="47">
        <v>340</v>
      </c>
      <c r="F41" s="47">
        <v>340</v>
      </c>
      <c r="I41" s="91">
        <f t="shared" si="1"/>
        <v>65</v>
      </c>
      <c r="J41" s="91">
        <f t="shared" si="2"/>
        <v>66</v>
      </c>
      <c r="K41" s="47">
        <v>340</v>
      </c>
      <c r="L41" s="48"/>
      <c r="M41" s="48"/>
    </row>
    <row r="42" spans="2:27" x14ac:dyDescent="0.25">
      <c r="B42" s="91">
        <f t="shared" si="3"/>
        <v>71</v>
      </c>
      <c r="C42" s="91">
        <f t="shared" si="3"/>
        <v>72</v>
      </c>
      <c r="D42" s="47">
        <v>340</v>
      </c>
      <c r="E42" s="47">
        <v>340</v>
      </c>
      <c r="F42" s="47">
        <v>340</v>
      </c>
      <c r="I42" s="91">
        <f t="shared" si="1"/>
        <v>66</v>
      </c>
      <c r="J42" s="91">
        <f t="shared" si="2"/>
        <v>67</v>
      </c>
      <c r="K42" s="47">
        <v>340</v>
      </c>
      <c r="L42" s="48"/>
      <c r="M42" s="48"/>
    </row>
    <row r="43" spans="2:27" x14ac:dyDescent="0.25">
      <c r="B43" s="91">
        <f t="shared" si="3"/>
        <v>72</v>
      </c>
      <c r="C43" s="91">
        <f t="shared" si="3"/>
        <v>73</v>
      </c>
      <c r="D43" s="47">
        <v>340</v>
      </c>
      <c r="E43" s="47">
        <v>340</v>
      </c>
      <c r="F43" s="47">
        <v>340</v>
      </c>
      <c r="I43" s="91">
        <f t="shared" si="1"/>
        <v>67</v>
      </c>
      <c r="J43" s="91">
        <f t="shared" si="2"/>
        <v>68</v>
      </c>
      <c r="K43" s="47">
        <v>340</v>
      </c>
      <c r="L43" s="48"/>
      <c r="M43" s="48"/>
    </row>
    <row r="44" spans="2:27" x14ac:dyDescent="0.25">
      <c r="B44" s="91">
        <f t="shared" si="3"/>
        <v>73</v>
      </c>
      <c r="C44" s="91">
        <f t="shared" si="3"/>
        <v>74</v>
      </c>
      <c r="D44" s="47">
        <v>340</v>
      </c>
      <c r="E44" s="47">
        <v>340</v>
      </c>
      <c r="F44" s="47">
        <v>340</v>
      </c>
      <c r="I44" s="91">
        <f t="shared" si="1"/>
        <v>68</v>
      </c>
      <c r="J44" s="91">
        <f t="shared" si="2"/>
        <v>69</v>
      </c>
      <c r="K44" s="47">
        <v>340</v>
      </c>
      <c r="L44" s="48"/>
      <c r="M44" s="48"/>
    </row>
    <row r="45" spans="2:27" x14ac:dyDescent="0.25">
      <c r="B45" s="91">
        <f t="shared" si="3"/>
        <v>74</v>
      </c>
      <c r="C45" s="91">
        <f t="shared" si="3"/>
        <v>75</v>
      </c>
      <c r="D45" s="47">
        <v>340</v>
      </c>
      <c r="E45" s="47">
        <v>340</v>
      </c>
      <c r="F45" s="47">
        <v>340</v>
      </c>
      <c r="I45" s="91">
        <f t="shared" si="1"/>
        <v>69</v>
      </c>
      <c r="J45" s="91">
        <f t="shared" si="2"/>
        <v>70</v>
      </c>
      <c r="K45" s="47">
        <v>340</v>
      </c>
      <c r="L45" s="48"/>
      <c r="M45" s="105"/>
    </row>
    <row r="46" spans="2:27" x14ac:dyDescent="0.25">
      <c r="B46" s="91">
        <f t="shared" si="3"/>
        <v>75</v>
      </c>
      <c r="C46" s="91">
        <f t="shared" si="3"/>
        <v>76</v>
      </c>
      <c r="D46" s="47">
        <v>0</v>
      </c>
      <c r="E46" s="47">
        <v>0</v>
      </c>
      <c r="F46" s="47">
        <v>0</v>
      </c>
      <c r="I46" s="91">
        <f t="shared" si="1"/>
        <v>70</v>
      </c>
      <c r="J46" s="91">
        <f t="shared" si="2"/>
        <v>71</v>
      </c>
      <c r="K46" s="47">
        <v>0</v>
      </c>
      <c r="L46" s="48"/>
      <c r="M46" s="106"/>
    </row>
    <row r="47" spans="2:27" x14ac:dyDescent="0.25">
      <c r="B47" s="91">
        <f t="shared" si="3"/>
        <v>76</v>
      </c>
      <c r="C47" s="91">
        <f t="shared" si="3"/>
        <v>77</v>
      </c>
      <c r="D47" s="47">
        <v>0</v>
      </c>
      <c r="E47" s="47">
        <v>0</v>
      </c>
      <c r="F47" s="47">
        <v>0</v>
      </c>
      <c r="I47" s="91">
        <f t="shared" si="1"/>
        <v>71</v>
      </c>
      <c r="J47" s="91">
        <f t="shared" si="2"/>
        <v>72</v>
      </c>
      <c r="K47" s="47">
        <v>0</v>
      </c>
      <c r="L47" s="48"/>
      <c r="M47" s="106"/>
      <c r="O47" s="49"/>
      <c r="P47" s="49"/>
      <c r="Q47" s="49"/>
    </row>
    <row r="48" spans="2:27" x14ac:dyDescent="0.25">
      <c r="B48" s="91">
        <f t="shared" si="3"/>
        <v>77</v>
      </c>
      <c r="C48" s="91">
        <f t="shared" si="3"/>
        <v>78</v>
      </c>
      <c r="D48" s="47">
        <v>0</v>
      </c>
      <c r="E48" s="47">
        <v>0</v>
      </c>
      <c r="F48" s="47">
        <v>0</v>
      </c>
      <c r="I48" s="91">
        <f t="shared" si="1"/>
        <v>72</v>
      </c>
      <c r="J48" s="91">
        <f t="shared" si="2"/>
        <v>73</v>
      </c>
      <c r="K48" s="47">
        <v>0</v>
      </c>
      <c r="L48" s="48"/>
      <c r="M48" s="106"/>
      <c r="O48" s="49"/>
      <c r="P48" s="49"/>
      <c r="Q48" s="49"/>
    </row>
    <row r="49" spans="2:17" x14ac:dyDescent="0.25">
      <c r="B49" s="91">
        <f t="shared" si="3"/>
        <v>78</v>
      </c>
      <c r="C49" s="91">
        <f t="shared" si="3"/>
        <v>79</v>
      </c>
      <c r="D49" s="47">
        <v>0</v>
      </c>
      <c r="E49" s="47">
        <v>0</v>
      </c>
      <c r="F49" s="47">
        <v>0</v>
      </c>
      <c r="I49" s="91">
        <f t="shared" si="1"/>
        <v>73</v>
      </c>
      <c r="J49" s="91">
        <f t="shared" si="2"/>
        <v>74</v>
      </c>
      <c r="K49" s="47">
        <v>0</v>
      </c>
      <c r="L49" s="48"/>
      <c r="M49" s="106"/>
      <c r="O49" s="49"/>
      <c r="P49" s="49"/>
      <c r="Q49" s="49"/>
    </row>
    <row r="50" spans="2:17" x14ac:dyDescent="0.25">
      <c r="B50" s="91">
        <f t="shared" si="3"/>
        <v>79</v>
      </c>
      <c r="C50" s="91"/>
      <c r="D50" s="47">
        <v>0</v>
      </c>
      <c r="E50" s="47">
        <v>0</v>
      </c>
      <c r="F50" s="47">
        <v>0</v>
      </c>
      <c r="I50" s="141">
        <f t="shared" si="1"/>
        <v>74</v>
      </c>
      <c r="J50" s="141"/>
      <c r="K50" s="54">
        <v>0</v>
      </c>
      <c r="L50" s="55"/>
      <c r="M50" s="107"/>
      <c r="O50" s="49"/>
      <c r="P50" s="49"/>
      <c r="Q50" s="49"/>
    </row>
    <row r="51" spans="2:17" x14ac:dyDescent="0.25">
      <c r="B51" s="19"/>
      <c r="C51" s="19"/>
      <c r="D51" s="56"/>
      <c r="E51" s="57"/>
      <c r="F51" s="57"/>
      <c r="I51" s="19"/>
      <c r="J51" s="19"/>
      <c r="K51" s="56"/>
      <c r="L51" s="57"/>
      <c r="M51" s="57"/>
      <c r="O51" s="49"/>
      <c r="P51" s="45"/>
      <c r="Q51" s="49"/>
    </row>
    <row r="52" spans="2:17" x14ac:dyDescent="0.25">
      <c r="B52" s="19"/>
      <c r="C52" s="19"/>
      <c r="D52" s="56"/>
      <c r="E52" s="57"/>
      <c r="F52" s="57"/>
      <c r="I52" s="19"/>
      <c r="J52" s="19"/>
      <c r="K52" s="56"/>
      <c r="L52" s="57"/>
      <c r="M52" s="57"/>
      <c r="O52" s="49"/>
      <c r="P52" s="45"/>
      <c r="Q52" s="49"/>
    </row>
    <row r="53" spans="2:17" x14ac:dyDescent="0.25">
      <c r="B53" s="19"/>
      <c r="C53" s="19"/>
      <c r="D53" s="56"/>
      <c r="E53" s="57"/>
      <c r="F53" s="57"/>
      <c r="I53" s="19"/>
      <c r="J53" s="19"/>
      <c r="K53" s="56"/>
      <c r="L53" s="57"/>
      <c r="M53" s="57"/>
      <c r="O53" s="49"/>
      <c r="P53" s="45"/>
      <c r="Q53" s="49"/>
    </row>
    <row r="54" spans="2:17" x14ac:dyDescent="0.25">
      <c r="B54" s="19"/>
      <c r="C54" s="19"/>
      <c r="D54" s="56"/>
      <c r="E54" s="57"/>
      <c r="F54" s="57"/>
      <c r="I54" s="19"/>
      <c r="J54" s="19"/>
      <c r="K54" s="56"/>
      <c r="L54" s="57"/>
      <c r="M54" s="57"/>
      <c r="O54" s="49"/>
      <c r="P54" s="45"/>
      <c r="Q54" s="49"/>
    </row>
    <row r="55" spans="2:17" x14ac:dyDescent="0.25">
      <c r="I55" s="49"/>
      <c r="J55" s="49"/>
      <c r="K55" s="49"/>
      <c r="L55" s="49"/>
      <c r="M55" s="49"/>
      <c r="O55" s="49"/>
      <c r="P55" s="49"/>
      <c r="Q55" s="49"/>
    </row>
    <row r="56" spans="2:17" x14ac:dyDescent="0.25">
      <c r="I56" s="49"/>
      <c r="J56" s="49"/>
      <c r="K56" s="49"/>
      <c r="L56" s="49"/>
      <c r="M56" s="49"/>
      <c r="O56" s="49"/>
      <c r="P56" s="49"/>
      <c r="Q56" s="49"/>
    </row>
  </sheetData>
  <mergeCells count="9">
    <mergeCell ref="B4:M4"/>
    <mergeCell ref="V23:Z23"/>
    <mergeCell ref="K10:K15"/>
    <mergeCell ref="L10:L15"/>
    <mergeCell ref="M45:M50"/>
    <mergeCell ref="V37:Z37"/>
    <mergeCell ref="B6:F6"/>
    <mergeCell ref="I8:M8"/>
    <mergeCell ref="B8:F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9863-5A15-4EE8-B8C4-A0673FEAF615}">
  <sheetPr>
    <tabColor theme="5" tint="0.39997558519241921"/>
  </sheetPr>
  <dimension ref="B1:N49"/>
  <sheetViews>
    <sheetView workbookViewId="0">
      <selection activeCell="E5" sqref="E5"/>
    </sheetView>
  </sheetViews>
  <sheetFormatPr defaultRowHeight="12.75" x14ac:dyDescent="0.2"/>
  <cols>
    <col min="1" max="1" width="9.140625" style="1"/>
    <col min="2" max="2" width="19" style="1" customWidth="1"/>
    <col min="3" max="3" width="14.85546875" style="1" customWidth="1"/>
    <col min="4" max="4" width="14.140625" style="1" customWidth="1"/>
    <col min="5" max="5" width="14.28515625" style="1" customWidth="1"/>
    <col min="6" max="6" width="18.5703125" style="1" customWidth="1"/>
    <col min="7" max="7" width="17.5703125" style="1" customWidth="1"/>
    <col min="8" max="8" width="22" style="1" customWidth="1"/>
    <col min="9" max="9" width="9.140625" style="1"/>
    <col min="10" max="10" width="12.42578125" style="1" bestFit="1" customWidth="1"/>
    <col min="11" max="11" width="28.5703125" style="1" customWidth="1"/>
    <col min="12" max="12" width="15" style="1" customWidth="1"/>
    <col min="13" max="13" width="14.7109375" style="1" customWidth="1"/>
    <col min="14" max="14" width="19.5703125" style="1" customWidth="1"/>
    <col min="15" max="15" width="38.7109375" style="1" customWidth="1"/>
    <col min="16" max="16" width="18.28515625" style="1" customWidth="1"/>
    <col min="17" max="17" width="17.140625" style="1" customWidth="1"/>
    <col min="18" max="18" width="11.7109375" style="1" customWidth="1"/>
    <col min="19" max="16384" width="9.140625" style="1"/>
  </cols>
  <sheetData>
    <row r="1" spans="2:14" ht="18" x14ac:dyDescent="0.25">
      <c r="B1" s="3" t="s">
        <v>118</v>
      </c>
      <c r="D1" s="3" t="s">
        <v>160</v>
      </c>
    </row>
    <row r="2" spans="2:14" ht="15.75" customHeight="1" x14ac:dyDescent="0.2"/>
    <row r="3" spans="2:14" x14ac:dyDescent="0.2">
      <c r="B3" s="120" t="s">
        <v>119</v>
      </c>
      <c r="C3" s="121"/>
      <c r="D3" s="121"/>
      <c r="E3" s="122" t="s">
        <v>3</v>
      </c>
      <c r="F3" s="124" t="s">
        <v>117</v>
      </c>
      <c r="G3" s="126" t="s">
        <v>116</v>
      </c>
      <c r="H3" s="122" t="s">
        <v>120</v>
      </c>
    </row>
    <row r="4" spans="2:14" ht="25.5" x14ac:dyDescent="0.2">
      <c r="B4" s="21" t="s">
        <v>0</v>
      </c>
      <c r="C4" s="20" t="s">
        <v>1</v>
      </c>
      <c r="D4" s="20" t="s">
        <v>2</v>
      </c>
      <c r="E4" s="123"/>
      <c r="F4" s="125"/>
      <c r="G4" s="127"/>
      <c r="H4" s="123"/>
      <c r="K4" s="115" t="s">
        <v>121</v>
      </c>
      <c r="L4" s="115"/>
      <c r="M4" s="115"/>
      <c r="N4" s="9"/>
    </row>
    <row r="5" spans="2:14" x14ac:dyDescent="0.2">
      <c r="B5" s="62"/>
      <c r="C5" s="62">
        <v>40</v>
      </c>
      <c r="D5" s="62"/>
      <c r="E5" s="140">
        <f>IF(ISNUMBER(Invullen_1dBklasse!D10),Invullen_1dBklasse!D10,0)</f>
        <v>81800</v>
      </c>
      <c r="F5" s="64">
        <f>E5*Bevolkingsgegevens!L$7</f>
        <v>66375.781187105371</v>
      </c>
      <c r="G5" s="97">
        <v>0</v>
      </c>
      <c r="H5" s="27">
        <f>(F5/100)*G5</f>
        <v>0</v>
      </c>
      <c r="K5" s="116" t="s">
        <v>157</v>
      </c>
      <c r="L5" s="116"/>
      <c r="M5" s="116"/>
      <c r="N5" s="78">
        <f>SUM(E21:E45)</f>
        <v>193700</v>
      </c>
    </row>
    <row r="6" spans="2:14" x14ac:dyDescent="0.2">
      <c r="B6" s="62">
        <v>40</v>
      </c>
      <c r="C6" s="62">
        <v>41</v>
      </c>
      <c r="D6" s="62">
        <v>40.5</v>
      </c>
      <c r="E6" s="61">
        <f>Invullen_1dBklasse!D11</f>
        <v>0</v>
      </c>
      <c r="F6" s="64">
        <f>E6*Bevolkingsgegevens!L$7</f>
        <v>0</v>
      </c>
      <c r="G6" s="65">
        <f>78.927-(3.1162*45)+(0.0342*45*45)</f>
        <v>7.953000000000003</v>
      </c>
      <c r="H6" s="27">
        <f>(F6/100)*G6</f>
        <v>0</v>
      </c>
      <c r="K6" s="117" t="s">
        <v>158</v>
      </c>
      <c r="L6" s="118"/>
      <c r="M6" s="119"/>
      <c r="N6" s="5">
        <f>SUM(H5:H45)</f>
        <v>33019.759684933932</v>
      </c>
    </row>
    <row r="7" spans="2:14" x14ac:dyDescent="0.2">
      <c r="B7" s="62">
        <v>41</v>
      </c>
      <c r="C7" s="62">
        <v>42</v>
      </c>
      <c r="D7" s="62">
        <v>41.5</v>
      </c>
      <c r="E7" s="61">
        <f>Invullen_1dBklasse!D12</f>
        <v>0</v>
      </c>
      <c r="F7" s="64">
        <f>E7*Bevolkingsgegevens!L$7</f>
        <v>0</v>
      </c>
      <c r="G7" s="65">
        <f t="shared" ref="G7:G10" si="0">78.927-(3.1162*45)+(0.0342*45*45)</f>
        <v>7.953000000000003</v>
      </c>
      <c r="H7" s="27">
        <f t="shared" ref="H7:H45" si="1">(F7/100)*G7</f>
        <v>0</v>
      </c>
      <c r="K7" s="116" t="s">
        <v>159</v>
      </c>
      <c r="L7" s="116"/>
      <c r="M7" s="116"/>
      <c r="N7" s="5">
        <f>SUM(H21:H45)</f>
        <v>26309.244279405179</v>
      </c>
    </row>
    <row r="8" spans="2:14" x14ac:dyDescent="0.2">
      <c r="B8" s="62">
        <v>42</v>
      </c>
      <c r="C8" s="62">
        <v>43</v>
      </c>
      <c r="D8" s="62">
        <v>42.5</v>
      </c>
      <c r="E8" s="61">
        <f>Invullen_1dBklasse!D13</f>
        <v>500</v>
      </c>
      <c r="F8" s="64">
        <f>E8*Bevolkingsgegevens!L$7</f>
        <v>405.71993390651198</v>
      </c>
      <c r="G8" s="65">
        <f t="shared" si="0"/>
        <v>7.953000000000003</v>
      </c>
      <c r="H8" s="27">
        <f t="shared" si="1"/>
        <v>32.266906343584907</v>
      </c>
    </row>
    <row r="9" spans="2:14" x14ac:dyDescent="0.2">
      <c r="B9" s="62">
        <v>43</v>
      </c>
      <c r="C9" s="62">
        <v>44</v>
      </c>
      <c r="D9" s="62">
        <v>43.5</v>
      </c>
      <c r="E9" s="61">
        <f>Invullen_1dBklasse!D14</f>
        <v>500</v>
      </c>
      <c r="F9" s="64">
        <f>E9*Bevolkingsgegevens!L$7</f>
        <v>405.71993390651198</v>
      </c>
      <c r="G9" s="65">
        <f t="shared" si="0"/>
        <v>7.953000000000003</v>
      </c>
      <c r="H9" s="27">
        <f t="shared" si="1"/>
        <v>32.266906343584907</v>
      </c>
    </row>
    <row r="10" spans="2:14" x14ac:dyDescent="0.2">
      <c r="B10" s="62">
        <v>44</v>
      </c>
      <c r="C10" s="62">
        <v>45</v>
      </c>
      <c r="D10" s="62">
        <v>44.5</v>
      </c>
      <c r="E10" s="61">
        <f>Invullen_1dBklasse!D15</f>
        <v>500</v>
      </c>
      <c r="F10" s="64">
        <f>E10*Bevolkingsgegevens!L$7</f>
        <v>405.71993390651198</v>
      </c>
      <c r="G10" s="65">
        <f t="shared" si="0"/>
        <v>7.953000000000003</v>
      </c>
      <c r="H10" s="27">
        <f t="shared" si="1"/>
        <v>32.266906343584907</v>
      </c>
      <c r="K10" s="51"/>
      <c r="L10" s="51"/>
      <c r="M10" s="51"/>
      <c r="N10" s="18"/>
    </row>
    <row r="11" spans="2:14" x14ac:dyDescent="0.2">
      <c r="B11" s="62">
        <v>45</v>
      </c>
      <c r="C11" s="62">
        <v>46</v>
      </c>
      <c r="D11" s="62">
        <v>45.5</v>
      </c>
      <c r="E11" s="61">
        <f>Invullen_1dBklasse!D16</f>
        <v>500</v>
      </c>
      <c r="F11" s="64">
        <f>E11*Bevolkingsgegevens!L$7</f>
        <v>405.71993390651198</v>
      </c>
      <c r="G11" s="65">
        <f>78.927-(3.1162*45)+(0.0342*45*45)</f>
        <v>7.953000000000003</v>
      </c>
      <c r="H11" s="27">
        <f t="shared" si="1"/>
        <v>32.266906343584907</v>
      </c>
      <c r="M11" s="1" t="s">
        <v>4</v>
      </c>
    </row>
    <row r="12" spans="2:14" x14ac:dyDescent="0.2">
      <c r="B12" s="62">
        <v>46</v>
      </c>
      <c r="C12" s="62">
        <v>47</v>
      </c>
      <c r="D12" s="62">
        <v>46.5</v>
      </c>
      <c r="E12" s="61">
        <f>Invullen_1dBklasse!D17</f>
        <v>500</v>
      </c>
      <c r="F12" s="64">
        <f>E12*Bevolkingsgegevens!L$7</f>
        <v>405.71993390651198</v>
      </c>
      <c r="G12" s="65">
        <f t="shared" ref="G12:G45" si="2">78.927-(3.1162*D12)+(0.0342*D12*D12)</f>
        <v>7.9726500000000016</v>
      </c>
      <c r="H12" s="27">
        <f t="shared" si="1"/>
        <v>32.346630310597533</v>
      </c>
    </row>
    <row r="13" spans="2:14" x14ac:dyDescent="0.2">
      <c r="B13" s="62">
        <v>47</v>
      </c>
      <c r="C13" s="62">
        <v>48</v>
      </c>
      <c r="D13" s="62">
        <v>47.5</v>
      </c>
      <c r="E13" s="61">
        <f>Invullen_1dBklasse!D18</f>
        <v>500</v>
      </c>
      <c r="F13" s="64">
        <f>E13*Bevolkingsgegevens!L$7</f>
        <v>405.71993390651198</v>
      </c>
      <c r="G13" s="65">
        <f t="shared" si="2"/>
        <v>8.0712500000000205</v>
      </c>
      <c r="H13" s="27">
        <f t="shared" si="1"/>
        <v>32.746670165429428</v>
      </c>
    </row>
    <row r="14" spans="2:14" x14ac:dyDescent="0.2">
      <c r="B14" s="62">
        <v>48</v>
      </c>
      <c r="C14" s="62">
        <v>49</v>
      </c>
      <c r="D14" s="62">
        <v>48.5</v>
      </c>
      <c r="E14" s="61">
        <f>Invullen_1dBklasse!D19</f>
        <v>500</v>
      </c>
      <c r="F14" s="64">
        <f>E14*Bevolkingsgegevens!L$7</f>
        <v>405.71993390651198</v>
      </c>
      <c r="G14" s="65">
        <f t="shared" si="2"/>
        <v>8.2382499999999936</v>
      </c>
      <c r="H14" s="27">
        <f t="shared" si="1"/>
        <v>33.424222455053197</v>
      </c>
    </row>
    <row r="15" spans="2:14" x14ac:dyDescent="0.2">
      <c r="B15" s="62">
        <v>49</v>
      </c>
      <c r="C15" s="62">
        <v>50</v>
      </c>
      <c r="D15" s="62">
        <v>49.5</v>
      </c>
      <c r="E15" s="61">
        <f>Invullen_1dBklasse!D20</f>
        <v>500</v>
      </c>
      <c r="F15" s="64">
        <f>E15*Bevolkingsgegevens!L$7</f>
        <v>405.71993390651198</v>
      </c>
      <c r="G15" s="65">
        <f t="shared" si="2"/>
        <v>8.4736500000000063</v>
      </c>
      <c r="H15" s="27">
        <f t="shared" si="1"/>
        <v>34.379287179469181</v>
      </c>
    </row>
    <row r="16" spans="2:14" x14ac:dyDescent="0.2">
      <c r="B16" s="62">
        <v>50</v>
      </c>
      <c r="C16" s="62">
        <v>51</v>
      </c>
      <c r="D16" s="62">
        <v>50.5</v>
      </c>
      <c r="E16" s="61">
        <f>Invullen_1dBklasse!D21</f>
        <v>500</v>
      </c>
      <c r="F16" s="64">
        <f>E16*Bevolkingsgegevens!L$7</f>
        <v>405.71993390651198</v>
      </c>
      <c r="G16" s="65">
        <f t="shared" si="2"/>
        <v>8.777450000000016</v>
      </c>
      <c r="H16" s="27">
        <f t="shared" si="1"/>
        <v>35.611864338677201</v>
      </c>
    </row>
    <row r="17" spans="2:8" x14ac:dyDescent="0.2">
      <c r="B17" s="62">
        <v>51</v>
      </c>
      <c r="C17" s="62">
        <v>52</v>
      </c>
      <c r="D17" s="62">
        <v>51.5</v>
      </c>
      <c r="E17" s="61">
        <f>Invullen_1dBklasse!D22</f>
        <v>20000</v>
      </c>
      <c r="F17" s="64">
        <f>E17*Bevolkingsgegevens!L$7</f>
        <v>16228.79735626048</v>
      </c>
      <c r="G17" s="65">
        <f t="shared" si="2"/>
        <v>9.1496500000000225</v>
      </c>
      <c r="H17" s="27">
        <f t="shared" si="1"/>
        <v>1484.8781573070908</v>
      </c>
    </row>
    <row r="18" spans="2:8" x14ac:dyDescent="0.2">
      <c r="B18" s="62">
        <v>52</v>
      </c>
      <c r="C18" s="62">
        <v>53</v>
      </c>
      <c r="D18" s="62">
        <v>52.5</v>
      </c>
      <c r="E18" s="61">
        <f>Invullen_1dBklasse!D23</f>
        <v>20000</v>
      </c>
      <c r="F18" s="64">
        <f>E18*Bevolkingsgegevens!L$7</f>
        <v>16228.79735626048</v>
      </c>
      <c r="G18" s="65">
        <f t="shared" si="2"/>
        <v>9.5902499999999975</v>
      </c>
      <c r="H18" s="27">
        <f t="shared" si="1"/>
        <v>1556.3822384587704</v>
      </c>
    </row>
    <row r="19" spans="2:8" x14ac:dyDescent="0.2">
      <c r="B19" s="62">
        <v>53</v>
      </c>
      <c r="C19" s="62">
        <v>54</v>
      </c>
      <c r="D19" s="62">
        <v>53.5</v>
      </c>
      <c r="E19" s="61">
        <f>Invullen_1dBklasse!D24</f>
        <v>20000</v>
      </c>
      <c r="F19" s="64">
        <f>E19*Bevolkingsgegevens!L$7</f>
        <v>16228.79735626048</v>
      </c>
      <c r="G19" s="65">
        <f t="shared" si="2"/>
        <v>10.099250000000012</v>
      </c>
      <c r="H19" s="27">
        <f t="shared" si="1"/>
        <v>1638.9868170021384</v>
      </c>
    </row>
    <row r="20" spans="2:8" x14ac:dyDescent="0.2">
      <c r="B20" s="62">
        <v>54</v>
      </c>
      <c r="C20" s="62">
        <v>55</v>
      </c>
      <c r="D20" s="62">
        <v>54.5</v>
      </c>
      <c r="E20" s="61">
        <f>Invullen_1dBklasse!D25</f>
        <v>20000</v>
      </c>
      <c r="F20" s="64">
        <f>E20*Bevolkingsgegevens!L$7</f>
        <v>16228.79735626048</v>
      </c>
      <c r="G20" s="65">
        <f t="shared" si="2"/>
        <v>10.676650000000024</v>
      </c>
      <c r="H20" s="27">
        <f t="shared" si="1"/>
        <v>1732.6918929371884</v>
      </c>
    </row>
    <row r="21" spans="2:8" x14ac:dyDescent="0.2">
      <c r="B21" s="62">
        <v>55</v>
      </c>
      <c r="C21" s="62">
        <v>56</v>
      </c>
      <c r="D21" s="62">
        <v>55.5</v>
      </c>
      <c r="E21" s="61">
        <f>Invullen_1dBklasse!D26</f>
        <v>17940</v>
      </c>
      <c r="F21" s="64">
        <f>E21*Bevolkingsgegevens!L$7</f>
        <v>14557.231228565652</v>
      </c>
      <c r="G21" s="65">
        <f t="shared" si="2"/>
        <v>11.322450000000003</v>
      </c>
      <c r="H21" s="27">
        <f t="shared" si="1"/>
        <v>1648.2352272387323</v>
      </c>
    </row>
    <row r="22" spans="2:8" x14ac:dyDescent="0.2">
      <c r="B22" s="62">
        <v>56</v>
      </c>
      <c r="C22" s="62">
        <v>57</v>
      </c>
      <c r="D22" s="62">
        <v>56.5</v>
      </c>
      <c r="E22" s="61">
        <f>Invullen_1dBklasse!D27</f>
        <v>17940</v>
      </c>
      <c r="F22" s="64">
        <f>E22*Bevolkingsgegevens!L$7</f>
        <v>14557.231228565652</v>
      </c>
      <c r="G22" s="65">
        <f t="shared" si="2"/>
        <v>12.036650000000009</v>
      </c>
      <c r="H22" s="27">
        <f t="shared" si="1"/>
        <v>1752.2029726731489</v>
      </c>
    </row>
    <row r="23" spans="2:8" x14ac:dyDescent="0.2">
      <c r="B23" s="62">
        <v>57</v>
      </c>
      <c r="C23" s="62">
        <v>58</v>
      </c>
      <c r="D23" s="62">
        <v>57.5</v>
      </c>
      <c r="E23" s="61">
        <f>Invullen_1dBklasse!D28</f>
        <v>17940</v>
      </c>
      <c r="F23" s="64">
        <f>E23*Bevolkingsgegevens!L$7</f>
        <v>14557.231228565652</v>
      </c>
      <c r="G23" s="65">
        <f t="shared" si="2"/>
        <v>12.819250000000011</v>
      </c>
      <c r="H23" s="27">
        <f t="shared" si="1"/>
        <v>1866.127864267904</v>
      </c>
    </row>
    <row r="24" spans="2:8" x14ac:dyDescent="0.2">
      <c r="B24" s="62">
        <v>58</v>
      </c>
      <c r="C24" s="62">
        <v>59</v>
      </c>
      <c r="D24" s="62">
        <v>58.5</v>
      </c>
      <c r="E24" s="61">
        <f>Invullen_1dBklasse!D29</f>
        <v>17940</v>
      </c>
      <c r="F24" s="64">
        <f>E24*Bevolkingsgegevens!L$7</f>
        <v>14557.231228565652</v>
      </c>
      <c r="G24" s="65">
        <f t="shared" si="2"/>
        <v>13.670250000000024</v>
      </c>
      <c r="H24" s="27">
        <f t="shared" si="1"/>
        <v>1990.0099020229995</v>
      </c>
    </row>
    <row r="25" spans="2:8" x14ac:dyDescent="0.2">
      <c r="B25" s="62">
        <v>59</v>
      </c>
      <c r="C25" s="62">
        <v>60</v>
      </c>
      <c r="D25" s="62">
        <v>59.5</v>
      </c>
      <c r="E25" s="61">
        <f>Invullen_1dBklasse!D30</f>
        <v>17940</v>
      </c>
      <c r="F25" s="64">
        <f>E25*Bevolkingsgegevens!L$7</f>
        <v>14557.231228565652</v>
      </c>
      <c r="G25" s="65">
        <f t="shared" si="2"/>
        <v>14.589649999999992</v>
      </c>
      <c r="H25" s="27">
        <f t="shared" si="1"/>
        <v>2123.8490859384274</v>
      </c>
    </row>
    <row r="26" spans="2:8" x14ac:dyDescent="0.2">
      <c r="B26" s="62">
        <v>60</v>
      </c>
      <c r="C26" s="62">
        <v>61</v>
      </c>
      <c r="D26" s="62">
        <v>60.5</v>
      </c>
      <c r="E26" s="61">
        <f>Invullen_1dBklasse!D31</f>
        <v>14240</v>
      </c>
      <c r="F26" s="64">
        <f>E26*Bevolkingsgegevens!L$7</f>
        <v>11554.903717657462</v>
      </c>
      <c r="G26" s="65">
        <f t="shared" si="2"/>
        <v>15.577450000000013</v>
      </c>
      <c r="H26" s="27">
        <f t="shared" si="1"/>
        <v>1799.9593491662338</v>
      </c>
    </row>
    <row r="27" spans="2:8" x14ac:dyDescent="0.2">
      <c r="B27" s="62">
        <v>61</v>
      </c>
      <c r="C27" s="62">
        <v>62</v>
      </c>
      <c r="D27" s="62">
        <v>61.5</v>
      </c>
      <c r="E27" s="61">
        <f>Invullen_1dBklasse!D32</f>
        <v>14240</v>
      </c>
      <c r="F27" s="64">
        <f>E27*Bevolkingsgegevens!L$7</f>
        <v>11554.903717657462</v>
      </c>
      <c r="G27" s="65">
        <f t="shared" si="2"/>
        <v>16.633650000000003</v>
      </c>
      <c r="H27" s="27">
        <f t="shared" si="1"/>
        <v>1922.0022422321306</v>
      </c>
    </row>
    <row r="28" spans="2:8" x14ac:dyDescent="0.2">
      <c r="B28" s="62">
        <v>62</v>
      </c>
      <c r="C28" s="62">
        <v>63</v>
      </c>
      <c r="D28" s="62">
        <v>62.5</v>
      </c>
      <c r="E28" s="61">
        <f>Invullen_1dBklasse!D33</f>
        <v>14240</v>
      </c>
      <c r="F28" s="64">
        <f>E28*Bevolkingsgegevens!L$7</f>
        <v>11554.903717657462</v>
      </c>
      <c r="G28" s="65">
        <f t="shared" si="2"/>
        <v>17.75824999999999</v>
      </c>
      <c r="H28" s="27">
        <f t="shared" si="1"/>
        <v>2051.9486894409051</v>
      </c>
    </row>
    <row r="29" spans="2:8" x14ac:dyDescent="0.2">
      <c r="B29" s="62">
        <v>63</v>
      </c>
      <c r="C29" s="62">
        <v>64</v>
      </c>
      <c r="D29" s="62">
        <v>63.5</v>
      </c>
      <c r="E29" s="61">
        <f>Invullen_1dBklasse!D34</f>
        <v>14240</v>
      </c>
      <c r="F29" s="64">
        <f>E29*Bevolkingsgegevens!L$7</f>
        <v>11554.903717657462</v>
      </c>
      <c r="G29" s="65">
        <f t="shared" si="2"/>
        <v>18.951250000000002</v>
      </c>
      <c r="H29" s="27">
        <f t="shared" si="1"/>
        <v>2189.7986907925597</v>
      </c>
    </row>
    <row r="30" spans="2:8" x14ac:dyDescent="0.2">
      <c r="B30" s="62">
        <v>64</v>
      </c>
      <c r="C30" s="62">
        <v>65</v>
      </c>
      <c r="D30" s="62">
        <v>64.5</v>
      </c>
      <c r="E30" s="61">
        <f>Invullen_1dBklasse!D35</f>
        <v>14240</v>
      </c>
      <c r="F30" s="64">
        <f>E30*Bevolkingsgegevens!L$7</f>
        <v>11554.903717657462</v>
      </c>
      <c r="G30" s="65">
        <f t="shared" si="2"/>
        <v>20.212650000000011</v>
      </c>
      <c r="H30" s="27">
        <f t="shared" si="1"/>
        <v>2335.5522462870922</v>
      </c>
    </row>
    <row r="31" spans="2:8" x14ac:dyDescent="0.2">
      <c r="B31" s="62">
        <v>65</v>
      </c>
      <c r="C31" s="62">
        <v>66</v>
      </c>
      <c r="D31" s="62">
        <v>65.5</v>
      </c>
      <c r="E31" s="61">
        <f>Invullen_1dBklasse!D36</f>
        <v>6220</v>
      </c>
      <c r="F31" s="64">
        <f>E31*Bevolkingsgegevens!L$7</f>
        <v>5047.1559777970097</v>
      </c>
      <c r="G31" s="65">
        <f t="shared" si="2"/>
        <v>21.542450000000017</v>
      </c>
      <c r="H31" s="27">
        <f t="shared" si="1"/>
        <v>1087.2810529389328</v>
      </c>
    </row>
    <row r="32" spans="2:8" x14ac:dyDescent="0.2">
      <c r="B32" s="62">
        <v>66</v>
      </c>
      <c r="C32" s="62">
        <v>67</v>
      </c>
      <c r="D32" s="62">
        <v>66.5</v>
      </c>
      <c r="E32" s="61">
        <f>Invullen_1dBklasse!D37</f>
        <v>6220</v>
      </c>
      <c r="F32" s="64">
        <f>E32*Bevolkingsgegevens!L$7</f>
        <v>5047.1559777970097</v>
      </c>
      <c r="G32" s="65">
        <f t="shared" si="2"/>
        <v>22.940650000000034</v>
      </c>
      <c r="H32" s="27">
        <f t="shared" si="1"/>
        <v>1157.8503878204915</v>
      </c>
    </row>
    <row r="33" spans="2:8" x14ac:dyDescent="0.2">
      <c r="B33" s="62">
        <v>67</v>
      </c>
      <c r="C33" s="62">
        <v>68</v>
      </c>
      <c r="D33" s="62">
        <v>67.5</v>
      </c>
      <c r="E33" s="61">
        <f>Invullen_1dBklasse!D38</f>
        <v>6220</v>
      </c>
      <c r="F33" s="64">
        <f>E33*Bevolkingsgegevens!L$7</f>
        <v>5047.1559777970097</v>
      </c>
      <c r="G33" s="65">
        <f t="shared" si="2"/>
        <v>24.407250000000005</v>
      </c>
      <c r="H33" s="27">
        <f t="shared" si="1"/>
        <v>1231.871977390861</v>
      </c>
    </row>
    <row r="34" spans="2:8" x14ac:dyDescent="0.2">
      <c r="B34" s="62">
        <v>68</v>
      </c>
      <c r="C34" s="62">
        <v>69</v>
      </c>
      <c r="D34" s="62">
        <v>68.5</v>
      </c>
      <c r="E34" s="61">
        <f>Invullen_1dBklasse!D39</f>
        <v>6220</v>
      </c>
      <c r="F34" s="64">
        <f>E34*Bevolkingsgegevens!L$7</f>
        <v>5047.1559777970097</v>
      </c>
      <c r="G34" s="65">
        <f t="shared" si="2"/>
        <v>25.94225000000003</v>
      </c>
      <c r="H34" s="27">
        <f t="shared" si="1"/>
        <v>1309.3458216500462</v>
      </c>
    </row>
    <row r="35" spans="2:8" x14ac:dyDescent="0.2">
      <c r="B35" s="62">
        <v>69</v>
      </c>
      <c r="C35" s="62">
        <v>70</v>
      </c>
      <c r="D35" s="62">
        <v>69.5</v>
      </c>
      <c r="E35" s="61">
        <f>Invullen_1dBklasse!D40</f>
        <v>6220</v>
      </c>
      <c r="F35" s="64">
        <f>E35*Bevolkingsgegevens!L$7</f>
        <v>5047.1559777970097</v>
      </c>
      <c r="G35" s="65">
        <f t="shared" si="2"/>
        <v>27.545649999999966</v>
      </c>
      <c r="H35" s="27">
        <f t="shared" si="1"/>
        <v>1390.2719205980404</v>
      </c>
    </row>
    <row r="36" spans="2:8" x14ac:dyDescent="0.2">
      <c r="B36" s="62">
        <v>70</v>
      </c>
      <c r="C36" s="62">
        <v>71</v>
      </c>
      <c r="D36" s="62">
        <v>70.5</v>
      </c>
      <c r="E36" s="61">
        <f>Invullen_1dBklasse!D41</f>
        <v>340</v>
      </c>
      <c r="F36" s="64">
        <f>E36*Bevolkingsgegevens!L$7</f>
        <v>275.88955505642815</v>
      </c>
      <c r="G36" s="65">
        <f t="shared" si="2"/>
        <v>29.217449999999985</v>
      </c>
      <c r="H36" s="27">
        <f t="shared" si="1"/>
        <v>80.607892803834332</v>
      </c>
    </row>
    <row r="37" spans="2:8" x14ac:dyDescent="0.2">
      <c r="B37" s="62">
        <v>71</v>
      </c>
      <c r="C37" s="62">
        <v>72</v>
      </c>
      <c r="D37" s="62">
        <v>71.5</v>
      </c>
      <c r="E37" s="61">
        <f>Invullen_1dBklasse!D42</f>
        <v>340</v>
      </c>
      <c r="F37" s="64">
        <f>E37*Bevolkingsgegevens!L$7</f>
        <v>275.88955505642815</v>
      </c>
      <c r="G37" s="65">
        <f t="shared" si="2"/>
        <v>30.957650000000001</v>
      </c>
      <c r="H37" s="27">
        <f t="shared" si="1"/>
        <v>85.408922840926337</v>
      </c>
    </row>
    <row r="38" spans="2:8" x14ac:dyDescent="0.2">
      <c r="B38" s="62">
        <v>72</v>
      </c>
      <c r="C38" s="62">
        <v>73</v>
      </c>
      <c r="D38" s="62">
        <v>72.5</v>
      </c>
      <c r="E38" s="61">
        <f>Invullen_1dBklasse!D43</f>
        <v>340</v>
      </c>
      <c r="F38" s="64">
        <f>E38*Bevolkingsgegevens!L$7</f>
        <v>275.88955505642815</v>
      </c>
      <c r="G38" s="65">
        <f t="shared" si="2"/>
        <v>32.766250000000014</v>
      </c>
      <c r="H38" s="27">
        <f t="shared" si="1"/>
        <v>90.398661333676927</v>
      </c>
    </row>
    <row r="39" spans="2:8" x14ac:dyDescent="0.2">
      <c r="B39" s="62">
        <v>73</v>
      </c>
      <c r="C39" s="62">
        <v>74</v>
      </c>
      <c r="D39" s="62">
        <v>73.5</v>
      </c>
      <c r="E39" s="61">
        <f>Invullen_1dBklasse!D44</f>
        <v>340</v>
      </c>
      <c r="F39" s="64">
        <f>E39*Bevolkingsgegevens!L$7</f>
        <v>275.88955505642815</v>
      </c>
      <c r="G39" s="65">
        <f t="shared" si="2"/>
        <v>34.643250000000023</v>
      </c>
      <c r="H39" s="27">
        <f t="shared" si="1"/>
        <v>95.577108282086115</v>
      </c>
    </row>
    <row r="40" spans="2:8" x14ac:dyDescent="0.2">
      <c r="B40" s="62">
        <v>74</v>
      </c>
      <c r="C40" s="62">
        <v>75</v>
      </c>
      <c r="D40" s="62">
        <v>74.5</v>
      </c>
      <c r="E40" s="61">
        <f>Invullen_1dBklasse!D45</f>
        <v>340</v>
      </c>
      <c r="F40" s="64">
        <f>E40*Bevolkingsgegevens!L$7</f>
        <v>275.88955505642815</v>
      </c>
      <c r="G40" s="65">
        <f t="shared" si="2"/>
        <v>36.58865000000003</v>
      </c>
      <c r="H40" s="27">
        <f t="shared" si="1"/>
        <v>100.94426368615389</v>
      </c>
    </row>
    <row r="41" spans="2:8" x14ac:dyDescent="0.2">
      <c r="B41" s="62">
        <v>75</v>
      </c>
      <c r="C41" s="62">
        <v>76</v>
      </c>
      <c r="D41" s="62">
        <v>75.5</v>
      </c>
      <c r="E41" s="61">
        <f>Invullen_1dBklasse!D46</f>
        <v>0</v>
      </c>
      <c r="F41" s="64">
        <f>E41*Bevolkingsgegevens!L$7</f>
        <v>0</v>
      </c>
      <c r="G41" s="65">
        <f t="shared" si="2"/>
        <v>38.602450000000033</v>
      </c>
      <c r="H41" s="27">
        <f t="shared" si="1"/>
        <v>0</v>
      </c>
    </row>
    <row r="42" spans="2:8" x14ac:dyDescent="0.2">
      <c r="B42" s="62">
        <v>76</v>
      </c>
      <c r="C42" s="62">
        <v>77</v>
      </c>
      <c r="D42" s="62">
        <v>76.5</v>
      </c>
      <c r="E42" s="61">
        <f>Invullen_1dBklasse!D47</f>
        <v>0</v>
      </c>
      <c r="F42" s="64">
        <f>E42*Bevolkingsgegevens!L$7</f>
        <v>0</v>
      </c>
      <c r="G42" s="65">
        <f t="shared" si="2"/>
        <v>40.684650000000005</v>
      </c>
      <c r="H42" s="27">
        <f t="shared" si="1"/>
        <v>0</v>
      </c>
    </row>
    <row r="43" spans="2:8" x14ac:dyDescent="0.2">
      <c r="B43" s="62">
        <v>77</v>
      </c>
      <c r="C43" s="62">
        <v>78</v>
      </c>
      <c r="D43" s="62">
        <v>77.5</v>
      </c>
      <c r="E43" s="61">
        <f>Invullen_1dBklasse!D48</f>
        <v>0</v>
      </c>
      <c r="F43" s="64">
        <f>E43*Bevolkingsgegevens!L$7</f>
        <v>0</v>
      </c>
      <c r="G43" s="65">
        <f t="shared" si="2"/>
        <v>42.835249999999974</v>
      </c>
      <c r="H43" s="27">
        <f t="shared" si="1"/>
        <v>0</v>
      </c>
    </row>
    <row r="44" spans="2:8" x14ac:dyDescent="0.2">
      <c r="B44" s="62">
        <v>78</v>
      </c>
      <c r="C44" s="62">
        <v>79</v>
      </c>
      <c r="D44" s="62">
        <v>78.5</v>
      </c>
      <c r="E44" s="61">
        <f>Invullen_1dBklasse!D49</f>
        <v>0</v>
      </c>
      <c r="F44" s="64">
        <f>E44*Bevolkingsgegevens!L$7</f>
        <v>0</v>
      </c>
      <c r="G44" s="65">
        <f t="shared" si="2"/>
        <v>45.054250000000025</v>
      </c>
      <c r="H44" s="27">
        <f t="shared" si="1"/>
        <v>0</v>
      </c>
    </row>
    <row r="45" spans="2:8" x14ac:dyDescent="0.2">
      <c r="B45" s="62">
        <v>79</v>
      </c>
      <c r="C45" s="62">
        <v>80</v>
      </c>
      <c r="D45" s="62">
        <v>79.5</v>
      </c>
      <c r="E45" s="61">
        <f>Invullen_1dBklasse!D50</f>
        <v>0</v>
      </c>
      <c r="F45" s="64">
        <f>E45*Bevolkingsgegevens!L$7</f>
        <v>0</v>
      </c>
      <c r="G45" s="65">
        <f t="shared" si="2"/>
        <v>47.341650000000016</v>
      </c>
      <c r="H45" s="27">
        <f t="shared" si="1"/>
        <v>0</v>
      </c>
    </row>
    <row r="46" spans="2:8" x14ac:dyDescent="0.2">
      <c r="B46" s="68" t="s">
        <v>113</v>
      </c>
      <c r="C46" s="68"/>
      <c r="D46" s="68"/>
      <c r="E46" s="66">
        <f>SUM(E6:E45)</f>
        <v>278200</v>
      </c>
      <c r="F46" s="66">
        <f>SUM(F6:F45)</f>
        <v>225742.57122558326</v>
      </c>
      <c r="G46" s="68"/>
      <c r="H46" s="73">
        <f>SUM(H6:H45)</f>
        <v>33019.759684933932</v>
      </c>
    </row>
    <row r="47" spans="2:8" x14ac:dyDescent="0.2">
      <c r="B47" s="19"/>
      <c r="C47" s="19"/>
      <c r="D47" s="19"/>
      <c r="E47" s="50"/>
      <c r="F47" s="59"/>
      <c r="G47" s="58"/>
      <c r="H47" s="18"/>
    </row>
    <row r="48" spans="2:8" x14ac:dyDescent="0.2">
      <c r="B48" s="19"/>
      <c r="C48" s="19"/>
      <c r="D48" s="19"/>
      <c r="E48" s="50"/>
      <c r="F48" s="59"/>
      <c r="G48" s="58"/>
      <c r="H48" s="18"/>
    </row>
    <row r="49" spans="2:8" x14ac:dyDescent="0.2">
      <c r="B49" s="19"/>
      <c r="C49" s="19"/>
      <c r="D49" s="19"/>
      <c r="E49" s="50"/>
      <c r="F49" s="59"/>
      <c r="G49" s="58"/>
      <c r="H49" s="18"/>
    </row>
  </sheetData>
  <mergeCells count="9">
    <mergeCell ref="K4:M4"/>
    <mergeCell ref="K5:M5"/>
    <mergeCell ref="K7:M7"/>
    <mergeCell ref="K6:M6"/>
    <mergeCell ref="B3:D3"/>
    <mergeCell ref="E3:E4"/>
    <mergeCell ref="F3:F4"/>
    <mergeCell ref="G3:G4"/>
    <mergeCell ref="H3:H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08D1B-E5E4-4DB9-BBCC-76BFAE0F4697}">
  <sheetPr>
    <tabColor theme="5" tint="0.39997558519241921"/>
  </sheetPr>
  <dimension ref="B1:N49"/>
  <sheetViews>
    <sheetView workbookViewId="0">
      <selection activeCell="B2" sqref="B2:E16"/>
    </sheetView>
  </sheetViews>
  <sheetFormatPr defaultRowHeight="15" x14ac:dyDescent="0.25"/>
  <cols>
    <col min="2" max="2" width="21.7109375" customWidth="1"/>
    <col min="3" max="3" width="17" customWidth="1"/>
    <col min="4" max="4" width="14" customWidth="1"/>
    <col min="5" max="5" width="15.85546875" customWidth="1"/>
    <col min="6" max="6" width="17.5703125" customWidth="1"/>
    <col min="7" max="7" width="17.140625" customWidth="1"/>
    <col min="8" max="8" width="17" customWidth="1"/>
    <col min="11" max="11" width="28.85546875" customWidth="1"/>
    <col min="12" max="12" width="17.5703125" customWidth="1"/>
    <col min="13" max="13" width="14.28515625" customWidth="1"/>
    <col min="15" max="15" width="50.42578125" customWidth="1"/>
    <col min="16" max="16" width="18" customWidth="1"/>
    <col min="17" max="17" width="16.7109375" customWidth="1"/>
  </cols>
  <sheetData>
    <row r="1" spans="2:14" ht="18" x14ac:dyDescent="0.25">
      <c r="B1" s="3" t="s">
        <v>118</v>
      </c>
      <c r="D1" s="3" t="s">
        <v>161</v>
      </c>
    </row>
    <row r="2" spans="2:14" ht="15" customHeight="1" x14ac:dyDescent="0.25"/>
    <row r="3" spans="2:14" ht="15" customHeight="1" x14ac:dyDescent="0.25">
      <c r="B3" s="120" t="s">
        <v>122</v>
      </c>
      <c r="C3" s="121"/>
      <c r="D3" s="121"/>
      <c r="E3" s="122" t="s">
        <v>3</v>
      </c>
      <c r="F3" s="124" t="s">
        <v>117</v>
      </c>
      <c r="G3" s="126" t="s">
        <v>123</v>
      </c>
      <c r="H3" s="122" t="s">
        <v>120</v>
      </c>
    </row>
    <row r="4" spans="2:14" ht="26.25" customHeight="1" x14ac:dyDescent="0.25">
      <c r="B4" s="21" t="s">
        <v>0</v>
      </c>
      <c r="C4" s="20" t="s">
        <v>1</v>
      </c>
      <c r="D4" s="20" t="s">
        <v>2</v>
      </c>
      <c r="E4" s="123"/>
      <c r="F4" s="125"/>
      <c r="G4" s="127"/>
      <c r="H4" s="123"/>
      <c r="K4" s="115" t="s">
        <v>121</v>
      </c>
      <c r="L4" s="115"/>
      <c r="M4" s="115"/>
      <c r="N4" s="9"/>
    </row>
    <row r="5" spans="2:14" ht="13.5" customHeight="1" x14ac:dyDescent="0.25">
      <c r="B5" s="62"/>
      <c r="C5" s="62">
        <v>40</v>
      </c>
      <c r="D5" s="62"/>
      <c r="E5" s="98">
        <f>IF(ISNUMBER(Invullen_1dBklasse!K10),Invullen_1dBklasse!K10,0)</f>
        <v>66300</v>
      </c>
      <c r="F5" s="61">
        <f>E5*Bevolkingsgegevens!L$7</f>
        <v>53798.463236003496</v>
      </c>
      <c r="G5" s="98">
        <v>0</v>
      </c>
      <c r="H5" s="27">
        <f t="shared" ref="H5:H40" si="0">(F5/100)*G5</f>
        <v>0</v>
      </c>
      <c r="K5" s="116" t="s">
        <v>162</v>
      </c>
      <c r="L5" s="116"/>
      <c r="M5" s="116"/>
      <c r="N5" s="78">
        <f>SUM(E16:E40)</f>
        <v>193700</v>
      </c>
    </row>
    <row r="6" spans="2:14" ht="13.5" customHeight="1" x14ac:dyDescent="0.25">
      <c r="B6" s="62">
        <v>40</v>
      </c>
      <c r="C6" s="62">
        <v>41</v>
      </c>
      <c r="D6" s="62">
        <v>40.5</v>
      </c>
      <c r="E6" s="61">
        <f>Invullen_1dBklasse!K16</f>
        <v>0</v>
      </c>
      <c r="F6" s="61">
        <f>E6*Bevolkingsgegevens!L$7</f>
        <v>0</v>
      </c>
      <c r="G6" s="65">
        <f>19.4312-(0.9336*D6)+(0.0126*D6*D6)</f>
        <v>2.2875499999999995</v>
      </c>
      <c r="H6" s="27">
        <f t="shared" si="0"/>
        <v>0</v>
      </c>
      <c r="K6" s="117" t="s">
        <v>163</v>
      </c>
      <c r="L6" s="118"/>
      <c r="M6" s="119"/>
      <c r="N6" s="5">
        <f>SUM(H5:H40)</f>
        <v>13701.075668533009</v>
      </c>
    </row>
    <row r="7" spans="2:14" ht="13.5" customHeight="1" x14ac:dyDescent="0.25">
      <c r="B7" s="62">
        <v>41</v>
      </c>
      <c r="C7" s="62">
        <v>42</v>
      </c>
      <c r="D7" s="62">
        <v>41.5</v>
      </c>
      <c r="E7" s="61">
        <f>Invullen_1dBklasse!K17</f>
        <v>0</v>
      </c>
      <c r="F7" s="61">
        <f>E7*Bevolkingsgegevens!L$7</f>
        <v>0</v>
      </c>
      <c r="G7" s="65">
        <f t="shared" ref="G7:G30" si="1">19.4312-(0.9336*D7)+(0.0126*D7*D7)</f>
        <v>2.3871500000000019</v>
      </c>
      <c r="H7" s="27">
        <f t="shared" si="0"/>
        <v>0</v>
      </c>
      <c r="K7" s="116" t="s">
        <v>164</v>
      </c>
      <c r="L7" s="116"/>
      <c r="M7" s="116"/>
      <c r="N7" s="5">
        <f>SUM(H16:H40)</f>
        <v>10829.268260362544</v>
      </c>
    </row>
    <row r="8" spans="2:14" ht="13.5" customHeight="1" x14ac:dyDescent="0.25">
      <c r="B8" s="62">
        <v>42</v>
      </c>
      <c r="C8" s="62">
        <v>43</v>
      </c>
      <c r="D8" s="62">
        <v>42.5</v>
      </c>
      <c r="E8" s="61">
        <f>Invullen_1dBklasse!K18</f>
        <v>0</v>
      </c>
      <c r="F8" s="61">
        <f>E8*Bevolkingsgegevens!L$7</f>
        <v>0</v>
      </c>
      <c r="G8" s="65">
        <f t="shared" si="1"/>
        <v>2.5119500000000023</v>
      </c>
      <c r="H8" s="27">
        <f t="shared" si="0"/>
        <v>0</v>
      </c>
    </row>
    <row r="9" spans="2:14" ht="13.5" customHeight="1" x14ac:dyDescent="0.25">
      <c r="B9" s="62">
        <v>43</v>
      </c>
      <c r="C9" s="62">
        <v>44</v>
      </c>
      <c r="D9" s="62">
        <v>43.5</v>
      </c>
      <c r="E9" s="61">
        <f>Invullen_1dBklasse!K19</f>
        <v>0</v>
      </c>
      <c r="F9" s="61">
        <f>E9*Bevolkingsgegevens!L$7</f>
        <v>0</v>
      </c>
      <c r="G9" s="65">
        <f t="shared" si="1"/>
        <v>2.6619499999999974</v>
      </c>
      <c r="H9" s="27">
        <f t="shared" si="0"/>
        <v>0</v>
      </c>
    </row>
    <row r="10" spans="2:14" ht="13.5" customHeight="1" x14ac:dyDescent="0.25">
      <c r="B10" s="62">
        <v>44</v>
      </c>
      <c r="C10" s="62">
        <v>45</v>
      </c>
      <c r="D10" s="62">
        <v>44.5</v>
      </c>
      <c r="E10" s="61">
        <f>Invullen_1dBklasse!K20</f>
        <v>0</v>
      </c>
      <c r="F10" s="61">
        <f>E10*Bevolkingsgegevens!L$7</f>
        <v>0</v>
      </c>
      <c r="G10" s="65">
        <f t="shared" si="1"/>
        <v>2.8371499999999976</v>
      </c>
      <c r="H10" s="27">
        <f t="shared" si="0"/>
        <v>0</v>
      </c>
    </row>
    <row r="11" spans="2:14" ht="13.5" customHeight="1" x14ac:dyDescent="0.25">
      <c r="B11" s="62">
        <v>45</v>
      </c>
      <c r="C11" s="62">
        <v>46</v>
      </c>
      <c r="D11" s="62">
        <v>45.5</v>
      </c>
      <c r="E11" s="61">
        <f>Invullen_1dBklasse!K21</f>
        <v>20000</v>
      </c>
      <c r="F11" s="61">
        <f>E11*Bevolkingsgegevens!L$7</f>
        <v>16228.79735626048</v>
      </c>
      <c r="G11" s="65">
        <f t="shared" si="1"/>
        <v>3.0375500000000031</v>
      </c>
      <c r="H11" s="27">
        <f t="shared" si="0"/>
        <v>492.95783409509073</v>
      </c>
      <c r="K11" s="108"/>
      <c r="L11" s="108"/>
      <c r="M11" s="108"/>
      <c r="N11" s="18"/>
    </row>
    <row r="12" spans="2:14" ht="13.5" customHeight="1" x14ac:dyDescent="0.25">
      <c r="B12" s="62">
        <v>46</v>
      </c>
      <c r="C12" s="62">
        <v>47</v>
      </c>
      <c r="D12" s="62">
        <v>46.5</v>
      </c>
      <c r="E12" s="61">
        <f>Invullen_1dBklasse!K22</f>
        <v>20000</v>
      </c>
      <c r="F12" s="61">
        <f>E12*Bevolkingsgegevens!L$7</f>
        <v>16228.79735626048</v>
      </c>
      <c r="G12" s="65">
        <f t="shared" si="1"/>
        <v>3.2631499999999996</v>
      </c>
      <c r="H12" s="27">
        <f t="shared" si="0"/>
        <v>529.57000093081376</v>
      </c>
    </row>
    <row r="13" spans="2:14" ht="13.5" customHeight="1" x14ac:dyDescent="0.25">
      <c r="B13" s="62">
        <v>47</v>
      </c>
      <c r="C13" s="62">
        <v>48</v>
      </c>
      <c r="D13" s="62">
        <v>47.5</v>
      </c>
      <c r="E13" s="61">
        <f>Invullen_1dBklasse!K23</f>
        <v>20000</v>
      </c>
      <c r="F13" s="61">
        <f>E13*Bevolkingsgegevens!L$7</f>
        <v>16228.79735626048</v>
      </c>
      <c r="G13" s="65">
        <f t="shared" si="1"/>
        <v>3.5139500000000048</v>
      </c>
      <c r="H13" s="27">
        <f t="shared" si="0"/>
        <v>570.27182470031596</v>
      </c>
    </row>
    <row r="14" spans="2:14" ht="13.5" customHeight="1" x14ac:dyDescent="0.25">
      <c r="B14" s="62">
        <v>48</v>
      </c>
      <c r="C14" s="62">
        <v>49</v>
      </c>
      <c r="D14" s="62">
        <v>48.5</v>
      </c>
      <c r="E14" s="61">
        <f>Invullen_1dBklasse!K24</f>
        <v>20000</v>
      </c>
      <c r="F14" s="61">
        <f>E14*Bevolkingsgegevens!L$7</f>
        <v>16228.79735626048</v>
      </c>
      <c r="G14" s="65">
        <f t="shared" si="1"/>
        <v>3.7899499999999975</v>
      </c>
      <c r="H14" s="27">
        <f t="shared" si="0"/>
        <v>615.06330540359363</v>
      </c>
    </row>
    <row r="15" spans="2:14" ht="13.5" customHeight="1" x14ac:dyDescent="0.25">
      <c r="B15" s="62">
        <v>49</v>
      </c>
      <c r="C15" s="62">
        <v>50</v>
      </c>
      <c r="D15" s="62">
        <v>49.5</v>
      </c>
      <c r="E15" s="61">
        <f>Invullen_1dBklasse!K25</f>
        <v>20000</v>
      </c>
      <c r="F15" s="61">
        <f>E15*Bevolkingsgegevens!L$7</f>
        <v>16228.79735626048</v>
      </c>
      <c r="G15" s="65">
        <f t="shared" si="1"/>
        <v>4.0911500000000025</v>
      </c>
      <c r="H15" s="27">
        <f t="shared" si="0"/>
        <v>663.94444304065109</v>
      </c>
    </row>
    <row r="16" spans="2:14" ht="13.5" customHeight="1" x14ac:dyDescent="0.25">
      <c r="B16" s="62">
        <v>50</v>
      </c>
      <c r="C16" s="62">
        <v>51</v>
      </c>
      <c r="D16" s="62">
        <v>50.5</v>
      </c>
      <c r="E16" s="61">
        <f>Invullen_1dBklasse!K26</f>
        <v>17940</v>
      </c>
      <c r="F16" s="61">
        <f>E16*Bevolkingsgegevens!L$7</f>
        <v>14557.231228565652</v>
      </c>
      <c r="G16" s="65">
        <f t="shared" si="1"/>
        <v>4.4175500000000021</v>
      </c>
      <c r="H16" s="27">
        <f t="shared" si="0"/>
        <v>643.07296813750224</v>
      </c>
    </row>
    <row r="17" spans="2:8" ht="13.5" customHeight="1" x14ac:dyDescent="0.25">
      <c r="B17" s="62">
        <v>51</v>
      </c>
      <c r="C17" s="62">
        <v>52</v>
      </c>
      <c r="D17" s="62">
        <v>51.5</v>
      </c>
      <c r="E17" s="61">
        <f>Invullen_1dBklasse!K27</f>
        <v>17940</v>
      </c>
      <c r="F17" s="61">
        <f>E17*Bevolkingsgegevens!L$7</f>
        <v>14557.231228565652</v>
      </c>
      <c r="G17" s="65">
        <f t="shared" si="1"/>
        <v>4.7691500000000069</v>
      </c>
      <c r="H17" s="27">
        <f t="shared" si="0"/>
        <v>694.2561931371398</v>
      </c>
    </row>
    <row r="18" spans="2:8" ht="13.5" customHeight="1" x14ac:dyDescent="0.25">
      <c r="B18" s="62">
        <v>52</v>
      </c>
      <c r="C18" s="62">
        <v>53</v>
      </c>
      <c r="D18" s="62">
        <v>52.5</v>
      </c>
      <c r="E18" s="61">
        <f>Invullen_1dBklasse!K28</f>
        <v>17940</v>
      </c>
      <c r="F18" s="61">
        <f>E18*Bevolkingsgegevens!L$7</f>
        <v>14557.231228565652</v>
      </c>
      <c r="G18" s="65">
        <f t="shared" si="1"/>
        <v>5.1459500000000027</v>
      </c>
      <c r="H18" s="27">
        <f t="shared" si="0"/>
        <v>749.10784040637452</v>
      </c>
    </row>
    <row r="19" spans="2:8" ht="13.5" customHeight="1" x14ac:dyDescent="0.25">
      <c r="B19" s="62">
        <v>53</v>
      </c>
      <c r="C19" s="62">
        <v>54</v>
      </c>
      <c r="D19" s="62">
        <v>53.5</v>
      </c>
      <c r="E19" s="61">
        <f>Invullen_1dBklasse!K29</f>
        <v>17940</v>
      </c>
      <c r="F19" s="61">
        <f>E19*Bevolkingsgegevens!L$7</f>
        <v>14557.231228565652</v>
      </c>
      <c r="G19" s="65">
        <f t="shared" si="1"/>
        <v>5.5479500000000037</v>
      </c>
      <c r="H19" s="27">
        <f t="shared" si="0"/>
        <v>807.62790994520867</v>
      </c>
    </row>
    <row r="20" spans="2:8" ht="13.5" customHeight="1" x14ac:dyDescent="0.25">
      <c r="B20" s="62">
        <v>54</v>
      </c>
      <c r="C20" s="62">
        <v>55</v>
      </c>
      <c r="D20" s="62">
        <v>54.5</v>
      </c>
      <c r="E20" s="61">
        <f>Invullen_1dBklasse!K30</f>
        <v>17940</v>
      </c>
      <c r="F20" s="61">
        <f>E20*Bevolkingsgegevens!L$7</f>
        <v>14557.231228565652</v>
      </c>
      <c r="G20" s="65">
        <f t="shared" si="1"/>
        <v>5.9751500000000028</v>
      </c>
      <c r="H20" s="27">
        <f t="shared" si="0"/>
        <v>869.816401753641</v>
      </c>
    </row>
    <row r="21" spans="2:8" ht="13.5" customHeight="1" x14ac:dyDescent="0.25">
      <c r="B21" s="62">
        <v>55</v>
      </c>
      <c r="C21" s="62">
        <v>56</v>
      </c>
      <c r="D21" s="62">
        <v>55.5</v>
      </c>
      <c r="E21" s="61">
        <f>Invullen_1dBklasse!K31</f>
        <v>14240</v>
      </c>
      <c r="F21" s="61">
        <f>E21*Bevolkingsgegevens!L$7</f>
        <v>11554.903717657462</v>
      </c>
      <c r="G21" s="65">
        <f t="shared" si="1"/>
        <v>6.4275500000000036</v>
      </c>
      <c r="H21" s="27">
        <f t="shared" si="0"/>
        <v>742.69721390429254</v>
      </c>
    </row>
    <row r="22" spans="2:8" ht="13.5" customHeight="1" x14ac:dyDescent="0.25">
      <c r="B22" s="62">
        <v>56</v>
      </c>
      <c r="C22" s="62">
        <v>57</v>
      </c>
      <c r="D22" s="62">
        <v>56.5</v>
      </c>
      <c r="E22" s="61">
        <f>Invullen_1dBklasse!K32</f>
        <v>14240</v>
      </c>
      <c r="F22" s="61">
        <f>E22*Bevolkingsgegevens!L$7</f>
        <v>11554.903717657462</v>
      </c>
      <c r="G22" s="65">
        <f t="shared" si="1"/>
        <v>6.905149999999999</v>
      </c>
      <c r="H22" s="27">
        <f t="shared" si="0"/>
        <v>797.88343405982414</v>
      </c>
    </row>
    <row r="23" spans="2:8" ht="13.5" customHeight="1" x14ac:dyDescent="0.25">
      <c r="B23" s="62">
        <v>57</v>
      </c>
      <c r="C23" s="62">
        <v>58</v>
      </c>
      <c r="D23" s="62">
        <v>57.5</v>
      </c>
      <c r="E23" s="61">
        <f>Invullen_1dBklasse!K33</f>
        <v>14240</v>
      </c>
      <c r="F23" s="61">
        <f>E23*Bevolkingsgegevens!L$7</f>
        <v>11554.903717657462</v>
      </c>
      <c r="G23" s="65">
        <f t="shared" si="1"/>
        <v>7.4079500000000067</v>
      </c>
      <c r="H23" s="27">
        <f t="shared" si="0"/>
        <v>855.98148995220674</v>
      </c>
    </row>
    <row r="24" spans="2:8" ht="13.5" customHeight="1" x14ac:dyDescent="0.25">
      <c r="B24" s="62">
        <v>58</v>
      </c>
      <c r="C24" s="62">
        <v>59</v>
      </c>
      <c r="D24" s="62">
        <v>58.5</v>
      </c>
      <c r="E24" s="61">
        <f>Invullen_1dBklasse!K34</f>
        <v>14240</v>
      </c>
      <c r="F24" s="61">
        <f>E24*Bevolkingsgegevens!L$7</f>
        <v>11554.903717657462</v>
      </c>
      <c r="G24" s="65">
        <f t="shared" si="1"/>
        <v>7.9359500000000054</v>
      </c>
      <c r="H24" s="27">
        <f t="shared" si="0"/>
        <v>916.99138158143796</v>
      </c>
    </row>
    <row r="25" spans="2:8" ht="13.5" customHeight="1" x14ac:dyDescent="0.25">
      <c r="B25" s="62">
        <v>59</v>
      </c>
      <c r="C25" s="62">
        <v>60</v>
      </c>
      <c r="D25" s="62">
        <v>59.5</v>
      </c>
      <c r="E25" s="61">
        <f>Invullen_1dBklasse!K35</f>
        <v>14240</v>
      </c>
      <c r="F25" s="61">
        <f>E25*Bevolkingsgegevens!L$7</f>
        <v>11554.903717657462</v>
      </c>
      <c r="G25" s="65">
        <f t="shared" si="1"/>
        <v>8.4891500000000093</v>
      </c>
      <c r="H25" s="27">
        <f t="shared" si="0"/>
        <v>980.9131089475195</v>
      </c>
    </row>
    <row r="26" spans="2:8" ht="13.5" customHeight="1" x14ac:dyDescent="0.25">
      <c r="B26" s="62">
        <v>60</v>
      </c>
      <c r="C26" s="62">
        <v>61</v>
      </c>
      <c r="D26" s="62">
        <v>60.5</v>
      </c>
      <c r="E26" s="61">
        <f>Invullen_1dBklasse!K36</f>
        <v>6220</v>
      </c>
      <c r="F26" s="61">
        <f>E26*Bevolkingsgegevens!L$7</f>
        <v>5047.1559777970097</v>
      </c>
      <c r="G26" s="65">
        <f t="shared" si="1"/>
        <v>9.0675500000000042</v>
      </c>
      <c r="H26" s="27">
        <f t="shared" si="0"/>
        <v>457.65339186473301</v>
      </c>
    </row>
    <row r="27" spans="2:8" ht="13.5" customHeight="1" x14ac:dyDescent="0.25">
      <c r="B27" s="62">
        <v>61</v>
      </c>
      <c r="C27" s="62">
        <v>62</v>
      </c>
      <c r="D27" s="62">
        <v>61.5</v>
      </c>
      <c r="E27" s="61">
        <f>Invullen_1dBklasse!K37</f>
        <v>6220</v>
      </c>
      <c r="F27" s="61">
        <f>E27*Bevolkingsgegevens!L$7</f>
        <v>5047.1559777970097</v>
      </c>
      <c r="G27" s="65">
        <f t="shared" si="1"/>
        <v>9.6711500000000115</v>
      </c>
      <c r="H27" s="27">
        <f t="shared" si="0"/>
        <v>488.11802534671614</v>
      </c>
    </row>
    <row r="28" spans="2:8" ht="13.5" customHeight="1" x14ac:dyDescent="0.25">
      <c r="B28" s="62">
        <v>62</v>
      </c>
      <c r="C28" s="62">
        <v>63</v>
      </c>
      <c r="D28" s="62">
        <v>62.5</v>
      </c>
      <c r="E28" s="61">
        <f>Invullen_1dBklasse!K38</f>
        <v>6220</v>
      </c>
      <c r="F28" s="61">
        <f>E28*Bevolkingsgegevens!L$7</f>
        <v>5047.1559777970097</v>
      </c>
      <c r="G28" s="65">
        <f t="shared" si="1"/>
        <v>10.299949999999995</v>
      </c>
      <c r="H28" s="27">
        <f t="shared" si="0"/>
        <v>519.85454213510286</v>
      </c>
    </row>
    <row r="29" spans="2:8" ht="13.5" customHeight="1" x14ac:dyDescent="0.25">
      <c r="B29" s="62">
        <v>63</v>
      </c>
      <c r="C29" s="62">
        <v>64</v>
      </c>
      <c r="D29" s="62">
        <v>63.5</v>
      </c>
      <c r="E29" s="61">
        <f>Invullen_1dBklasse!K39</f>
        <v>6220</v>
      </c>
      <c r="F29" s="61">
        <f>E29*Bevolkingsgegevens!L$7</f>
        <v>5047.1559777970097</v>
      </c>
      <c r="G29" s="65">
        <f t="shared" si="1"/>
        <v>10.953949999999999</v>
      </c>
      <c r="H29" s="27">
        <f t="shared" si="0"/>
        <v>552.86294222989557</v>
      </c>
    </row>
    <row r="30" spans="2:8" ht="13.5" customHeight="1" x14ac:dyDescent="0.25">
      <c r="B30" s="62">
        <v>64</v>
      </c>
      <c r="C30" s="62">
        <v>65</v>
      </c>
      <c r="D30" s="62">
        <v>64.5</v>
      </c>
      <c r="E30" s="61">
        <f>Invullen_1dBklasse!K40</f>
        <v>6220</v>
      </c>
      <c r="F30" s="61">
        <f>E30*Bevolkingsgegevens!L$7</f>
        <v>5047.1559777970097</v>
      </c>
      <c r="G30" s="65">
        <f t="shared" si="1"/>
        <v>11.633150000000001</v>
      </c>
      <c r="H30" s="27">
        <f t="shared" si="0"/>
        <v>587.14322563109295</v>
      </c>
    </row>
    <row r="31" spans="2:8" ht="13.5" customHeight="1" x14ac:dyDescent="0.25">
      <c r="B31" s="62">
        <v>65</v>
      </c>
      <c r="C31" s="62">
        <v>66</v>
      </c>
      <c r="D31" s="62">
        <v>65.5</v>
      </c>
      <c r="E31" s="61">
        <f>Invullen_1dBklasse!K41</f>
        <v>340</v>
      </c>
      <c r="F31" s="61">
        <f>E31*Bevolkingsgegevens!L$7</f>
        <v>275.88955505642815</v>
      </c>
      <c r="G31" s="65">
        <f>19.4312-(0.9336*65)+(0.0126*65*65)</f>
        <v>11.982200000000006</v>
      </c>
      <c r="H31" s="27">
        <f t="shared" si="0"/>
        <v>33.057638265971349</v>
      </c>
    </row>
    <row r="32" spans="2:8" ht="13.5" customHeight="1" x14ac:dyDescent="0.25">
      <c r="B32" s="62">
        <v>66</v>
      </c>
      <c r="C32" s="62">
        <v>67</v>
      </c>
      <c r="D32" s="62">
        <v>66.5</v>
      </c>
      <c r="E32" s="61">
        <f>Invullen_1dBklasse!K42</f>
        <v>340</v>
      </c>
      <c r="F32" s="61">
        <f>E32*Bevolkingsgegevens!L$7</f>
        <v>275.88955505642815</v>
      </c>
      <c r="G32" s="65">
        <f t="shared" ref="G32:G40" si="2">19.4312-(0.9336*65)+(0.0126*65*65)</f>
        <v>11.982200000000006</v>
      </c>
      <c r="H32" s="27">
        <f t="shared" si="0"/>
        <v>33.057638265971349</v>
      </c>
    </row>
    <row r="33" spans="2:8" ht="13.5" customHeight="1" x14ac:dyDescent="0.25">
      <c r="B33" s="62">
        <v>67</v>
      </c>
      <c r="C33" s="62">
        <v>68</v>
      </c>
      <c r="D33" s="62">
        <v>67.5</v>
      </c>
      <c r="E33" s="61">
        <f>Invullen_1dBklasse!K43</f>
        <v>340</v>
      </c>
      <c r="F33" s="61">
        <f>E33*Bevolkingsgegevens!L$7</f>
        <v>275.88955505642815</v>
      </c>
      <c r="G33" s="65">
        <f t="shared" si="2"/>
        <v>11.982200000000006</v>
      </c>
      <c r="H33" s="27">
        <f t="shared" si="0"/>
        <v>33.057638265971349</v>
      </c>
    </row>
    <row r="34" spans="2:8" ht="13.5" customHeight="1" x14ac:dyDescent="0.25">
      <c r="B34" s="62">
        <v>68</v>
      </c>
      <c r="C34" s="62">
        <v>69</v>
      </c>
      <c r="D34" s="62">
        <v>68.5</v>
      </c>
      <c r="E34" s="61">
        <f>Invullen_1dBklasse!K44</f>
        <v>340</v>
      </c>
      <c r="F34" s="61">
        <f>E34*Bevolkingsgegevens!L$7</f>
        <v>275.88955505642815</v>
      </c>
      <c r="G34" s="65">
        <f t="shared" si="2"/>
        <v>11.982200000000006</v>
      </c>
      <c r="H34" s="27">
        <f t="shared" si="0"/>
        <v>33.057638265971349</v>
      </c>
    </row>
    <row r="35" spans="2:8" ht="13.5" customHeight="1" x14ac:dyDescent="0.25">
      <c r="B35" s="62">
        <v>69</v>
      </c>
      <c r="C35" s="62">
        <v>70</v>
      </c>
      <c r="D35" s="62">
        <v>69.5</v>
      </c>
      <c r="E35" s="61">
        <f>Invullen_1dBklasse!K45</f>
        <v>340</v>
      </c>
      <c r="F35" s="61">
        <f>E35*Bevolkingsgegevens!L$7</f>
        <v>275.88955505642815</v>
      </c>
      <c r="G35" s="65">
        <f t="shared" si="2"/>
        <v>11.982200000000006</v>
      </c>
      <c r="H35" s="27">
        <f t="shared" si="0"/>
        <v>33.057638265971349</v>
      </c>
    </row>
    <row r="36" spans="2:8" ht="13.5" customHeight="1" x14ac:dyDescent="0.25">
      <c r="B36" s="62">
        <v>70</v>
      </c>
      <c r="C36" s="62">
        <v>71</v>
      </c>
      <c r="D36" s="62">
        <v>70.5</v>
      </c>
      <c r="E36" s="61">
        <f>Invullen_1dBklasse!K46</f>
        <v>0</v>
      </c>
      <c r="F36" s="61">
        <f>E36*Bevolkingsgegevens!L$7</f>
        <v>0</v>
      </c>
      <c r="G36" s="65">
        <f t="shared" si="2"/>
        <v>11.982200000000006</v>
      </c>
      <c r="H36" s="27">
        <f t="shared" si="0"/>
        <v>0</v>
      </c>
    </row>
    <row r="37" spans="2:8" ht="13.5" customHeight="1" x14ac:dyDescent="0.25">
      <c r="B37" s="62">
        <v>71</v>
      </c>
      <c r="C37" s="62">
        <v>72</v>
      </c>
      <c r="D37" s="62">
        <v>71.5</v>
      </c>
      <c r="E37" s="61">
        <f>Invullen_1dBklasse!K47</f>
        <v>0</v>
      </c>
      <c r="F37" s="61">
        <f>E37*Bevolkingsgegevens!L$7</f>
        <v>0</v>
      </c>
      <c r="G37" s="65">
        <f t="shared" si="2"/>
        <v>11.982200000000006</v>
      </c>
      <c r="H37" s="27">
        <f t="shared" si="0"/>
        <v>0</v>
      </c>
    </row>
    <row r="38" spans="2:8" ht="13.5" customHeight="1" x14ac:dyDescent="0.25">
      <c r="B38" s="62">
        <v>72</v>
      </c>
      <c r="C38" s="62">
        <v>73</v>
      </c>
      <c r="D38" s="62">
        <v>72.5</v>
      </c>
      <c r="E38" s="61">
        <f>Invullen_1dBklasse!K48</f>
        <v>0</v>
      </c>
      <c r="F38" s="61">
        <f>E38*Bevolkingsgegevens!L$7</f>
        <v>0</v>
      </c>
      <c r="G38" s="65">
        <f t="shared" si="2"/>
        <v>11.982200000000006</v>
      </c>
      <c r="H38" s="27">
        <f t="shared" si="0"/>
        <v>0</v>
      </c>
    </row>
    <row r="39" spans="2:8" ht="13.5" customHeight="1" x14ac:dyDescent="0.25">
      <c r="B39" s="62">
        <v>73</v>
      </c>
      <c r="C39" s="62">
        <v>74</v>
      </c>
      <c r="D39" s="62">
        <v>73.5</v>
      </c>
      <c r="E39" s="61">
        <f>Invullen_1dBklasse!K49</f>
        <v>0</v>
      </c>
      <c r="F39" s="61">
        <f>E39*Bevolkingsgegevens!L$7</f>
        <v>0</v>
      </c>
      <c r="G39" s="65">
        <f t="shared" si="2"/>
        <v>11.982200000000006</v>
      </c>
      <c r="H39" s="27">
        <f t="shared" si="0"/>
        <v>0</v>
      </c>
    </row>
    <row r="40" spans="2:8" ht="13.5" customHeight="1" x14ac:dyDescent="0.25">
      <c r="B40" s="62">
        <v>74</v>
      </c>
      <c r="C40" s="62">
        <v>75</v>
      </c>
      <c r="D40" s="62">
        <v>74.5</v>
      </c>
      <c r="E40" s="61">
        <f>Invullen_1dBklasse!K50</f>
        <v>0</v>
      </c>
      <c r="F40" s="61">
        <f>E40*Bevolkingsgegevens!L$7</f>
        <v>0</v>
      </c>
      <c r="G40" s="65">
        <f t="shared" si="2"/>
        <v>11.982200000000006</v>
      </c>
      <c r="H40" s="27">
        <f t="shared" si="0"/>
        <v>0</v>
      </c>
    </row>
    <row r="41" spans="2:8" ht="13.5" customHeight="1" x14ac:dyDescent="0.25">
      <c r="B41" s="68" t="s">
        <v>113</v>
      </c>
      <c r="C41" s="62"/>
      <c r="D41" s="62"/>
      <c r="E41" s="67">
        <f>SUM(E5:E40)</f>
        <v>360000</v>
      </c>
      <c r="F41" s="67">
        <f>SUM(F5:F40)</f>
        <v>292118.35241268843</v>
      </c>
      <c r="G41" s="62"/>
      <c r="H41" s="99">
        <f>SUM(H5:H40)</f>
        <v>13701.075668533009</v>
      </c>
    </row>
    <row r="42" spans="2:8" x14ac:dyDescent="0.25">
      <c r="B42" s="19"/>
      <c r="C42" s="19"/>
      <c r="D42" s="19"/>
      <c r="E42" s="18"/>
      <c r="F42" s="18"/>
      <c r="G42" s="58"/>
      <c r="H42" s="18"/>
    </row>
    <row r="43" spans="2:8" x14ac:dyDescent="0.25">
      <c r="B43" s="19"/>
      <c r="C43" s="19"/>
      <c r="D43" s="19"/>
      <c r="E43" s="18"/>
      <c r="F43" s="18"/>
      <c r="G43" s="58"/>
      <c r="H43" s="18"/>
    </row>
    <row r="44" spans="2:8" x14ac:dyDescent="0.25">
      <c r="B44" s="19"/>
      <c r="C44" s="19"/>
      <c r="D44" s="19"/>
      <c r="E44" s="18"/>
      <c r="F44" s="18"/>
      <c r="G44" s="58"/>
      <c r="H44" s="18"/>
    </row>
    <row r="45" spans="2:8" x14ac:dyDescent="0.25">
      <c r="B45" s="19"/>
      <c r="C45" s="19"/>
      <c r="D45" s="19"/>
      <c r="E45" s="18"/>
      <c r="F45" s="18"/>
      <c r="G45" s="58"/>
      <c r="H45" s="18"/>
    </row>
    <row r="46" spans="2:8" x14ac:dyDescent="0.25">
      <c r="B46" s="19"/>
      <c r="C46" s="19"/>
      <c r="D46" s="19"/>
      <c r="E46" s="18"/>
      <c r="F46" s="18"/>
      <c r="G46" s="58"/>
      <c r="H46" s="18"/>
    </row>
    <row r="47" spans="2:8" x14ac:dyDescent="0.25">
      <c r="B47" s="19"/>
      <c r="C47" s="19"/>
      <c r="D47" s="19"/>
      <c r="E47" s="18"/>
      <c r="F47" s="18"/>
      <c r="G47" s="58"/>
      <c r="H47" s="18"/>
    </row>
    <row r="48" spans="2:8" x14ac:dyDescent="0.25">
      <c r="B48" s="19"/>
      <c r="C48" s="19"/>
      <c r="D48" s="19"/>
      <c r="E48" s="18"/>
      <c r="F48" s="18"/>
      <c r="G48" s="58"/>
      <c r="H48" s="18"/>
    </row>
    <row r="49" spans="2:8" x14ac:dyDescent="0.25">
      <c r="B49" s="19"/>
      <c r="C49" s="19"/>
      <c r="D49" s="19"/>
      <c r="E49" s="18"/>
      <c r="F49" s="18"/>
      <c r="G49" s="58"/>
      <c r="H49" s="18"/>
    </row>
  </sheetData>
  <mergeCells count="10">
    <mergeCell ref="B3:D3"/>
    <mergeCell ref="E3:E4"/>
    <mergeCell ref="F3:F4"/>
    <mergeCell ref="G3:G4"/>
    <mergeCell ref="H3:H4"/>
    <mergeCell ref="K7:M7"/>
    <mergeCell ref="K4:M4"/>
    <mergeCell ref="K5:M5"/>
    <mergeCell ref="K11:M11"/>
    <mergeCell ref="K6:M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F866-60D1-49B0-A9FC-66A674F5891C}">
  <sheetPr>
    <tabColor theme="5" tint="0.39997558519241921"/>
  </sheetPr>
  <dimension ref="B2:M37"/>
  <sheetViews>
    <sheetView workbookViewId="0">
      <selection activeCell="B2" sqref="B2:E16"/>
    </sheetView>
  </sheetViews>
  <sheetFormatPr defaultRowHeight="12.75" x14ac:dyDescent="0.2"/>
  <cols>
    <col min="1" max="1" width="9.42578125" style="1" bestFit="1" customWidth="1"/>
    <col min="2" max="2" width="17.5703125" style="1" customWidth="1"/>
    <col min="3" max="3" width="14.5703125" style="1" customWidth="1"/>
    <col min="4" max="4" width="15.7109375" style="1" customWidth="1"/>
    <col min="5" max="5" width="19.140625" style="1" customWidth="1"/>
    <col min="6" max="6" width="15.7109375" style="1" customWidth="1"/>
    <col min="7" max="7" width="19.5703125" style="1" customWidth="1"/>
    <col min="8" max="8" width="11.7109375" style="1" customWidth="1"/>
    <col min="9" max="9" width="13" style="1" customWidth="1"/>
    <col min="10" max="10" width="26.85546875" style="1" customWidth="1"/>
    <col min="11" max="11" width="25.5703125" style="1" customWidth="1"/>
    <col min="12" max="12" width="19.42578125" style="1" customWidth="1"/>
    <col min="13" max="13" width="14.85546875" style="1" customWidth="1"/>
    <col min="14" max="14" width="28.85546875" style="1" customWidth="1"/>
    <col min="15" max="15" width="26.5703125" style="1" customWidth="1"/>
    <col min="16" max="16" width="17.42578125" style="1" customWidth="1"/>
    <col min="17" max="17" width="15.140625" style="1" customWidth="1"/>
    <col min="18" max="18" width="16.5703125" style="1" customWidth="1"/>
    <col min="19" max="19" width="44" style="1" customWidth="1"/>
    <col min="20" max="20" width="21.5703125" style="1" customWidth="1"/>
    <col min="21" max="16384" width="9.140625" style="1"/>
  </cols>
  <sheetData>
    <row r="2" spans="2:13" ht="18" x14ac:dyDescent="0.25">
      <c r="B2" s="3" t="s">
        <v>118</v>
      </c>
      <c r="D2" s="3" t="s">
        <v>165</v>
      </c>
    </row>
    <row r="3" spans="2:13" ht="14.25" customHeight="1" x14ac:dyDescent="0.25">
      <c r="B3" s="3"/>
      <c r="C3" s="13"/>
    </row>
    <row r="4" spans="2:13" ht="18" customHeight="1" x14ac:dyDescent="0.2">
      <c r="B4" s="120" t="s">
        <v>119</v>
      </c>
      <c r="C4" s="121"/>
      <c r="D4" s="121"/>
      <c r="E4" s="122" t="s">
        <v>3</v>
      </c>
      <c r="F4" s="128" t="s">
        <v>125</v>
      </c>
      <c r="G4" s="129" t="s">
        <v>126</v>
      </c>
      <c r="H4" s="130"/>
      <c r="I4" s="80"/>
    </row>
    <row r="5" spans="2:13" ht="25.5" customHeight="1" x14ac:dyDescent="0.2">
      <c r="B5" s="7" t="s">
        <v>0</v>
      </c>
      <c r="C5" s="8" t="s">
        <v>1</v>
      </c>
      <c r="D5" s="8" t="s">
        <v>2</v>
      </c>
      <c r="E5" s="123"/>
      <c r="F5" s="128"/>
      <c r="G5" s="129"/>
      <c r="H5" s="130"/>
      <c r="I5" s="80"/>
      <c r="J5" s="115" t="s">
        <v>121</v>
      </c>
      <c r="K5" s="115"/>
      <c r="L5" s="115"/>
      <c r="M5" s="77" t="s">
        <v>179</v>
      </c>
    </row>
    <row r="6" spans="2:13" ht="15.75" customHeight="1" x14ac:dyDescent="0.2">
      <c r="B6" s="81"/>
      <c r="C6" s="81">
        <v>53</v>
      </c>
      <c r="D6" s="82"/>
      <c r="E6" s="83">
        <f>M6-SUM(E7:E33)</f>
        <v>126300</v>
      </c>
      <c r="F6" s="84">
        <f t="shared" ref="F6:F33" si="0">IF($B6&gt;=53,EXP(($D6-53)*LN(1.08)/10),1)</f>
        <v>1</v>
      </c>
      <c r="G6" s="71">
        <f>$E6*(F6-1)/$M$6</f>
        <v>0</v>
      </c>
      <c r="H6" s="86"/>
      <c r="I6" s="18"/>
      <c r="J6" s="116" t="s">
        <v>167</v>
      </c>
      <c r="K6" s="116"/>
      <c r="L6" s="116"/>
      <c r="M6" s="5">
        <f>IF(Invullen_1dBklasse!G6&gt;0,Invullen_1dBklasse!G6,SUM(Invullen_1dBklasse!D11:D50))</f>
        <v>360000</v>
      </c>
    </row>
    <row r="7" spans="2:13" x14ac:dyDescent="0.2">
      <c r="B7" s="81">
        <v>53</v>
      </c>
      <c r="C7" s="81">
        <v>54</v>
      </c>
      <c r="D7" s="82">
        <v>53.5</v>
      </c>
      <c r="E7" s="81">
        <f>Invullen_1dBklasse!D24</f>
        <v>20000</v>
      </c>
      <c r="F7" s="84">
        <f t="shared" si="0"/>
        <v>1.0038554653149401</v>
      </c>
      <c r="G7" s="71">
        <f t="shared" ref="G7:G33" si="1">$E7*(F7-1)/$M$6</f>
        <v>2.1419251749667091E-4</v>
      </c>
      <c r="H7" s="86"/>
      <c r="I7" s="26"/>
      <c r="J7" s="116" t="s">
        <v>157</v>
      </c>
      <c r="K7" s="116"/>
      <c r="L7" s="116"/>
      <c r="M7" s="24">
        <f>SUM(E9:E33)</f>
        <v>193700</v>
      </c>
    </row>
    <row r="8" spans="2:13" x14ac:dyDescent="0.2">
      <c r="B8" s="81">
        <v>54</v>
      </c>
      <c r="C8" s="81">
        <v>55</v>
      </c>
      <c r="D8" s="82">
        <v>54.5</v>
      </c>
      <c r="E8" s="81">
        <f>Invullen_1dBklasse!D25</f>
        <v>20000</v>
      </c>
      <c r="F8" s="84">
        <f t="shared" si="0"/>
        <v>1.0116110470932034</v>
      </c>
      <c r="G8" s="71">
        <f t="shared" si="1"/>
        <v>6.4505817184463195E-4</v>
      </c>
      <c r="H8" s="86"/>
      <c r="I8" s="26"/>
      <c r="J8" s="116" t="s">
        <v>149</v>
      </c>
      <c r="K8" s="116"/>
      <c r="L8" s="116"/>
      <c r="M8" s="5">
        <f>F37</f>
        <v>36.666644006294021</v>
      </c>
    </row>
    <row r="9" spans="2:13" x14ac:dyDescent="0.2">
      <c r="B9" s="81">
        <v>55</v>
      </c>
      <c r="C9" s="81">
        <v>56</v>
      </c>
      <c r="D9" s="82">
        <v>55.5</v>
      </c>
      <c r="E9" s="81">
        <f>Invullen_1dBklasse!D26</f>
        <v>17940</v>
      </c>
      <c r="F9" s="84">
        <f t="shared" si="0"/>
        <v>1.0194265469082735</v>
      </c>
      <c r="G9" s="71">
        <f t="shared" si="1"/>
        <v>9.6808958759562937E-4</v>
      </c>
      <c r="H9" s="87"/>
      <c r="I9" s="26"/>
      <c r="J9" s="116" t="s">
        <v>193</v>
      </c>
      <c r="K9" s="116"/>
      <c r="L9" s="116"/>
      <c r="M9" s="5">
        <f>H37</f>
        <v>35.812329983741307</v>
      </c>
    </row>
    <row r="10" spans="2:13" x14ac:dyDescent="0.2">
      <c r="B10" s="81">
        <v>56</v>
      </c>
      <c r="C10" s="81">
        <v>57</v>
      </c>
      <c r="D10" s="82">
        <v>56.5</v>
      </c>
      <c r="E10" s="81">
        <f>Invullen_1dBklasse!D27</f>
        <v>17940</v>
      </c>
      <c r="F10" s="84">
        <f t="shared" si="0"/>
        <v>1.0273024276746341</v>
      </c>
      <c r="G10" s="71">
        <f t="shared" si="1"/>
        <v>1.3605709791192654E-3</v>
      </c>
      <c r="H10" s="87"/>
      <c r="I10" s="26"/>
    </row>
    <row r="11" spans="2:13" x14ac:dyDescent="0.2">
      <c r="B11" s="81">
        <v>57</v>
      </c>
      <c r="C11" s="81">
        <v>58</v>
      </c>
      <c r="D11" s="82">
        <v>57.5</v>
      </c>
      <c r="E11" s="81">
        <f>Invullen_1dBklasse!D28</f>
        <v>17940</v>
      </c>
      <c r="F11" s="84">
        <f t="shared" si="0"/>
        <v>1.0352391558831511</v>
      </c>
      <c r="G11" s="71">
        <f t="shared" si="1"/>
        <v>1.7560846015103619E-3</v>
      </c>
      <c r="H11" s="87"/>
      <c r="I11" s="26"/>
    </row>
    <row r="12" spans="2:13" x14ac:dyDescent="0.2">
      <c r="B12" s="81">
        <v>58</v>
      </c>
      <c r="C12" s="81">
        <v>59</v>
      </c>
      <c r="D12" s="82">
        <v>58.5</v>
      </c>
      <c r="E12" s="81">
        <f>Invullen_1dBklasse!D29</f>
        <v>17940</v>
      </c>
      <c r="F12" s="84">
        <f t="shared" si="0"/>
        <v>1.0432372016287039</v>
      </c>
      <c r="G12" s="71">
        <f t="shared" si="1"/>
        <v>2.1546538811637456E-3</v>
      </c>
      <c r="H12" s="87"/>
      <c r="I12" s="26"/>
    </row>
    <row r="13" spans="2:13" x14ac:dyDescent="0.2">
      <c r="B13" s="81">
        <v>59</v>
      </c>
      <c r="C13" s="81">
        <v>60</v>
      </c>
      <c r="D13" s="82">
        <v>59.5</v>
      </c>
      <c r="E13" s="81">
        <f>Invullen_1dBklasse!D30</f>
        <v>17940</v>
      </c>
      <c r="F13" s="84">
        <f t="shared" si="0"/>
        <v>1.0512970386380285</v>
      </c>
      <c r="G13" s="71">
        <f t="shared" si="1"/>
        <v>2.5563024254617525E-3</v>
      </c>
      <c r="H13" s="87"/>
      <c r="I13" s="16"/>
    </row>
    <row r="14" spans="2:13" x14ac:dyDescent="0.2">
      <c r="B14" s="81">
        <v>60</v>
      </c>
      <c r="C14" s="81">
        <v>61</v>
      </c>
      <c r="D14" s="82">
        <v>60.5</v>
      </c>
      <c r="E14" s="81">
        <f>Invullen_1dBklasse!D31</f>
        <v>14240</v>
      </c>
      <c r="F14" s="84">
        <f t="shared" si="0"/>
        <v>1.0594191442977763</v>
      </c>
      <c r="G14" s="71">
        <f t="shared" si="1"/>
        <v>2.3503572633342619E-3</v>
      </c>
      <c r="H14" s="87"/>
      <c r="I14" s="19"/>
    </row>
    <row r="15" spans="2:13" x14ac:dyDescent="0.2">
      <c r="B15" s="81">
        <v>61</v>
      </c>
      <c r="C15" s="81">
        <v>62</v>
      </c>
      <c r="D15" s="82">
        <v>61.5</v>
      </c>
      <c r="E15" s="81">
        <f>Invullen_1dBklasse!D32</f>
        <v>14240</v>
      </c>
      <c r="F15" s="84">
        <f t="shared" si="0"/>
        <v>1.0676039996827908</v>
      </c>
      <c r="G15" s="71">
        <f t="shared" si="1"/>
        <v>2.6741137652303935E-3</v>
      </c>
      <c r="H15" s="87"/>
    </row>
    <row r="16" spans="2:13" x14ac:dyDescent="0.2">
      <c r="B16" s="81">
        <v>62</v>
      </c>
      <c r="C16" s="81">
        <v>63</v>
      </c>
      <c r="D16" s="82">
        <v>62.5</v>
      </c>
      <c r="E16" s="81">
        <f>Invullen_1dBklasse!D33</f>
        <v>14240</v>
      </c>
      <c r="F16" s="84">
        <f t="shared" si="0"/>
        <v>1.0758520895846009</v>
      </c>
      <c r="G16" s="71">
        <f t="shared" si="1"/>
        <v>3.000371543568657E-3</v>
      </c>
      <c r="H16" s="87"/>
    </row>
    <row r="17" spans="2:8" x14ac:dyDescent="0.2">
      <c r="B17" s="81">
        <v>63</v>
      </c>
      <c r="C17" s="81">
        <v>64</v>
      </c>
      <c r="D17" s="82">
        <v>63.5</v>
      </c>
      <c r="E17" s="81">
        <f>Invullen_1dBklasse!D34</f>
        <v>14240</v>
      </c>
      <c r="F17" s="84">
        <f t="shared" si="0"/>
        <v>1.0841639025401353</v>
      </c>
      <c r="G17" s="71">
        <f t="shared" si="1"/>
        <v>3.3291499226986844E-3</v>
      </c>
      <c r="H17" s="87"/>
    </row>
    <row r="18" spans="2:8" x14ac:dyDescent="0.2">
      <c r="B18" s="81">
        <v>64</v>
      </c>
      <c r="C18" s="81">
        <v>65</v>
      </c>
      <c r="D18" s="82">
        <v>64.5</v>
      </c>
      <c r="E18" s="81">
        <f>Invullen_1dBklasse!D35</f>
        <v>14240</v>
      </c>
      <c r="F18" s="84">
        <f t="shared" si="0"/>
        <v>1.0925399308606598</v>
      </c>
      <c r="G18" s="71">
        <f t="shared" si="1"/>
        <v>3.6604683762660991E-3</v>
      </c>
      <c r="H18" s="87"/>
    </row>
    <row r="19" spans="2:8" x14ac:dyDescent="0.2">
      <c r="B19" s="81">
        <v>65</v>
      </c>
      <c r="C19" s="81">
        <v>66</v>
      </c>
      <c r="D19" s="82">
        <v>65.5</v>
      </c>
      <c r="E19" s="81">
        <f>Invullen_1dBklasse!D36</f>
        <v>6220</v>
      </c>
      <c r="F19" s="84">
        <f t="shared" si="0"/>
        <v>1.1009806706609355</v>
      </c>
      <c r="G19" s="71">
        <f t="shared" si="1"/>
        <v>1.7447215875306082E-3</v>
      </c>
      <c r="H19" s="87"/>
    </row>
    <row r="20" spans="2:8" x14ac:dyDescent="0.2">
      <c r="B20" s="81">
        <v>66</v>
      </c>
      <c r="C20" s="81">
        <v>67</v>
      </c>
      <c r="D20" s="82">
        <v>66.5</v>
      </c>
      <c r="E20" s="81">
        <f>Invullen_1dBklasse!D37</f>
        <v>6220</v>
      </c>
      <c r="F20" s="84">
        <f t="shared" si="0"/>
        <v>1.1094866218886048</v>
      </c>
      <c r="G20" s="71">
        <f t="shared" si="1"/>
        <v>1.8916855226308942E-3</v>
      </c>
      <c r="H20" s="87"/>
    </row>
    <row r="21" spans="2:8" x14ac:dyDescent="0.2">
      <c r="B21" s="81">
        <v>67</v>
      </c>
      <c r="C21" s="81">
        <v>68</v>
      </c>
      <c r="D21" s="82">
        <v>67.5</v>
      </c>
      <c r="E21" s="81">
        <f>Invullen_1dBklasse!D38</f>
        <v>6220</v>
      </c>
      <c r="F21" s="84">
        <f t="shared" si="0"/>
        <v>1.1180582883538033</v>
      </c>
      <c r="G21" s="71">
        <f t="shared" si="1"/>
        <v>2.0397848710018234E-3</v>
      </c>
      <c r="H21" s="87"/>
    </row>
    <row r="22" spans="2:8" x14ac:dyDescent="0.2">
      <c r="B22" s="81">
        <v>68</v>
      </c>
      <c r="C22" s="81">
        <v>69</v>
      </c>
      <c r="D22" s="82">
        <v>68.5</v>
      </c>
      <c r="E22" s="81">
        <f>Invullen_1dBklasse!D39</f>
        <v>6220</v>
      </c>
      <c r="F22" s="84">
        <f t="shared" si="0"/>
        <v>1.1266961777590003</v>
      </c>
      <c r="G22" s="71">
        <f t="shared" si="1"/>
        <v>2.1890284046138389E-3</v>
      </c>
      <c r="H22" s="87"/>
    </row>
    <row r="23" spans="2:8" ht="12.75" customHeight="1" x14ac:dyDescent="0.2">
      <c r="B23" s="81">
        <v>69</v>
      </c>
      <c r="C23" s="81">
        <v>70</v>
      </c>
      <c r="D23" s="82">
        <v>69.5</v>
      </c>
      <c r="E23" s="81">
        <f>Invullen_1dBklasse!D40</f>
        <v>6220</v>
      </c>
      <c r="F23" s="84">
        <f t="shared" si="0"/>
        <v>1.1354008017290709</v>
      </c>
      <c r="G23" s="71">
        <f t="shared" si="1"/>
        <v>2.3394249632078356E-3</v>
      </c>
      <c r="H23" s="87"/>
    </row>
    <row r="24" spans="2:8" ht="12.75" customHeight="1" x14ac:dyDescent="0.2">
      <c r="B24" s="81">
        <v>70</v>
      </c>
      <c r="C24" s="81">
        <v>71</v>
      </c>
      <c r="D24" s="82">
        <v>70.5</v>
      </c>
      <c r="E24" s="81">
        <f>Invullen_1dBklasse!D41</f>
        <v>340</v>
      </c>
      <c r="F24" s="84">
        <f t="shared" si="0"/>
        <v>1.1441726758415984</v>
      </c>
      <c r="G24" s="71">
        <f t="shared" si="1"/>
        <v>1.3616308273928742E-4</v>
      </c>
      <c r="H24" s="87"/>
    </row>
    <row r="25" spans="2:8" x14ac:dyDescent="0.2">
      <c r="B25" s="81">
        <v>71</v>
      </c>
      <c r="C25" s="81">
        <v>72</v>
      </c>
      <c r="D25" s="82">
        <v>71.5</v>
      </c>
      <c r="E25" s="81">
        <f>Invullen_1dBklasse!D42</f>
        <v>340</v>
      </c>
      <c r="F25" s="84">
        <f t="shared" si="0"/>
        <v>1.1530123196574142</v>
      </c>
      <c r="G25" s="71">
        <f t="shared" si="1"/>
        <v>1.4451163523200233E-4</v>
      </c>
      <c r="H25" s="87"/>
    </row>
    <row r="26" spans="2:8" x14ac:dyDescent="0.2">
      <c r="B26" s="81">
        <v>72</v>
      </c>
      <c r="C26" s="81">
        <v>73</v>
      </c>
      <c r="D26" s="82">
        <v>72.5</v>
      </c>
      <c r="E26" s="81">
        <f>Invullen_1dBklasse!D43</f>
        <v>340</v>
      </c>
      <c r="F26" s="84">
        <f t="shared" si="0"/>
        <v>1.1619202567513689</v>
      </c>
      <c r="G26" s="71">
        <f t="shared" si="1"/>
        <v>1.529246869318484E-4</v>
      </c>
      <c r="H26" s="87"/>
    </row>
    <row r="27" spans="2:8" x14ac:dyDescent="0.2">
      <c r="B27" s="81">
        <v>73</v>
      </c>
      <c r="C27" s="81">
        <v>74</v>
      </c>
      <c r="D27" s="82">
        <v>73.5</v>
      </c>
      <c r="E27" s="81">
        <f>Invullen_1dBklasse!D44</f>
        <v>340</v>
      </c>
      <c r="F27" s="84">
        <f t="shared" si="0"/>
        <v>1.1708970147433464</v>
      </c>
      <c r="G27" s="71">
        <f t="shared" si="1"/>
        <v>1.6140273614649383E-4</v>
      </c>
      <c r="H27" s="87"/>
    </row>
    <row r="28" spans="2:8" x14ac:dyDescent="0.2">
      <c r="B28" s="81">
        <v>74</v>
      </c>
      <c r="C28" s="81">
        <v>75</v>
      </c>
      <c r="D28" s="82">
        <v>74.5</v>
      </c>
      <c r="E28" s="81">
        <f>Invullen_1dBklasse!D45</f>
        <v>340</v>
      </c>
      <c r="F28" s="84">
        <f t="shared" si="0"/>
        <v>1.1799431253295127</v>
      </c>
      <c r="G28" s="71">
        <f t="shared" si="1"/>
        <v>1.6994628503342869E-4</v>
      </c>
      <c r="H28" s="87"/>
    </row>
    <row r="29" spans="2:8" x14ac:dyDescent="0.2">
      <c r="B29" s="81">
        <v>75</v>
      </c>
      <c r="C29" s="81">
        <v>76</v>
      </c>
      <c r="D29" s="82">
        <v>75.5</v>
      </c>
      <c r="E29" s="81">
        <f>Invullen_1dBklasse!D46</f>
        <v>0</v>
      </c>
      <c r="F29" s="84">
        <f t="shared" si="0"/>
        <v>1.1890591243138104</v>
      </c>
      <c r="G29" s="71">
        <f t="shared" si="1"/>
        <v>0</v>
      </c>
      <c r="H29" s="87"/>
    </row>
    <row r="30" spans="2:8" x14ac:dyDescent="0.2">
      <c r="B30" s="81">
        <v>76</v>
      </c>
      <c r="C30" s="81">
        <v>77</v>
      </c>
      <c r="D30" s="82">
        <v>76.5</v>
      </c>
      <c r="E30" s="81">
        <f>Invullen_1dBklasse!D47</f>
        <v>0</v>
      </c>
      <c r="F30" s="84">
        <f t="shared" si="0"/>
        <v>1.1982455516396933</v>
      </c>
      <c r="G30" s="71">
        <f t="shared" si="1"/>
        <v>0</v>
      </c>
      <c r="H30" s="87"/>
    </row>
    <row r="31" spans="2:8" x14ac:dyDescent="0.2">
      <c r="B31" s="81">
        <v>77</v>
      </c>
      <c r="C31" s="81">
        <v>78</v>
      </c>
      <c r="D31" s="82">
        <v>77.5</v>
      </c>
      <c r="E31" s="81">
        <f>Invullen_1dBklasse!D48</f>
        <v>0</v>
      </c>
      <c r="F31" s="84">
        <f t="shared" si="0"/>
        <v>1.2075029514221076</v>
      </c>
      <c r="G31" s="71">
        <f t="shared" si="1"/>
        <v>0</v>
      </c>
      <c r="H31" s="87"/>
    </row>
    <row r="32" spans="2:8" x14ac:dyDescent="0.2">
      <c r="B32" s="81">
        <v>78</v>
      </c>
      <c r="C32" s="81">
        <v>79</v>
      </c>
      <c r="D32" s="82">
        <v>78.5</v>
      </c>
      <c r="E32" s="81">
        <f>Invullen_1dBklasse!D49</f>
        <v>0</v>
      </c>
      <c r="F32" s="84">
        <f t="shared" si="0"/>
        <v>1.2168318719797204</v>
      </c>
      <c r="G32" s="71">
        <f t="shared" si="1"/>
        <v>0</v>
      </c>
      <c r="H32" s="87"/>
    </row>
    <row r="33" spans="2:8" x14ac:dyDescent="0.2">
      <c r="B33" s="81">
        <v>79</v>
      </c>
      <c r="C33" s="81"/>
      <c r="D33" s="82">
        <v>79.5</v>
      </c>
      <c r="E33" s="81">
        <f>Invullen_1dBklasse!D50</f>
        <v>0</v>
      </c>
      <c r="F33" s="84">
        <f t="shared" si="0"/>
        <v>1.2262328658673967</v>
      </c>
      <c r="G33" s="71">
        <f t="shared" si="1"/>
        <v>0</v>
      </c>
      <c r="H33" s="87"/>
    </row>
    <row r="34" spans="2:8" x14ac:dyDescent="0.2">
      <c r="E34" s="61">
        <f>M6</f>
        <v>360000</v>
      </c>
    </row>
    <row r="36" spans="2:8" x14ac:dyDescent="0.2">
      <c r="E36" s="9" t="s">
        <v>150</v>
      </c>
      <c r="F36" s="52">
        <f>(SUM(G6:G33))/(SUM(G6:G33)+1)</f>
        <v>3.4412576753092762E-2</v>
      </c>
      <c r="G36" s="9" t="s">
        <v>181</v>
      </c>
      <c r="H36" s="52">
        <f>(SUM(G9:G33))/(SUM(G9:G33)+1)</f>
        <v>3.3610781342874901E-2</v>
      </c>
    </row>
    <row r="37" spans="2:8" ht="51" x14ac:dyDescent="0.2">
      <c r="E37" s="53" t="s">
        <v>149</v>
      </c>
      <c r="F37" s="5">
        <f>F36*'coronaire hartziekten'!$D$20*$M$6/Bevolkingsgegevens!$L$5</f>
        <v>36.666644006294021</v>
      </c>
      <c r="G37" s="53" t="s">
        <v>182</v>
      </c>
      <c r="H37" s="5">
        <f>H36*'coronaire hartziekten'!$D$20*$M$6/Bevolkingsgegevens!$L$5</f>
        <v>35.812329983741307</v>
      </c>
    </row>
  </sheetData>
  <mergeCells count="10">
    <mergeCell ref="J6:L6"/>
    <mergeCell ref="J8:L8"/>
    <mergeCell ref="J9:L9"/>
    <mergeCell ref="B4:D4"/>
    <mergeCell ref="E4:E5"/>
    <mergeCell ref="F4:F5"/>
    <mergeCell ref="G4:G5"/>
    <mergeCell ref="J5:L5"/>
    <mergeCell ref="H4:H5"/>
    <mergeCell ref="J7:L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895CD-6DA7-4DDD-8AA4-C662CBB16EB9}">
  <sheetPr>
    <tabColor theme="5" tint="0.39997558519241921"/>
  </sheetPr>
  <dimension ref="B1:O51"/>
  <sheetViews>
    <sheetView workbookViewId="0">
      <selection activeCell="B2" sqref="B2:E16"/>
    </sheetView>
  </sheetViews>
  <sheetFormatPr defaultRowHeight="15" x14ac:dyDescent="0.25"/>
  <cols>
    <col min="2" max="2" width="19.85546875" customWidth="1"/>
    <col min="3" max="4" width="15.5703125" customWidth="1"/>
    <col min="5" max="5" width="18" customWidth="1"/>
    <col min="6" max="6" width="21" customWidth="1"/>
    <col min="7" max="7" width="19.28515625" customWidth="1"/>
    <col min="8" max="8" width="16.5703125" customWidth="1"/>
    <col min="10" max="10" width="7.140625" customWidth="1"/>
    <col min="11" max="11" width="27.42578125" customWidth="1"/>
    <col min="12" max="12" width="14.5703125" customWidth="1"/>
    <col min="13" max="13" width="14.28515625" customWidth="1"/>
    <col min="14" max="14" width="13.140625" customWidth="1"/>
    <col min="15" max="15" width="15.42578125" customWidth="1"/>
    <col min="16" max="16" width="16.85546875" customWidth="1"/>
    <col min="17" max="17" width="13.5703125" customWidth="1"/>
  </cols>
  <sheetData>
    <row r="1" spans="2:15" ht="18" x14ac:dyDescent="0.25">
      <c r="B1" s="3" t="s">
        <v>118</v>
      </c>
      <c r="D1" s="3" t="s">
        <v>184</v>
      </c>
      <c r="E1" s="1"/>
      <c r="F1" s="1"/>
      <c r="G1" s="1"/>
      <c r="H1" s="1"/>
      <c r="I1" s="1"/>
      <c r="J1" s="1"/>
      <c r="K1" s="1"/>
      <c r="L1" s="1"/>
      <c r="M1" s="1"/>
      <c r="N1" s="1"/>
      <c r="O1" s="19"/>
    </row>
    <row r="2" spans="2:15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9"/>
    </row>
    <row r="3" spans="2:15" x14ac:dyDescent="0.25">
      <c r="B3" s="120" t="s">
        <v>119</v>
      </c>
      <c r="C3" s="121"/>
      <c r="D3" s="121"/>
      <c r="E3" s="122" t="s">
        <v>3</v>
      </c>
      <c r="F3" s="124" t="s">
        <v>117</v>
      </c>
      <c r="G3" s="126" t="s">
        <v>116</v>
      </c>
      <c r="H3" s="122" t="s">
        <v>120</v>
      </c>
      <c r="I3" s="1"/>
      <c r="J3" s="1"/>
      <c r="K3" s="85"/>
      <c r="L3" s="85"/>
      <c r="M3" s="85"/>
      <c r="O3" s="19"/>
    </row>
    <row r="4" spans="2:15" ht="26.25" x14ac:dyDescent="0.25">
      <c r="B4" s="76" t="s">
        <v>0</v>
      </c>
      <c r="C4" s="75" t="s">
        <v>1</v>
      </c>
      <c r="D4" s="75" t="s">
        <v>2</v>
      </c>
      <c r="E4" s="123"/>
      <c r="F4" s="125"/>
      <c r="G4" s="127"/>
      <c r="H4" s="123"/>
      <c r="I4" s="1"/>
      <c r="J4" s="1"/>
      <c r="K4" s="115" t="s">
        <v>121</v>
      </c>
      <c r="L4" s="115"/>
      <c r="M4" s="115"/>
      <c r="N4" s="9"/>
      <c r="O4" s="19"/>
    </row>
    <row r="5" spans="2:15" x14ac:dyDescent="0.25">
      <c r="B5" s="62"/>
      <c r="C5" s="62">
        <v>40</v>
      </c>
      <c r="D5" s="62"/>
      <c r="E5" s="63">
        <f>IF(ISNUMBER(Invullen_1dBklasse!E10),Invullen_1dBklasse!E10,0)</f>
        <v>81800</v>
      </c>
      <c r="F5" s="64">
        <f>E5*Bevolkingsgegevens!L$7</f>
        <v>66375.781187105371</v>
      </c>
      <c r="G5" s="65">
        <v>0</v>
      </c>
      <c r="H5" s="27">
        <f>(F5/100)*G5</f>
        <v>0</v>
      </c>
      <c r="I5" s="1"/>
      <c r="J5" s="1"/>
      <c r="K5" s="116" t="s">
        <v>157</v>
      </c>
      <c r="L5" s="116"/>
      <c r="M5" s="116"/>
      <c r="N5" s="78">
        <f>SUM(E21:E45)</f>
        <v>175760</v>
      </c>
      <c r="O5" s="19"/>
    </row>
    <row r="6" spans="2:15" x14ac:dyDescent="0.25">
      <c r="B6" s="62">
        <v>40</v>
      </c>
      <c r="C6" s="62">
        <v>41</v>
      </c>
      <c r="D6" s="62">
        <v>40.5</v>
      </c>
      <c r="E6" s="63">
        <f>Invullen_1dBklasse!E11</f>
        <v>0</v>
      </c>
      <c r="F6" s="64">
        <f>E6*Bevolkingsgegevens!L$7</f>
        <v>0</v>
      </c>
      <c r="G6" s="65">
        <f t="shared" ref="G6:G11" si="0">38.1596-(2.05538*D6)+(0.0285*D6*D6)</f>
        <v>1.6638349999999917</v>
      </c>
      <c r="H6" s="27">
        <f>(F6/100)*G6</f>
        <v>0</v>
      </c>
      <c r="I6" s="1"/>
      <c r="J6" s="1"/>
      <c r="K6" s="117" t="s">
        <v>158</v>
      </c>
      <c r="L6" s="118"/>
      <c r="M6" s="119"/>
      <c r="N6" s="5">
        <f>SUM(H5:H45)</f>
        <v>33883.645110405749</v>
      </c>
      <c r="O6" s="19"/>
    </row>
    <row r="7" spans="2:15" x14ac:dyDescent="0.25">
      <c r="B7" s="62">
        <v>41</v>
      </c>
      <c r="C7" s="62">
        <v>42</v>
      </c>
      <c r="D7" s="62">
        <v>41.5</v>
      </c>
      <c r="E7" s="63">
        <f>Invullen_1dBklasse!E13</f>
        <v>500</v>
      </c>
      <c r="F7" s="64">
        <f>E7*Bevolkingsgegevens!L$7</f>
        <v>405.71993390651198</v>
      </c>
      <c r="G7" s="65">
        <f t="shared" si="0"/>
        <v>1.9454549999999955</v>
      </c>
      <c r="H7" s="27">
        <f t="shared" ref="H7:H44" si="1">(F7/100)*G7</f>
        <v>7.8930987401809141</v>
      </c>
      <c r="I7" s="1"/>
      <c r="J7" s="1"/>
      <c r="K7" s="116" t="s">
        <v>159</v>
      </c>
      <c r="L7" s="116"/>
      <c r="M7" s="116"/>
      <c r="N7" s="5">
        <f>SUM(H20:H45)</f>
        <v>28304.177215506592</v>
      </c>
      <c r="O7" s="19"/>
    </row>
    <row r="8" spans="2:15" x14ac:dyDescent="0.25">
      <c r="B8" s="62">
        <v>42</v>
      </c>
      <c r="C8" s="62">
        <v>43</v>
      </c>
      <c r="D8" s="62">
        <v>42.5</v>
      </c>
      <c r="E8" s="63">
        <f>Invullen_1dBklasse!E14</f>
        <v>500</v>
      </c>
      <c r="F8" s="64">
        <f>E8*Bevolkingsgegevens!L$7</f>
        <v>405.71993390651198</v>
      </c>
      <c r="G8" s="65">
        <f t="shared" si="0"/>
        <v>2.2840749999999943</v>
      </c>
      <c r="H8" s="27">
        <f t="shared" si="1"/>
        <v>9.26694758037514</v>
      </c>
      <c r="I8" s="1"/>
      <c r="J8" s="1"/>
      <c r="K8" s="85"/>
      <c r="L8" s="85"/>
      <c r="M8" s="85"/>
      <c r="O8" s="19"/>
    </row>
    <row r="9" spans="2:15" x14ac:dyDescent="0.25">
      <c r="B9" s="62">
        <v>43</v>
      </c>
      <c r="C9" s="62">
        <v>44</v>
      </c>
      <c r="D9" s="62">
        <v>43.5</v>
      </c>
      <c r="E9" s="63">
        <f>Invullen_1dBklasse!E15</f>
        <v>500</v>
      </c>
      <c r="F9" s="64">
        <f>E9*Bevolkingsgegevens!L$7</f>
        <v>405.71993390651198</v>
      </c>
      <c r="G9" s="65">
        <f t="shared" si="0"/>
        <v>2.6796950000000024</v>
      </c>
      <c r="H9" s="27">
        <f t="shared" si="1"/>
        <v>10.872056782896117</v>
      </c>
      <c r="I9" s="1"/>
      <c r="J9" s="1"/>
      <c r="K9" s="1"/>
      <c r="L9" s="1"/>
      <c r="M9" s="1"/>
      <c r="N9" s="1"/>
      <c r="O9" s="19"/>
    </row>
    <row r="10" spans="2:15" x14ac:dyDescent="0.25">
      <c r="B10" s="62">
        <v>44</v>
      </c>
      <c r="C10" s="62">
        <v>45</v>
      </c>
      <c r="D10" s="62">
        <v>44.5</v>
      </c>
      <c r="E10" s="63">
        <f>Invullen_1dBklasse!E16</f>
        <v>500</v>
      </c>
      <c r="F10" s="64">
        <f>E10*Bevolkingsgegevens!L$7</f>
        <v>405.71993390651198</v>
      </c>
      <c r="G10" s="65">
        <f t="shared" si="0"/>
        <v>3.1323149999999984</v>
      </c>
      <c r="H10" s="27">
        <f t="shared" si="1"/>
        <v>12.708426347743755</v>
      </c>
      <c r="I10" s="1"/>
      <c r="J10" s="1"/>
      <c r="K10" s="1"/>
      <c r="L10" s="1"/>
      <c r="M10" s="1"/>
      <c r="N10" s="1"/>
      <c r="O10" s="19"/>
    </row>
    <row r="11" spans="2:15" x14ac:dyDescent="0.25">
      <c r="B11" s="62">
        <v>45</v>
      </c>
      <c r="C11" s="62">
        <v>46</v>
      </c>
      <c r="D11" s="62">
        <v>45.5</v>
      </c>
      <c r="E11" s="63">
        <f>Invullen_1dBklasse!E17</f>
        <v>500</v>
      </c>
      <c r="F11" s="64">
        <f>E11*Bevolkingsgegevens!L$7</f>
        <v>405.71993390651198</v>
      </c>
      <c r="G11" s="65">
        <f t="shared" si="0"/>
        <v>3.6419350000000037</v>
      </c>
      <c r="H11" s="27">
        <f t="shared" si="1"/>
        <v>14.776056274918142</v>
      </c>
      <c r="I11" s="1"/>
      <c r="J11" s="1"/>
      <c r="K11" s="108"/>
      <c r="L11" s="108"/>
      <c r="M11" s="108"/>
      <c r="N11" s="18"/>
      <c r="O11" s="19"/>
    </row>
    <row r="12" spans="2:15" x14ac:dyDescent="0.25">
      <c r="B12" s="62">
        <v>46</v>
      </c>
      <c r="C12" s="62">
        <v>47</v>
      </c>
      <c r="D12" s="62">
        <v>46.5</v>
      </c>
      <c r="E12" s="63">
        <f>Invullen_1dBklasse!E18</f>
        <v>500</v>
      </c>
      <c r="F12" s="64">
        <f>E12*Bevolkingsgegevens!L$7</f>
        <v>405.71993390651198</v>
      </c>
      <c r="G12" s="65">
        <f>38.1596-(2.05538*D12)+(0.0285*D12*D12)</f>
        <v>4.2085549999999969</v>
      </c>
      <c r="H12" s="27">
        <f t="shared" si="1"/>
        <v>17.074946564419193</v>
      </c>
      <c r="I12" s="1"/>
      <c r="J12" s="1"/>
      <c r="K12" s="1"/>
      <c r="L12" s="1"/>
      <c r="M12" s="1"/>
      <c r="N12" s="1"/>
      <c r="O12" s="19"/>
    </row>
    <row r="13" spans="2:15" x14ac:dyDescent="0.25">
      <c r="B13" s="62">
        <v>47</v>
      </c>
      <c r="C13" s="62">
        <v>48</v>
      </c>
      <c r="D13" s="62">
        <v>47.5</v>
      </c>
      <c r="E13" s="63">
        <f>Invullen_1dBklasse!E19</f>
        <v>500</v>
      </c>
      <c r="F13" s="64">
        <f>E13*Bevolkingsgegevens!L$7</f>
        <v>405.71993390651198</v>
      </c>
      <c r="G13" s="65">
        <f t="shared" ref="G13:G44" si="2">38.1596-(2.05538*D13)+(0.0285*D13*D13)</f>
        <v>4.8321749999999923</v>
      </c>
      <c r="H13" s="27">
        <f t="shared" si="1"/>
        <v>19.605097216246964</v>
      </c>
      <c r="I13" s="1"/>
      <c r="J13" s="1"/>
      <c r="K13" s="1"/>
      <c r="L13" s="1"/>
      <c r="M13" s="1"/>
      <c r="N13" s="1"/>
      <c r="O13" s="19"/>
    </row>
    <row r="14" spans="2:15" x14ac:dyDescent="0.25">
      <c r="B14" s="62">
        <v>48</v>
      </c>
      <c r="C14" s="62">
        <v>49</v>
      </c>
      <c r="D14" s="62">
        <v>48.5</v>
      </c>
      <c r="E14" s="63">
        <f>Invullen_1dBklasse!E20</f>
        <v>500</v>
      </c>
      <c r="F14" s="64">
        <f>E14*Bevolkingsgegevens!L$7</f>
        <v>405.71993390651198</v>
      </c>
      <c r="G14" s="65">
        <f t="shared" si="2"/>
        <v>5.512794999999997</v>
      </c>
      <c r="H14" s="27">
        <f t="shared" si="1"/>
        <v>22.366508230401486</v>
      </c>
      <c r="I14" s="1"/>
      <c r="J14" s="1"/>
      <c r="K14" s="1"/>
      <c r="L14" s="1"/>
      <c r="M14" s="1"/>
      <c r="N14" s="1"/>
      <c r="O14" s="19"/>
    </row>
    <row r="15" spans="2:15" x14ac:dyDescent="0.25">
      <c r="B15" s="62">
        <v>49</v>
      </c>
      <c r="C15" s="62">
        <v>50</v>
      </c>
      <c r="D15" s="62">
        <v>49.5</v>
      </c>
      <c r="E15" s="63">
        <f>Invullen_1dBklasse!E21</f>
        <v>500</v>
      </c>
      <c r="F15" s="64">
        <f>E15*Bevolkingsgegevens!L$7</f>
        <v>405.71993390651198</v>
      </c>
      <c r="G15" s="65">
        <f t="shared" si="2"/>
        <v>6.2504149999999896</v>
      </c>
      <c r="H15" s="27">
        <f t="shared" si="1"/>
        <v>25.35917960688267</v>
      </c>
      <c r="I15" s="1"/>
      <c r="J15" s="1"/>
      <c r="K15" s="1"/>
      <c r="L15" s="1"/>
      <c r="M15" s="1"/>
      <c r="N15" s="1"/>
      <c r="O15" s="19"/>
    </row>
    <row r="16" spans="2:15" x14ac:dyDescent="0.25">
      <c r="B16" s="62">
        <v>50</v>
      </c>
      <c r="C16" s="62">
        <v>51</v>
      </c>
      <c r="D16" s="62">
        <v>50.5</v>
      </c>
      <c r="E16" s="63">
        <f>Invullen_1dBklasse!E22</f>
        <v>20000</v>
      </c>
      <c r="F16" s="64">
        <f>E16*Bevolkingsgegevens!L$7</f>
        <v>16228.79735626048</v>
      </c>
      <c r="G16" s="65">
        <f t="shared" si="2"/>
        <v>7.0450350000000128</v>
      </c>
      <c r="H16" s="27">
        <f t="shared" si="1"/>
        <v>1143.3244538276276</v>
      </c>
      <c r="I16" s="1"/>
      <c r="J16" s="1"/>
      <c r="K16" s="1"/>
      <c r="L16" s="1"/>
      <c r="M16" s="1"/>
      <c r="N16" s="1"/>
      <c r="O16" s="19"/>
    </row>
    <row r="17" spans="2:13" x14ac:dyDescent="0.25">
      <c r="B17" s="62">
        <v>51</v>
      </c>
      <c r="C17" s="62">
        <v>52</v>
      </c>
      <c r="D17" s="62">
        <v>51.5</v>
      </c>
      <c r="E17" s="63">
        <f>Invullen_1dBklasse!E23</f>
        <v>20000</v>
      </c>
      <c r="F17" s="64">
        <f>E17*Bevolkingsgegevens!L$7</f>
        <v>16228.79735626048</v>
      </c>
      <c r="G17" s="65">
        <f t="shared" si="2"/>
        <v>7.8966550000000097</v>
      </c>
      <c r="H17" s="27">
        <f t="shared" si="1"/>
        <v>1281.5321378730125</v>
      </c>
      <c r="I17" s="85"/>
      <c r="J17" s="85"/>
      <c r="K17" s="85"/>
      <c r="L17" s="85"/>
      <c r="M17" s="85"/>
    </row>
    <row r="18" spans="2:13" x14ac:dyDescent="0.25">
      <c r="B18" s="62">
        <v>52</v>
      </c>
      <c r="C18" s="62">
        <v>53</v>
      </c>
      <c r="D18" s="62">
        <v>52.5</v>
      </c>
      <c r="E18" s="63">
        <f>Invullen_1dBklasse!E24</f>
        <v>20000</v>
      </c>
      <c r="F18" s="64">
        <f>E18*Bevolkingsgegevens!L$7</f>
        <v>16228.79735626048</v>
      </c>
      <c r="G18" s="65">
        <f t="shared" si="2"/>
        <v>8.8052750000000088</v>
      </c>
      <c r="H18" s="27">
        <f t="shared" si="1"/>
        <v>1428.9902364114664</v>
      </c>
      <c r="I18" s="85"/>
      <c r="J18" s="85"/>
      <c r="K18" s="85"/>
      <c r="L18" s="85"/>
      <c r="M18" s="85"/>
    </row>
    <row r="19" spans="2:13" x14ac:dyDescent="0.25">
      <c r="B19" s="62">
        <v>53</v>
      </c>
      <c r="C19" s="62">
        <v>54</v>
      </c>
      <c r="D19" s="62">
        <v>53.5</v>
      </c>
      <c r="E19" s="63">
        <f>Invullen_1dBklasse!E25</f>
        <v>20000</v>
      </c>
      <c r="F19" s="64">
        <f>E19*Bevolkingsgegevens!L$7</f>
        <v>16228.79735626048</v>
      </c>
      <c r="G19" s="65">
        <f t="shared" si="2"/>
        <v>9.7708950000000101</v>
      </c>
      <c r="H19" s="27">
        <f t="shared" si="1"/>
        <v>1585.6987494429891</v>
      </c>
      <c r="I19" s="85"/>
      <c r="J19" s="85"/>
      <c r="K19" s="85"/>
      <c r="L19" s="85"/>
      <c r="M19" s="85"/>
    </row>
    <row r="20" spans="2:13" x14ac:dyDescent="0.25">
      <c r="B20" s="62">
        <v>54</v>
      </c>
      <c r="C20" s="62">
        <v>55</v>
      </c>
      <c r="D20" s="62">
        <v>54.5</v>
      </c>
      <c r="E20" s="63">
        <f>Invullen_1dBklasse!E26</f>
        <v>17940</v>
      </c>
      <c r="F20" s="64">
        <f>E20*Bevolkingsgegevens!L$7</f>
        <v>14557.231228565652</v>
      </c>
      <c r="G20" s="65">
        <f t="shared" si="2"/>
        <v>10.793514999999999</v>
      </c>
      <c r="H20" s="27">
        <f t="shared" si="1"/>
        <v>1571.2369362399179</v>
      </c>
      <c r="I20" s="85"/>
      <c r="J20" s="85"/>
      <c r="K20" s="85"/>
      <c r="L20" s="85"/>
      <c r="M20" s="85"/>
    </row>
    <row r="21" spans="2:13" x14ac:dyDescent="0.25">
      <c r="B21" s="62">
        <v>55</v>
      </c>
      <c r="C21" s="62">
        <v>56</v>
      </c>
      <c r="D21" s="62">
        <v>55.5</v>
      </c>
      <c r="E21" s="63">
        <f>Invullen_1dBklasse!E27</f>
        <v>17940</v>
      </c>
      <c r="F21" s="64">
        <f>E21*Bevolkingsgegevens!L$7</f>
        <v>14557.231228565652</v>
      </c>
      <c r="G21" s="65">
        <f t="shared" si="2"/>
        <v>11.873135000000005</v>
      </c>
      <c r="H21" s="27">
        <f t="shared" si="1"/>
        <v>1728.3997160297592</v>
      </c>
      <c r="I21" s="85"/>
      <c r="J21" s="85"/>
      <c r="K21" s="85"/>
      <c r="L21" s="85"/>
      <c r="M21" s="85"/>
    </row>
    <row r="22" spans="2:13" x14ac:dyDescent="0.25">
      <c r="B22" s="62">
        <v>56</v>
      </c>
      <c r="C22" s="62">
        <v>57</v>
      </c>
      <c r="D22" s="62">
        <v>56.5</v>
      </c>
      <c r="E22" s="63">
        <f>Invullen_1dBklasse!E28</f>
        <v>17940</v>
      </c>
      <c r="F22" s="64">
        <f>E22*Bevolkingsgegevens!L$7</f>
        <v>14557.231228565652</v>
      </c>
      <c r="G22" s="65">
        <f t="shared" si="2"/>
        <v>13.009754999999998</v>
      </c>
      <c r="H22" s="27">
        <f t="shared" si="1"/>
        <v>1893.8601176198811</v>
      </c>
      <c r="I22" s="85"/>
      <c r="J22" s="85"/>
      <c r="K22" s="85"/>
      <c r="L22" s="85"/>
      <c r="M22" s="85"/>
    </row>
    <row r="23" spans="2:13" x14ac:dyDescent="0.25">
      <c r="B23" s="62">
        <v>57</v>
      </c>
      <c r="C23" s="62">
        <v>58</v>
      </c>
      <c r="D23" s="62">
        <v>57.5</v>
      </c>
      <c r="E23" s="63">
        <f>Invullen_1dBklasse!E29</f>
        <v>17940</v>
      </c>
      <c r="F23" s="64">
        <f>E23*Bevolkingsgegevens!L$7</f>
        <v>14557.231228565652</v>
      </c>
      <c r="G23" s="65">
        <f t="shared" si="2"/>
        <v>14.203375000000008</v>
      </c>
      <c r="H23" s="27">
        <f t="shared" si="1"/>
        <v>2067.6181410102881</v>
      </c>
      <c r="I23" s="85"/>
      <c r="J23" s="85"/>
      <c r="K23" s="85"/>
      <c r="L23" s="85"/>
      <c r="M23" s="85"/>
    </row>
    <row r="24" spans="2:13" x14ac:dyDescent="0.25">
      <c r="B24" s="62">
        <v>58</v>
      </c>
      <c r="C24" s="62">
        <v>59</v>
      </c>
      <c r="D24" s="62">
        <v>58.5</v>
      </c>
      <c r="E24" s="63">
        <f>Invullen_1dBklasse!E30</f>
        <v>17940</v>
      </c>
      <c r="F24" s="64">
        <f>E24*Bevolkingsgegevens!L$7</f>
        <v>14557.231228565652</v>
      </c>
      <c r="G24" s="65">
        <f t="shared" si="2"/>
        <v>15.453995000000006</v>
      </c>
      <c r="H24" s="27">
        <f t="shared" si="1"/>
        <v>2249.6737862009754</v>
      </c>
      <c r="I24" s="85"/>
      <c r="J24" s="85"/>
      <c r="K24" s="85"/>
      <c r="L24" s="85"/>
      <c r="M24" s="85"/>
    </row>
    <row r="25" spans="2:13" x14ac:dyDescent="0.25">
      <c r="B25" s="62">
        <v>59</v>
      </c>
      <c r="C25" s="62">
        <v>60</v>
      </c>
      <c r="D25" s="62">
        <v>59.5</v>
      </c>
      <c r="E25" s="63">
        <f>Invullen_1dBklasse!E31</f>
        <v>14240</v>
      </c>
      <c r="F25" s="64">
        <f>E25*Bevolkingsgegevens!L$7</f>
        <v>11554.903717657462</v>
      </c>
      <c r="G25" s="65">
        <f t="shared" si="2"/>
        <v>16.761615000000006</v>
      </c>
      <c r="H25" s="27">
        <f t="shared" si="1"/>
        <v>1936.7884747744315</v>
      </c>
      <c r="I25" s="85"/>
      <c r="J25" s="85"/>
      <c r="K25" s="85"/>
      <c r="L25" s="85"/>
      <c r="M25" s="85"/>
    </row>
    <row r="26" spans="2:13" x14ac:dyDescent="0.25">
      <c r="B26" s="62">
        <v>60</v>
      </c>
      <c r="C26" s="62">
        <v>61</v>
      </c>
      <c r="D26" s="62">
        <v>60.5</v>
      </c>
      <c r="E26" s="63">
        <f>Invullen_1dBklasse!E32</f>
        <v>14240</v>
      </c>
      <c r="F26" s="64">
        <f>E26*Bevolkingsgegevens!L$7</f>
        <v>11554.903717657462</v>
      </c>
      <c r="G26" s="65">
        <f t="shared" si="2"/>
        <v>18.126235000000008</v>
      </c>
      <c r="H26" s="27">
        <f t="shared" si="1"/>
        <v>2094.4690018863289</v>
      </c>
      <c r="I26" s="85"/>
      <c r="J26" s="85"/>
      <c r="K26" s="85"/>
      <c r="L26" s="85"/>
      <c r="M26" s="85"/>
    </row>
    <row r="27" spans="2:13" x14ac:dyDescent="0.25">
      <c r="B27" s="62">
        <v>61</v>
      </c>
      <c r="C27" s="62">
        <v>62</v>
      </c>
      <c r="D27" s="62">
        <v>61.5</v>
      </c>
      <c r="E27" s="63">
        <f>Invullen_1dBklasse!E33</f>
        <v>14240</v>
      </c>
      <c r="F27" s="64">
        <f>E27*Bevolkingsgegevens!L$7</f>
        <v>11554.903717657462</v>
      </c>
      <c r="G27" s="65">
        <f t="shared" si="2"/>
        <v>19.547855000000013</v>
      </c>
      <c r="H27" s="27">
        <f t="shared" si="1"/>
        <v>2258.7358241172915</v>
      </c>
      <c r="I27" s="85"/>
      <c r="J27" s="85"/>
      <c r="K27" s="85"/>
      <c r="L27" s="85"/>
      <c r="M27" s="85"/>
    </row>
    <row r="28" spans="2:13" x14ac:dyDescent="0.25">
      <c r="B28" s="62">
        <v>62</v>
      </c>
      <c r="C28" s="62">
        <v>63</v>
      </c>
      <c r="D28" s="62">
        <v>62.5</v>
      </c>
      <c r="E28" s="63">
        <f>Invullen_1dBklasse!E34</f>
        <v>14240</v>
      </c>
      <c r="F28" s="64">
        <f>E28*Bevolkingsgegevens!L$7</f>
        <v>11554.903717657462</v>
      </c>
      <c r="G28" s="65">
        <f t="shared" si="2"/>
        <v>21.026474999999991</v>
      </c>
      <c r="H28" s="27">
        <f t="shared" si="1"/>
        <v>2429.5889414673156</v>
      </c>
      <c r="I28" s="85"/>
      <c r="J28" s="85"/>
      <c r="K28" s="85"/>
      <c r="L28" s="85"/>
      <c r="M28" s="85"/>
    </row>
    <row r="29" spans="2:13" x14ac:dyDescent="0.25">
      <c r="B29" s="62">
        <v>63</v>
      </c>
      <c r="C29" s="62">
        <v>64</v>
      </c>
      <c r="D29" s="62">
        <v>63.5</v>
      </c>
      <c r="E29" s="63">
        <f>Invullen_1dBklasse!E35</f>
        <v>14240</v>
      </c>
      <c r="F29" s="64">
        <f>E29*Bevolkingsgegevens!L$7</f>
        <v>11554.903717657462</v>
      </c>
      <c r="G29" s="65">
        <f t="shared" si="2"/>
        <v>22.562094999999999</v>
      </c>
      <c r="H29" s="27">
        <f t="shared" si="1"/>
        <v>2607.0283539364082</v>
      </c>
      <c r="I29" s="85"/>
      <c r="J29" s="85"/>
      <c r="K29" s="85"/>
      <c r="L29" s="85"/>
      <c r="M29" s="85"/>
    </row>
    <row r="30" spans="2:13" x14ac:dyDescent="0.25">
      <c r="B30" s="62">
        <v>64</v>
      </c>
      <c r="C30" s="62">
        <v>65</v>
      </c>
      <c r="D30" s="62">
        <v>64.5</v>
      </c>
      <c r="E30" s="63">
        <f>Invullen_1dBklasse!E36</f>
        <v>6220</v>
      </c>
      <c r="F30" s="64">
        <f>E30*Bevolkingsgegevens!L$7</f>
        <v>5047.1559777970097</v>
      </c>
      <c r="G30" s="65">
        <f t="shared" si="2"/>
        <v>24.154714999999996</v>
      </c>
      <c r="H30" s="27">
        <f t="shared" si="1"/>
        <v>1219.1261420423309</v>
      </c>
      <c r="I30" s="85"/>
      <c r="J30" s="85"/>
      <c r="K30" s="85"/>
      <c r="L30" s="85"/>
      <c r="M30" s="85"/>
    </row>
    <row r="31" spans="2:13" x14ac:dyDescent="0.25">
      <c r="B31" s="62">
        <v>65</v>
      </c>
      <c r="C31" s="62">
        <v>66</v>
      </c>
      <c r="D31" s="62">
        <v>65.5</v>
      </c>
      <c r="E31" s="63">
        <f>Invullen_1dBklasse!E37</f>
        <v>6220</v>
      </c>
      <c r="F31" s="64">
        <f>E31*Bevolkingsgegevens!L$7</f>
        <v>5047.1559777970097</v>
      </c>
      <c r="G31" s="65">
        <f t="shared" si="2"/>
        <v>25.804335000000009</v>
      </c>
      <c r="H31" s="27">
        <f t="shared" si="1"/>
        <v>1302.3850364832665</v>
      </c>
      <c r="I31" s="85"/>
      <c r="J31" s="85"/>
      <c r="K31" s="85"/>
      <c r="L31" s="85"/>
      <c r="M31" s="85"/>
    </row>
    <row r="32" spans="2:13" x14ac:dyDescent="0.25">
      <c r="B32" s="62">
        <v>66</v>
      </c>
      <c r="C32" s="62">
        <v>67</v>
      </c>
      <c r="D32" s="62">
        <v>66.5</v>
      </c>
      <c r="E32" s="63">
        <f>Invullen_1dBklasse!E38</f>
        <v>6220</v>
      </c>
      <c r="F32" s="64">
        <f>E32*Bevolkingsgegevens!L$7</f>
        <v>5047.1559777970097</v>
      </c>
      <c r="G32" s="65">
        <f t="shared" si="2"/>
        <v>27.510954999999996</v>
      </c>
      <c r="H32" s="27">
        <f t="shared" si="1"/>
        <v>1388.5208098315452</v>
      </c>
      <c r="I32" s="85"/>
      <c r="J32" s="85"/>
      <c r="K32" s="85"/>
      <c r="L32" s="85"/>
      <c r="M32" s="85"/>
    </row>
    <row r="33" spans="2:13" x14ac:dyDescent="0.25">
      <c r="B33" s="62">
        <v>67</v>
      </c>
      <c r="C33" s="62">
        <v>68</v>
      </c>
      <c r="D33" s="62">
        <v>67.5</v>
      </c>
      <c r="E33" s="63">
        <f>Invullen_1dBklasse!E39</f>
        <v>6220</v>
      </c>
      <c r="F33" s="64">
        <f>E33*Bevolkingsgegevens!L$7</f>
        <v>5047.1559777970097</v>
      </c>
      <c r="G33" s="65">
        <f t="shared" si="2"/>
        <v>29.274575000000013</v>
      </c>
      <c r="H33" s="27">
        <f t="shared" si="1"/>
        <v>1477.5334620871697</v>
      </c>
      <c r="I33" s="85"/>
      <c r="J33" s="85"/>
      <c r="K33" s="85"/>
      <c r="L33" s="85"/>
      <c r="M33" s="85"/>
    </row>
    <row r="34" spans="2:13" x14ac:dyDescent="0.25">
      <c r="B34" s="62">
        <v>68</v>
      </c>
      <c r="C34" s="62">
        <v>69</v>
      </c>
      <c r="D34" s="62">
        <v>68.5</v>
      </c>
      <c r="E34" s="63">
        <f>Invullen_1dBklasse!E40</f>
        <v>6220</v>
      </c>
      <c r="F34" s="64">
        <f>E34*Bevolkingsgegevens!L$7</f>
        <v>5047.1559777970097</v>
      </c>
      <c r="G34" s="65">
        <f t="shared" si="2"/>
        <v>31.095195000000004</v>
      </c>
      <c r="H34" s="27">
        <f t="shared" si="1"/>
        <v>1569.4229932501371</v>
      </c>
      <c r="I34" s="85"/>
      <c r="J34" s="85"/>
      <c r="K34" s="85"/>
      <c r="L34" s="85"/>
      <c r="M34" s="85"/>
    </row>
    <row r="35" spans="2:13" x14ac:dyDescent="0.25">
      <c r="B35" s="62">
        <v>69</v>
      </c>
      <c r="C35" s="62">
        <v>70</v>
      </c>
      <c r="D35" s="62">
        <v>69.5</v>
      </c>
      <c r="E35" s="63">
        <f>Invullen_1dBklasse!E41</f>
        <v>340</v>
      </c>
      <c r="F35" s="64">
        <f>E35*Bevolkingsgegevens!L$7</f>
        <v>275.88955505642815</v>
      </c>
      <c r="G35" s="65">
        <f t="shared" si="2"/>
        <v>32.972815000000011</v>
      </c>
      <c r="H35" s="27">
        <f t="shared" si="1"/>
        <v>90.968552593079238</v>
      </c>
      <c r="I35" s="85"/>
      <c r="J35" s="85"/>
      <c r="K35" s="85"/>
      <c r="L35" s="85"/>
      <c r="M35" s="85"/>
    </row>
    <row r="36" spans="2:13" x14ac:dyDescent="0.25">
      <c r="B36" s="62">
        <v>70</v>
      </c>
      <c r="C36" s="62">
        <v>71</v>
      </c>
      <c r="D36" s="62">
        <v>70.5</v>
      </c>
      <c r="E36" s="63">
        <f>Invullen_1dBklasse!E42</f>
        <v>340</v>
      </c>
      <c r="F36" s="64">
        <f>E36*Bevolkingsgegevens!L$7</f>
        <v>275.88955505642815</v>
      </c>
      <c r="G36" s="65">
        <f t="shared" si="2"/>
        <v>34.907435000000007</v>
      </c>
      <c r="H36" s="27">
        <f t="shared" si="1"/>
        <v>96.305967103111897</v>
      </c>
      <c r="I36" s="85"/>
      <c r="J36" s="85"/>
      <c r="K36" s="85"/>
      <c r="L36" s="85"/>
      <c r="M36" s="85"/>
    </row>
    <row r="37" spans="2:13" x14ac:dyDescent="0.25">
      <c r="B37" s="62">
        <v>71</v>
      </c>
      <c r="C37" s="62">
        <v>72</v>
      </c>
      <c r="D37" s="62">
        <v>71.5</v>
      </c>
      <c r="E37" s="63">
        <f>Invullen_1dBklasse!E43</f>
        <v>340</v>
      </c>
      <c r="F37" s="64">
        <f>E37*Bevolkingsgegevens!L$7</f>
        <v>275.88955505642815</v>
      </c>
      <c r="G37" s="65">
        <f t="shared" si="2"/>
        <v>36.899055000000018</v>
      </c>
      <c r="H37" s="27">
        <f t="shared" si="1"/>
        <v>101.80063865952675</v>
      </c>
      <c r="I37" s="85"/>
      <c r="J37" s="85"/>
      <c r="K37" s="85"/>
      <c r="L37" s="85"/>
      <c r="M37" s="85"/>
    </row>
    <row r="38" spans="2:13" x14ac:dyDescent="0.25">
      <c r="B38" s="62">
        <v>72</v>
      </c>
      <c r="C38" s="62">
        <v>73</v>
      </c>
      <c r="D38" s="62">
        <v>72.5</v>
      </c>
      <c r="E38" s="63">
        <f>Invullen_1dBklasse!E44</f>
        <v>340</v>
      </c>
      <c r="F38" s="64">
        <f>E38*Bevolkingsgegevens!L$7</f>
        <v>275.88955505642815</v>
      </c>
      <c r="G38" s="65">
        <f t="shared" si="2"/>
        <v>38.947675000000018</v>
      </c>
      <c r="H38" s="27">
        <f t="shared" si="1"/>
        <v>107.45256726232375</v>
      </c>
      <c r="I38" s="85"/>
      <c r="J38" s="85"/>
      <c r="K38" s="85"/>
      <c r="L38" s="85"/>
      <c r="M38" s="85"/>
    </row>
    <row r="39" spans="2:13" x14ac:dyDescent="0.25">
      <c r="B39" s="62">
        <v>73</v>
      </c>
      <c r="C39" s="62">
        <v>74</v>
      </c>
      <c r="D39" s="62">
        <v>73.5</v>
      </c>
      <c r="E39" s="63">
        <f>Invullen_1dBklasse!E45</f>
        <v>340</v>
      </c>
      <c r="F39" s="64">
        <f>E39*Bevolkingsgegevens!L$7</f>
        <v>275.88955505642815</v>
      </c>
      <c r="G39" s="65">
        <f t="shared" si="2"/>
        <v>41.053295000000006</v>
      </c>
      <c r="H39" s="27">
        <f t="shared" si="1"/>
        <v>113.26175291150288</v>
      </c>
      <c r="I39" s="85"/>
      <c r="J39" s="85"/>
      <c r="K39" s="85"/>
      <c r="L39" s="85"/>
      <c r="M39" s="85"/>
    </row>
    <row r="40" spans="2:13" x14ac:dyDescent="0.25">
      <c r="B40" s="62">
        <v>74</v>
      </c>
      <c r="C40" s="62">
        <v>75</v>
      </c>
      <c r="D40" s="62">
        <v>74.5</v>
      </c>
      <c r="E40" s="63">
        <f>Invullen_1dBklasse!E46</f>
        <v>0</v>
      </c>
      <c r="F40" s="64">
        <f>E40*Bevolkingsgegevens!L$7</f>
        <v>0</v>
      </c>
      <c r="G40" s="65">
        <f t="shared" si="2"/>
        <v>43.21591500000001</v>
      </c>
      <c r="H40" s="27">
        <f t="shared" si="1"/>
        <v>0</v>
      </c>
      <c r="I40" s="85"/>
      <c r="J40" s="85"/>
      <c r="K40" s="85"/>
      <c r="L40" s="85"/>
      <c r="M40" s="85"/>
    </row>
    <row r="41" spans="2:13" x14ac:dyDescent="0.25">
      <c r="B41" s="62">
        <v>75</v>
      </c>
      <c r="C41" s="62">
        <v>76</v>
      </c>
      <c r="D41" s="62">
        <v>75.5</v>
      </c>
      <c r="E41" s="63">
        <f>Invullen_1dBklasse!E47</f>
        <v>0</v>
      </c>
      <c r="F41" s="64">
        <f>E41*Bevolkingsgegevens!L$7</f>
        <v>0</v>
      </c>
      <c r="G41" s="65">
        <f t="shared" si="2"/>
        <v>45.43553500000003</v>
      </c>
      <c r="H41" s="27">
        <f t="shared" si="1"/>
        <v>0</v>
      </c>
      <c r="I41" s="85"/>
      <c r="J41" s="85"/>
      <c r="K41" s="85"/>
      <c r="L41" s="85"/>
      <c r="M41" s="85"/>
    </row>
    <row r="42" spans="2:13" x14ac:dyDescent="0.25">
      <c r="B42" s="62">
        <v>76</v>
      </c>
      <c r="C42" s="62">
        <v>77</v>
      </c>
      <c r="D42" s="62">
        <v>76.5</v>
      </c>
      <c r="E42" s="63">
        <f>Invullen_1dBklasse!E48</f>
        <v>0</v>
      </c>
      <c r="F42" s="64">
        <f>E42*Bevolkingsgegevens!L$7</f>
        <v>0</v>
      </c>
      <c r="G42" s="65">
        <f t="shared" si="2"/>
        <v>47.71215500000001</v>
      </c>
      <c r="H42" s="27">
        <f t="shared" si="1"/>
        <v>0</v>
      </c>
      <c r="I42" s="85"/>
      <c r="J42" s="85"/>
      <c r="K42" s="85"/>
      <c r="L42" s="85"/>
      <c r="M42" s="85"/>
    </row>
    <row r="43" spans="2:13" x14ac:dyDescent="0.25">
      <c r="B43" s="62">
        <v>77</v>
      </c>
      <c r="C43" s="62">
        <v>78</v>
      </c>
      <c r="D43" s="62">
        <v>77.5</v>
      </c>
      <c r="E43" s="63">
        <f>Invullen_1dBklasse!E49</f>
        <v>0</v>
      </c>
      <c r="F43" s="64">
        <f>E43*Bevolkingsgegevens!L$7</f>
        <v>0</v>
      </c>
      <c r="G43" s="65">
        <f t="shared" si="2"/>
        <v>50.045775000000035</v>
      </c>
      <c r="H43" s="27">
        <f t="shared" si="1"/>
        <v>0</v>
      </c>
      <c r="I43" s="85"/>
      <c r="J43" s="85"/>
      <c r="K43" s="85"/>
      <c r="L43" s="85"/>
      <c r="M43" s="85"/>
    </row>
    <row r="44" spans="2:13" x14ac:dyDescent="0.25">
      <c r="B44" s="62">
        <v>78</v>
      </c>
      <c r="C44" s="62">
        <v>79</v>
      </c>
      <c r="D44" s="62">
        <v>78.5</v>
      </c>
      <c r="E44" s="63">
        <f>Invullen_1dBklasse!E50</f>
        <v>0</v>
      </c>
      <c r="F44" s="64">
        <f>E44*Bevolkingsgegevens!L$7</f>
        <v>0</v>
      </c>
      <c r="G44" s="65">
        <f t="shared" si="2"/>
        <v>52.43639499999999</v>
      </c>
      <c r="H44" s="27">
        <f t="shared" si="1"/>
        <v>0</v>
      </c>
      <c r="I44" s="85"/>
      <c r="J44" s="85"/>
      <c r="K44" s="85"/>
      <c r="L44" s="85"/>
      <c r="M44" s="85"/>
    </row>
    <row r="45" spans="2:13" x14ac:dyDescent="0.25">
      <c r="B45" s="96">
        <v>79</v>
      </c>
      <c r="C45" s="68"/>
      <c r="D45" s="62">
        <v>79.5</v>
      </c>
      <c r="E45" s="63">
        <f>Invullen_1dBklasse!E51</f>
        <v>0</v>
      </c>
      <c r="F45" s="64">
        <f>E45*Bevolkingsgegevens!L$7</f>
        <v>0</v>
      </c>
      <c r="G45" s="65">
        <f t="shared" ref="G45" si="3">38.1596-(2.05538*D45)+(0.0285*D45*D45)</f>
        <v>54.884015000000019</v>
      </c>
      <c r="H45" s="27">
        <f t="shared" ref="H45" si="4">(F45/100)*G45</f>
        <v>0</v>
      </c>
      <c r="I45" s="85"/>
      <c r="J45" s="85"/>
      <c r="K45" s="85"/>
      <c r="L45" s="85"/>
      <c r="M45" s="85"/>
    </row>
    <row r="46" spans="2:13" x14ac:dyDescent="0.25">
      <c r="B46" s="68" t="s">
        <v>113</v>
      </c>
      <c r="C46" s="68"/>
      <c r="D46" s="68"/>
      <c r="E46" s="66">
        <f>SUM(E5:E45)</f>
        <v>360000</v>
      </c>
      <c r="F46" s="67">
        <f>SUM(F5:F45)</f>
        <v>292118.35241268843</v>
      </c>
      <c r="G46" s="68"/>
      <c r="H46" s="72">
        <f>SUM(H5:H45)</f>
        <v>33883.645110405749</v>
      </c>
      <c r="I46" s="85"/>
      <c r="J46" s="85"/>
      <c r="K46" s="85"/>
      <c r="L46" s="85"/>
      <c r="M46" s="85"/>
    </row>
    <row r="47" spans="2:13" x14ac:dyDescent="0.25">
      <c r="B47" s="88"/>
      <c r="C47" s="88"/>
      <c r="D47" s="88"/>
      <c r="E47" s="93"/>
      <c r="F47" s="94"/>
      <c r="G47" s="95"/>
      <c r="H47" s="50"/>
      <c r="I47" s="85"/>
      <c r="J47" s="85"/>
      <c r="K47" s="85"/>
      <c r="L47" s="85"/>
      <c r="M47" s="85"/>
    </row>
    <row r="48" spans="2:13" x14ac:dyDescent="0.25">
      <c r="B48" s="88"/>
      <c r="C48" s="88"/>
      <c r="D48" s="88"/>
      <c r="E48" s="93"/>
      <c r="F48" s="94"/>
      <c r="G48" s="95"/>
      <c r="H48" s="50"/>
      <c r="I48" s="85"/>
      <c r="J48" s="85"/>
      <c r="K48" s="85"/>
      <c r="L48" s="85"/>
      <c r="M48" s="85"/>
    </row>
    <row r="49" spans="2:13" x14ac:dyDescent="0.25">
      <c r="B49" s="88"/>
      <c r="C49" s="88"/>
      <c r="D49" s="88"/>
      <c r="E49" s="93"/>
      <c r="F49" s="94"/>
      <c r="G49" s="95"/>
      <c r="H49" s="50"/>
      <c r="I49" s="85"/>
      <c r="J49" s="85"/>
      <c r="K49" s="85"/>
      <c r="L49" s="85"/>
      <c r="M49" s="85"/>
    </row>
    <row r="50" spans="2:13" x14ac:dyDescent="0.25">
      <c r="I50" s="85"/>
      <c r="J50" s="85"/>
      <c r="K50" s="85"/>
      <c r="L50" s="85"/>
      <c r="M50" s="85"/>
    </row>
    <row r="51" spans="2:13" x14ac:dyDescent="0.25"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</row>
  </sheetData>
  <mergeCells count="10">
    <mergeCell ref="B3:D3"/>
    <mergeCell ref="E3:E4"/>
    <mergeCell ref="F3:F4"/>
    <mergeCell ref="G3:G4"/>
    <mergeCell ref="H3:H4"/>
    <mergeCell ref="K5:M5"/>
    <mergeCell ref="K11:M11"/>
    <mergeCell ref="K7:M7"/>
    <mergeCell ref="K4:M4"/>
    <mergeCell ref="K6:M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D493F-BA65-40B9-847B-9BC51CB56DC9}">
  <sheetPr>
    <tabColor theme="5" tint="0.39997558519241921"/>
  </sheetPr>
  <dimension ref="B1:N52"/>
  <sheetViews>
    <sheetView topLeftCell="A3" workbookViewId="0">
      <selection activeCell="B2" sqref="B2:E16"/>
    </sheetView>
  </sheetViews>
  <sheetFormatPr defaultRowHeight="15" x14ac:dyDescent="0.25"/>
  <cols>
    <col min="2" max="2" width="21" customWidth="1"/>
    <col min="3" max="3" width="14.42578125" customWidth="1"/>
    <col min="4" max="4" width="14.7109375" customWidth="1"/>
    <col min="5" max="5" width="12.28515625" customWidth="1"/>
    <col min="6" max="6" width="17.42578125" customWidth="1"/>
    <col min="7" max="7" width="16" customWidth="1"/>
    <col min="8" max="8" width="17" customWidth="1"/>
    <col min="11" max="11" width="27.85546875" customWidth="1"/>
    <col min="12" max="12" width="15.140625" customWidth="1"/>
    <col min="13" max="13" width="15.7109375" customWidth="1"/>
    <col min="15" max="15" width="15.7109375" customWidth="1"/>
    <col min="16" max="16" width="15.85546875" customWidth="1"/>
    <col min="17" max="17" width="16.7109375" customWidth="1"/>
  </cols>
  <sheetData>
    <row r="1" spans="2:14" ht="18" x14ac:dyDescent="0.25">
      <c r="B1" s="3" t="s">
        <v>118</v>
      </c>
      <c r="D1" s="3" t="s">
        <v>183</v>
      </c>
    </row>
    <row r="3" spans="2:14" x14ac:dyDescent="0.25">
      <c r="B3" s="131" t="s">
        <v>122</v>
      </c>
      <c r="C3" s="131"/>
      <c r="D3" s="131"/>
      <c r="E3" s="132" t="s">
        <v>3</v>
      </c>
      <c r="F3" s="133" t="s">
        <v>117</v>
      </c>
      <c r="G3" s="133" t="s">
        <v>123</v>
      </c>
      <c r="H3" s="132" t="s">
        <v>124</v>
      </c>
      <c r="I3" s="1"/>
      <c r="J3" s="1"/>
    </row>
    <row r="4" spans="2:14" ht="26.25" x14ac:dyDescent="0.25">
      <c r="B4" s="23" t="s">
        <v>0</v>
      </c>
      <c r="C4" s="23" t="s">
        <v>1</v>
      </c>
      <c r="D4" s="23" t="s">
        <v>2</v>
      </c>
      <c r="E4" s="132"/>
      <c r="F4" s="133"/>
      <c r="G4" s="133"/>
      <c r="H4" s="132"/>
      <c r="I4" s="1"/>
      <c r="J4" s="1"/>
      <c r="K4" s="115" t="s">
        <v>121</v>
      </c>
      <c r="L4" s="115"/>
      <c r="M4" s="115"/>
      <c r="N4" s="9"/>
    </row>
    <row r="5" spans="2:14" ht="13.5" customHeight="1" x14ac:dyDescent="0.25">
      <c r="B5" s="62"/>
      <c r="C5" s="62">
        <v>40</v>
      </c>
      <c r="D5" s="62"/>
      <c r="E5" s="61">
        <f>IF(ISNUMBER(Invullen_1dBklasse!L10),Invullen_1dBklasse!L10,0)</f>
        <v>80440</v>
      </c>
      <c r="F5" s="61">
        <f>E5*Bevolkingsgegevens!L$7</f>
        <v>65272.22296687965</v>
      </c>
      <c r="G5" s="65">
        <v>0</v>
      </c>
      <c r="H5" s="27">
        <f t="shared" ref="H5" si="0">(F5/100)*G5</f>
        <v>0</v>
      </c>
      <c r="I5" s="1"/>
      <c r="J5" s="1"/>
      <c r="K5" s="116" t="s">
        <v>162</v>
      </c>
      <c r="L5" s="116"/>
      <c r="M5" s="116"/>
      <c r="N5" s="79">
        <f>SUM(E16:E40)</f>
        <v>179560</v>
      </c>
    </row>
    <row r="6" spans="2:14" ht="13.5" customHeight="1" x14ac:dyDescent="0.25">
      <c r="B6" s="62">
        <v>40</v>
      </c>
      <c r="C6" s="62">
        <v>41</v>
      </c>
      <c r="D6" s="62">
        <v>40.5</v>
      </c>
      <c r="E6" s="61">
        <f>Invullen_1dBklasse!L16</f>
        <v>0</v>
      </c>
      <c r="F6" s="61">
        <f>E6*Bevolkingsgegevens!L$7</f>
        <v>0</v>
      </c>
      <c r="G6" s="65">
        <f>67.5406-(3.1852*D6)+(0.0391*D6*D6)</f>
        <v>2.6737750000000062</v>
      </c>
      <c r="H6" s="27">
        <f t="shared" ref="H6:H40" si="1">(F6/100)*G6</f>
        <v>0</v>
      </c>
      <c r="I6" s="1"/>
      <c r="J6" s="1"/>
      <c r="K6" s="117" t="s">
        <v>163</v>
      </c>
      <c r="L6" s="118"/>
      <c r="M6" s="119"/>
      <c r="N6" s="36">
        <f>SUM(H5:H40)</f>
        <v>20530.739804551125</v>
      </c>
    </row>
    <row r="7" spans="2:14" ht="13.5" customHeight="1" x14ac:dyDescent="0.25">
      <c r="B7" s="62">
        <v>41</v>
      </c>
      <c r="C7" s="62">
        <v>42</v>
      </c>
      <c r="D7" s="62">
        <v>41.5</v>
      </c>
      <c r="E7" s="61">
        <f>Invullen_1dBklasse!L17</f>
        <v>0</v>
      </c>
      <c r="F7" s="61">
        <f>E7*Bevolkingsgegevens!L$7</f>
        <v>0</v>
      </c>
      <c r="G7" s="65">
        <f t="shared" ref="G7:G30" si="2">67.5406-(3.1852*D7)+(0.0391*D7*D7)</f>
        <v>2.694775000000007</v>
      </c>
      <c r="H7" s="27">
        <f t="shared" si="1"/>
        <v>0</v>
      </c>
      <c r="I7" s="1"/>
      <c r="J7" s="1"/>
      <c r="K7" s="116" t="s">
        <v>164</v>
      </c>
      <c r="L7" s="116"/>
      <c r="M7" s="116"/>
      <c r="N7" s="36">
        <f>SUM(H16:H40)</f>
        <v>16845.849362835317</v>
      </c>
    </row>
    <row r="8" spans="2:14" ht="13.5" customHeight="1" x14ac:dyDescent="0.25">
      <c r="B8" s="62">
        <v>42</v>
      </c>
      <c r="C8" s="62">
        <v>43</v>
      </c>
      <c r="D8" s="62">
        <v>42.5</v>
      </c>
      <c r="E8" s="61">
        <f>Invullen_1dBklasse!L18</f>
        <v>0</v>
      </c>
      <c r="F8" s="61">
        <f>E8*Bevolkingsgegevens!L$7</f>
        <v>0</v>
      </c>
      <c r="G8" s="65">
        <f t="shared" si="2"/>
        <v>2.793974999999989</v>
      </c>
      <c r="H8" s="27">
        <f t="shared" si="1"/>
        <v>0</v>
      </c>
      <c r="I8" s="1"/>
      <c r="J8" s="1"/>
      <c r="K8" s="1"/>
      <c r="L8" s="1"/>
      <c r="M8" s="1"/>
      <c r="N8" s="1"/>
    </row>
    <row r="9" spans="2:14" ht="13.5" customHeight="1" x14ac:dyDescent="0.25">
      <c r="B9" s="62">
        <v>43</v>
      </c>
      <c r="C9" s="62">
        <v>44</v>
      </c>
      <c r="D9" s="62">
        <v>43.5</v>
      </c>
      <c r="E9" s="61">
        <f>Invullen_1dBklasse!L19</f>
        <v>0</v>
      </c>
      <c r="F9" s="61">
        <f>E9*Bevolkingsgegevens!L$7</f>
        <v>0</v>
      </c>
      <c r="G9" s="65">
        <f t="shared" si="2"/>
        <v>2.9713750000000232</v>
      </c>
      <c r="H9" s="27">
        <f t="shared" si="1"/>
        <v>0</v>
      </c>
      <c r="I9" s="1"/>
      <c r="J9" s="1"/>
      <c r="K9" s="1"/>
      <c r="L9" s="1"/>
      <c r="M9" s="1"/>
      <c r="N9" s="1"/>
    </row>
    <row r="10" spans="2:14" ht="13.5" customHeight="1" x14ac:dyDescent="0.25">
      <c r="B10" s="62">
        <v>44</v>
      </c>
      <c r="C10" s="62">
        <v>45</v>
      </c>
      <c r="D10" s="62">
        <v>44.5</v>
      </c>
      <c r="E10" s="61">
        <f>Invullen_1dBklasse!L20</f>
        <v>0</v>
      </c>
      <c r="F10" s="61">
        <f>E10*Bevolkingsgegevens!L$7</f>
        <v>0</v>
      </c>
      <c r="G10" s="65">
        <f t="shared" si="2"/>
        <v>3.2269750000000101</v>
      </c>
      <c r="H10" s="27">
        <f t="shared" si="1"/>
        <v>0</v>
      </c>
      <c r="I10" s="1"/>
      <c r="J10" s="1"/>
    </row>
    <row r="11" spans="2:14" ht="13.5" customHeight="1" x14ac:dyDescent="0.25">
      <c r="B11" s="62">
        <v>45</v>
      </c>
      <c r="C11" s="62">
        <v>46</v>
      </c>
      <c r="D11" s="62">
        <v>45.5</v>
      </c>
      <c r="E11" s="61">
        <f>Invullen_1dBklasse!L21</f>
        <v>20000</v>
      </c>
      <c r="F11" s="61">
        <f>E11*Bevolkingsgegevens!L$7</f>
        <v>16228.79735626048</v>
      </c>
      <c r="G11" s="65">
        <f t="shared" si="2"/>
        <v>3.5607749999999925</v>
      </c>
      <c r="H11" s="27">
        <f t="shared" si="1"/>
        <v>577.87095906238289</v>
      </c>
      <c r="I11" s="1"/>
      <c r="J11" s="1"/>
    </row>
    <row r="12" spans="2:14" ht="13.5" customHeight="1" x14ac:dyDescent="0.25">
      <c r="B12" s="62">
        <v>46</v>
      </c>
      <c r="C12" s="62">
        <v>47</v>
      </c>
      <c r="D12" s="62">
        <v>46.5</v>
      </c>
      <c r="E12" s="61">
        <f>Invullen_1dBklasse!L22</f>
        <v>20000</v>
      </c>
      <c r="F12" s="61">
        <f>E12*Bevolkingsgegevens!L$7</f>
        <v>16228.79735626048</v>
      </c>
      <c r="G12" s="65">
        <f t="shared" si="2"/>
        <v>3.9727750000000128</v>
      </c>
      <c r="H12" s="27">
        <f t="shared" si="1"/>
        <v>644.73360417017943</v>
      </c>
      <c r="I12" s="1"/>
      <c r="J12" s="1"/>
    </row>
    <row r="13" spans="2:14" ht="13.5" customHeight="1" x14ac:dyDescent="0.25">
      <c r="B13" s="62">
        <v>47</v>
      </c>
      <c r="C13" s="62">
        <v>48</v>
      </c>
      <c r="D13" s="62">
        <v>47.5</v>
      </c>
      <c r="E13" s="61">
        <f>Invullen_1dBklasse!L23</f>
        <v>20000</v>
      </c>
      <c r="F13" s="61">
        <f>E13*Bevolkingsgegevens!L$7</f>
        <v>16228.79735626048</v>
      </c>
      <c r="G13" s="65">
        <f t="shared" si="2"/>
        <v>4.4629750000000001</v>
      </c>
      <c r="H13" s="27">
        <f t="shared" si="1"/>
        <v>724.28716881056619</v>
      </c>
      <c r="I13" s="1"/>
      <c r="J13" s="1"/>
    </row>
    <row r="14" spans="2:14" ht="13.5" customHeight="1" x14ac:dyDescent="0.25">
      <c r="B14" s="62">
        <v>48</v>
      </c>
      <c r="C14" s="62">
        <v>49</v>
      </c>
      <c r="D14" s="62">
        <v>48.5</v>
      </c>
      <c r="E14" s="61">
        <f>Invullen_1dBklasse!L24</f>
        <v>20000</v>
      </c>
      <c r="F14" s="61">
        <f>E14*Bevolkingsgegevens!L$7</f>
        <v>16228.79735626048</v>
      </c>
      <c r="G14" s="65">
        <f t="shared" si="2"/>
        <v>5.031374999999997</v>
      </c>
      <c r="H14" s="27">
        <f t="shared" si="1"/>
        <v>816.53165298355032</v>
      </c>
      <c r="I14" s="1"/>
      <c r="J14" s="1"/>
      <c r="K14" s="1"/>
      <c r="L14" s="1"/>
      <c r="M14" s="1"/>
      <c r="N14" s="1"/>
    </row>
    <row r="15" spans="2:14" x14ac:dyDescent="0.25">
      <c r="B15" s="62">
        <v>49</v>
      </c>
      <c r="C15" s="62">
        <v>50</v>
      </c>
      <c r="D15" s="62">
        <v>49.5</v>
      </c>
      <c r="E15" s="61">
        <f>Invullen_1dBklasse!L25</f>
        <v>20000</v>
      </c>
      <c r="F15" s="61">
        <f>E15*Bevolkingsgegevens!L$7</f>
        <v>16228.79735626048</v>
      </c>
      <c r="G15" s="65">
        <f t="shared" si="2"/>
        <v>5.6779749999999893</v>
      </c>
      <c r="H15" s="27">
        <f t="shared" si="1"/>
        <v>921.46705668912932</v>
      </c>
      <c r="I15" s="1"/>
      <c r="J15" s="1"/>
      <c r="K15" s="1"/>
      <c r="L15" s="1"/>
      <c r="M15" s="1"/>
      <c r="N15" s="1"/>
    </row>
    <row r="16" spans="2:14" x14ac:dyDescent="0.25">
      <c r="B16" s="62">
        <v>50</v>
      </c>
      <c r="C16" s="62">
        <v>51</v>
      </c>
      <c r="D16" s="62">
        <v>50.5</v>
      </c>
      <c r="E16" s="61">
        <f>Invullen_1dBklasse!L26</f>
        <v>17940</v>
      </c>
      <c r="F16" s="61">
        <f>E16*Bevolkingsgegevens!L$7</f>
        <v>14557.231228565652</v>
      </c>
      <c r="G16" s="65">
        <f t="shared" si="2"/>
        <v>6.4027750000000196</v>
      </c>
      <c r="H16" s="27">
        <f t="shared" si="1"/>
        <v>932.06676179479734</v>
      </c>
    </row>
    <row r="17" spans="2:8" x14ac:dyDescent="0.25">
      <c r="B17" s="62">
        <v>51</v>
      </c>
      <c r="C17" s="62">
        <v>52</v>
      </c>
      <c r="D17" s="62">
        <v>51.5</v>
      </c>
      <c r="E17" s="61">
        <f>Invullen_1dBklasse!L27</f>
        <v>17940</v>
      </c>
      <c r="F17" s="61">
        <f>E17*Bevolkingsgegevens!L$7</f>
        <v>14557.231228565652</v>
      </c>
      <c r="G17" s="65">
        <f t="shared" si="2"/>
        <v>7.2057750000000027</v>
      </c>
      <c r="H17" s="27">
        <f t="shared" si="1"/>
        <v>1048.961328560177</v>
      </c>
    </row>
    <row r="18" spans="2:8" x14ac:dyDescent="0.25">
      <c r="B18" s="62">
        <v>52</v>
      </c>
      <c r="C18" s="62">
        <v>53</v>
      </c>
      <c r="D18" s="62">
        <v>52.5</v>
      </c>
      <c r="E18" s="61">
        <f>Invullen_1dBklasse!L28</f>
        <v>17940</v>
      </c>
      <c r="F18" s="61">
        <f>E18*Bevolkingsgegevens!L$7</f>
        <v>14557.231228565652</v>
      </c>
      <c r="G18" s="65">
        <f t="shared" si="2"/>
        <v>8.0869749999999954</v>
      </c>
      <c r="H18" s="27">
        <f t="shared" si="1"/>
        <v>1177.2396501462965</v>
      </c>
    </row>
    <row r="19" spans="2:8" x14ac:dyDescent="0.25">
      <c r="B19" s="62">
        <v>53</v>
      </c>
      <c r="C19" s="62">
        <v>54</v>
      </c>
      <c r="D19" s="62">
        <v>53.5</v>
      </c>
      <c r="E19" s="61">
        <f>Invullen_1dBklasse!L29</f>
        <v>17940</v>
      </c>
      <c r="F19" s="61">
        <f>E19*Bevolkingsgegevens!L$7</f>
        <v>14557.231228565652</v>
      </c>
      <c r="G19" s="65">
        <f t="shared" si="2"/>
        <v>9.0463749999999976</v>
      </c>
      <c r="H19" s="27">
        <f t="shared" si="1"/>
        <v>1316.9017265531556</v>
      </c>
    </row>
    <row r="20" spans="2:8" x14ac:dyDescent="0.25">
      <c r="B20" s="62">
        <v>54</v>
      </c>
      <c r="C20" s="62">
        <v>55</v>
      </c>
      <c r="D20" s="62">
        <v>54.5</v>
      </c>
      <c r="E20" s="61">
        <f>Invullen_1dBklasse!L30</f>
        <v>17940</v>
      </c>
      <c r="F20" s="61">
        <f>E20*Bevolkingsgegevens!L$7</f>
        <v>14557.231228565652</v>
      </c>
      <c r="G20" s="65">
        <f t="shared" si="2"/>
        <v>10.083975000000009</v>
      </c>
      <c r="H20" s="27">
        <f t="shared" si="1"/>
        <v>1467.9475577807546</v>
      </c>
    </row>
    <row r="21" spans="2:8" x14ac:dyDescent="0.25">
      <c r="B21" s="62">
        <v>55</v>
      </c>
      <c r="C21" s="62">
        <v>56</v>
      </c>
      <c r="D21" s="62">
        <v>55.5</v>
      </c>
      <c r="E21" s="61">
        <f>Invullen_1dBklasse!L31</f>
        <v>14240</v>
      </c>
      <c r="F21" s="61">
        <f>E21*Bevolkingsgegevens!L$7</f>
        <v>11554.903717657462</v>
      </c>
      <c r="G21" s="65">
        <f t="shared" si="2"/>
        <v>11.199775000000002</v>
      </c>
      <c r="H21" s="27">
        <f t="shared" si="1"/>
        <v>1294.1232178442713</v>
      </c>
    </row>
    <row r="22" spans="2:8" x14ac:dyDescent="0.25">
      <c r="B22" s="62">
        <v>56</v>
      </c>
      <c r="C22" s="62">
        <v>57</v>
      </c>
      <c r="D22" s="62">
        <v>56.5</v>
      </c>
      <c r="E22" s="61">
        <f>Invullen_1dBklasse!L32</f>
        <v>14240</v>
      </c>
      <c r="F22" s="61">
        <f>E22*Bevolkingsgegevens!L$7</f>
        <v>11554.903717657462</v>
      </c>
      <c r="G22" s="65">
        <f t="shared" si="2"/>
        <v>12.393775000000019</v>
      </c>
      <c r="H22" s="27">
        <f t="shared" si="1"/>
        <v>1432.0887682331033</v>
      </c>
    </row>
    <row r="23" spans="2:8" x14ac:dyDescent="0.25">
      <c r="B23" s="62">
        <v>57</v>
      </c>
      <c r="C23" s="62">
        <v>58</v>
      </c>
      <c r="D23" s="62">
        <v>57.5</v>
      </c>
      <c r="E23" s="61">
        <f>Invullen_1dBklasse!L33</f>
        <v>14240</v>
      </c>
      <c r="F23" s="61">
        <f>E23*Bevolkingsgegevens!L$7</f>
        <v>11554.903717657462</v>
      </c>
      <c r="G23" s="65">
        <f t="shared" si="2"/>
        <v>13.665974999999989</v>
      </c>
      <c r="H23" s="27">
        <f t="shared" si="1"/>
        <v>1579.090253329138</v>
      </c>
    </row>
    <row r="24" spans="2:8" x14ac:dyDescent="0.25">
      <c r="B24" s="62">
        <v>58</v>
      </c>
      <c r="C24" s="62">
        <v>59</v>
      </c>
      <c r="D24" s="62">
        <v>58.5</v>
      </c>
      <c r="E24" s="61">
        <f>Invullen_1dBklasse!L34</f>
        <v>14240</v>
      </c>
      <c r="F24" s="61">
        <f>E24*Bevolkingsgegevens!L$7</f>
        <v>11554.903717657462</v>
      </c>
      <c r="G24" s="65">
        <f t="shared" si="2"/>
        <v>15.016374999999996</v>
      </c>
      <c r="H24" s="27">
        <f t="shared" si="1"/>
        <v>1735.1276731323853</v>
      </c>
    </row>
    <row r="25" spans="2:8" x14ac:dyDescent="0.25">
      <c r="B25" s="62">
        <v>59</v>
      </c>
      <c r="C25" s="62">
        <v>60</v>
      </c>
      <c r="D25" s="62">
        <v>59.5</v>
      </c>
      <c r="E25" s="61">
        <f>Invullen_1dBklasse!L35</f>
        <v>14240</v>
      </c>
      <c r="F25" s="61">
        <f>E25*Bevolkingsgegevens!L$7</f>
        <v>11554.903717657462</v>
      </c>
      <c r="G25" s="65">
        <f t="shared" si="2"/>
        <v>16.444975000000042</v>
      </c>
      <c r="H25" s="27">
        <f t="shared" si="1"/>
        <v>1900.201027642845</v>
      </c>
    </row>
    <row r="26" spans="2:8" x14ac:dyDescent="0.25">
      <c r="B26" s="62">
        <v>60</v>
      </c>
      <c r="C26" s="62">
        <v>61</v>
      </c>
      <c r="D26" s="62">
        <v>60.5</v>
      </c>
      <c r="E26" s="61">
        <f>Invullen_1dBklasse!L36</f>
        <v>6220</v>
      </c>
      <c r="F26" s="61">
        <f>E26*Bevolkingsgegevens!L$7</f>
        <v>5047.1559777970097</v>
      </c>
      <c r="G26" s="65">
        <f t="shared" si="2"/>
        <v>17.951775000000012</v>
      </c>
      <c r="H26" s="27">
        <f t="shared" si="1"/>
        <v>906.05408503316983</v>
      </c>
    </row>
    <row r="27" spans="2:8" x14ac:dyDescent="0.25">
      <c r="B27" s="62">
        <v>61</v>
      </c>
      <c r="C27" s="62">
        <v>62</v>
      </c>
      <c r="D27" s="62">
        <v>61.5</v>
      </c>
      <c r="E27" s="61">
        <f>Invullen_1dBklasse!L37</f>
        <v>6220</v>
      </c>
      <c r="F27" s="61">
        <f>E27*Bevolkingsgegevens!L$7</f>
        <v>5047.1559777970097</v>
      </c>
      <c r="G27" s="65">
        <f t="shared" si="2"/>
        <v>19.536775000000006</v>
      </c>
      <c r="H27" s="27">
        <f t="shared" si="1"/>
        <v>986.05150728125204</v>
      </c>
    </row>
    <row r="28" spans="2:8" x14ac:dyDescent="0.25">
      <c r="B28" s="62">
        <v>62</v>
      </c>
      <c r="C28" s="62">
        <v>63</v>
      </c>
      <c r="D28" s="62">
        <v>62.5</v>
      </c>
      <c r="E28" s="61">
        <f>Invullen_1dBklasse!L38</f>
        <v>6220</v>
      </c>
      <c r="F28" s="61">
        <f>E28*Bevolkingsgegevens!L$7</f>
        <v>5047.1559777970097</v>
      </c>
      <c r="G28" s="65">
        <f t="shared" si="2"/>
        <v>21.199974999999995</v>
      </c>
      <c r="H28" s="27">
        <f t="shared" si="1"/>
        <v>1069.9958055039715</v>
      </c>
    </row>
    <row r="29" spans="2:8" x14ac:dyDescent="0.25">
      <c r="B29" s="62">
        <v>63</v>
      </c>
      <c r="C29" s="62">
        <v>64</v>
      </c>
      <c r="D29" s="62">
        <v>63.5</v>
      </c>
      <c r="E29" s="61">
        <f>Invullen_1dBklasse!L39</f>
        <v>0</v>
      </c>
      <c r="F29" s="61">
        <f>E29*Bevolkingsgegevens!L$7</f>
        <v>0</v>
      </c>
      <c r="G29" s="65">
        <f t="shared" si="2"/>
        <v>22.941374999999994</v>
      </c>
      <c r="H29" s="27">
        <f t="shared" si="1"/>
        <v>0</v>
      </c>
    </row>
    <row r="30" spans="2:8" x14ac:dyDescent="0.25">
      <c r="B30" s="62">
        <v>64</v>
      </c>
      <c r="C30" s="62">
        <v>65</v>
      </c>
      <c r="D30" s="62">
        <v>64.5</v>
      </c>
      <c r="E30" s="61">
        <f>Invullen_1dBklasse!L40</f>
        <v>0</v>
      </c>
      <c r="F30" s="61">
        <f>E30*Bevolkingsgegevens!L$7</f>
        <v>0</v>
      </c>
      <c r="G30" s="65">
        <f t="shared" si="2"/>
        <v>24.760975000000002</v>
      </c>
      <c r="H30" s="27">
        <f t="shared" si="1"/>
        <v>0</v>
      </c>
    </row>
    <row r="31" spans="2:8" x14ac:dyDescent="0.25">
      <c r="B31" s="62">
        <v>65</v>
      </c>
      <c r="C31" s="62">
        <v>66</v>
      </c>
      <c r="D31" s="62">
        <v>65.5</v>
      </c>
      <c r="E31" s="61">
        <f>Invullen_1dBklasse!L41</f>
        <v>0</v>
      </c>
      <c r="F31" s="61">
        <f>E31*Bevolkingsgegevens!L$7</f>
        <v>0</v>
      </c>
      <c r="G31" s="65">
        <f>67.5406-(3.1852*65)+(0.0391*65*65)</f>
        <v>25.700099999999992</v>
      </c>
      <c r="H31" s="27">
        <f t="shared" si="1"/>
        <v>0</v>
      </c>
    </row>
    <row r="32" spans="2:8" x14ac:dyDescent="0.25">
      <c r="B32" s="62">
        <v>66</v>
      </c>
      <c r="C32" s="62">
        <v>67</v>
      </c>
      <c r="D32" s="62">
        <v>66.5</v>
      </c>
      <c r="E32" s="61">
        <f>Invullen_1dBklasse!L42</f>
        <v>0</v>
      </c>
      <c r="F32" s="61">
        <f>E32*Bevolkingsgegevens!L$7</f>
        <v>0</v>
      </c>
      <c r="G32" s="65">
        <f t="shared" ref="G32:G40" si="3">67.5406-(3.1852*65)+(0.0391*65*65)</f>
        <v>25.700099999999992</v>
      </c>
      <c r="H32" s="27">
        <f t="shared" si="1"/>
        <v>0</v>
      </c>
    </row>
    <row r="33" spans="2:8" x14ac:dyDescent="0.25">
      <c r="B33" s="62">
        <v>67</v>
      </c>
      <c r="C33" s="62">
        <v>68</v>
      </c>
      <c r="D33" s="62">
        <v>67.5</v>
      </c>
      <c r="E33" s="61">
        <f>Invullen_1dBklasse!L43</f>
        <v>0</v>
      </c>
      <c r="F33" s="61">
        <f>E33*Bevolkingsgegevens!L$7</f>
        <v>0</v>
      </c>
      <c r="G33" s="65">
        <f t="shared" si="3"/>
        <v>25.700099999999992</v>
      </c>
      <c r="H33" s="27">
        <f t="shared" si="1"/>
        <v>0</v>
      </c>
    </row>
    <row r="34" spans="2:8" x14ac:dyDescent="0.25">
      <c r="B34" s="62">
        <v>68</v>
      </c>
      <c r="C34" s="62">
        <v>69</v>
      </c>
      <c r="D34" s="62">
        <v>68.5</v>
      </c>
      <c r="E34" s="61">
        <f>Invullen_1dBklasse!L44</f>
        <v>0</v>
      </c>
      <c r="F34" s="61">
        <f>E34*Bevolkingsgegevens!L$7</f>
        <v>0</v>
      </c>
      <c r="G34" s="65">
        <f t="shared" si="3"/>
        <v>25.700099999999992</v>
      </c>
      <c r="H34" s="27">
        <f t="shared" si="1"/>
        <v>0</v>
      </c>
    </row>
    <row r="35" spans="2:8" x14ac:dyDescent="0.25">
      <c r="B35" s="62">
        <v>69</v>
      </c>
      <c r="C35" s="62">
        <v>70</v>
      </c>
      <c r="D35" s="62">
        <v>69.5</v>
      </c>
      <c r="E35" s="61">
        <f>Invullen_1dBklasse!L45</f>
        <v>0</v>
      </c>
      <c r="F35" s="61">
        <f>E35*Bevolkingsgegevens!L$7</f>
        <v>0</v>
      </c>
      <c r="G35" s="65">
        <f t="shared" si="3"/>
        <v>25.700099999999992</v>
      </c>
      <c r="H35" s="27">
        <f t="shared" si="1"/>
        <v>0</v>
      </c>
    </row>
    <row r="36" spans="2:8" x14ac:dyDescent="0.25">
      <c r="B36" s="62">
        <v>70</v>
      </c>
      <c r="C36" s="62">
        <v>71</v>
      </c>
      <c r="D36" s="62">
        <v>70.5</v>
      </c>
      <c r="E36" s="61">
        <f>Invullen_1dBklasse!L46</f>
        <v>0</v>
      </c>
      <c r="F36" s="61">
        <f>E36*Bevolkingsgegevens!L$7</f>
        <v>0</v>
      </c>
      <c r="G36" s="65">
        <f t="shared" si="3"/>
        <v>25.700099999999992</v>
      </c>
      <c r="H36" s="27">
        <f t="shared" si="1"/>
        <v>0</v>
      </c>
    </row>
    <row r="37" spans="2:8" x14ac:dyDescent="0.25">
      <c r="B37" s="62">
        <v>71</v>
      </c>
      <c r="C37" s="62">
        <v>72</v>
      </c>
      <c r="D37" s="62">
        <v>71.5</v>
      </c>
      <c r="E37" s="61">
        <f>Invullen_1dBklasse!L47</f>
        <v>0</v>
      </c>
      <c r="F37" s="61">
        <f>E37*Bevolkingsgegevens!L$7</f>
        <v>0</v>
      </c>
      <c r="G37" s="65">
        <f t="shared" si="3"/>
        <v>25.700099999999992</v>
      </c>
      <c r="H37" s="27">
        <f t="shared" si="1"/>
        <v>0</v>
      </c>
    </row>
    <row r="38" spans="2:8" x14ac:dyDescent="0.25">
      <c r="B38" s="62">
        <v>72</v>
      </c>
      <c r="C38" s="62">
        <v>73</v>
      </c>
      <c r="D38" s="62">
        <v>72.5</v>
      </c>
      <c r="E38" s="61">
        <f>Invullen_1dBklasse!L48</f>
        <v>0</v>
      </c>
      <c r="F38" s="61">
        <f>E38*Bevolkingsgegevens!L$7</f>
        <v>0</v>
      </c>
      <c r="G38" s="65">
        <f t="shared" si="3"/>
        <v>25.700099999999992</v>
      </c>
      <c r="H38" s="27">
        <f t="shared" si="1"/>
        <v>0</v>
      </c>
    </row>
    <row r="39" spans="2:8" x14ac:dyDescent="0.25">
      <c r="B39" s="62">
        <v>73</v>
      </c>
      <c r="C39" s="62">
        <v>74</v>
      </c>
      <c r="D39" s="62">
        <v>73.5</v>
      </c>
      <c r="E39" s="61">
        <f>Invullen_1dBklasse!L49</f>
        <v>0</v>
      </c>
      <c r="F39" s="61">
        <f>E39*Bevolkingsgegevens!L$7</f>
        <v>0</v>
      </c>
      <c r="G39" s="65">
        <f t="shared" si="3"/>
        <v>25.700099999999992</v>
      </c>
      <c r="H39" s="27">
        <f t="shared" si="1"/>
        <v>0</v>
      </c>
    </row>
    <row r="40" spans="2:8" x14ac:dyDescent="0.25">
      <c r="B40" s="62">
        <v>74</v>
      </c>
      <c r="C40" s="62">
        <v>75</v>
      </c>
      <c r="D40" s="62">
        <v>74.5</v>
      </c>
      <c r="E40" s="61">
        <f>Invullen_1dBklasse!L50</f>
        <v>0</v>
      </c>
      <c r="F40" s="61">
        <f>E40*Bevolkingsgegevens!L$7</f>
        <v>0</v>
      </c>
      <c r="G40" s="65">
        <f t="shared" si="3"/>
        <v>25.700099999999992</v>
      </c>
      <c r="H40" s="27">
        <f t="shared" si="1"/>
        <v>0</v>
      </c>
    </row>
    <row r="41" spans="2:8" x14ac:dyDescent="0.25">
      <c r="B41" s="68" t="s">
        <v>113</v>
      </c>
      <c r="C41" s="62"/>
      <c r="D41" s="62"/>
      <c r="E41" s="67">
        <f>SUM(E5:E40)</f>
        <v>360000</v>
      </c>
      <c r="F41" s="67">
        <f>SUM(F5:F40)</f>
        <v>292118.35241268855</v>
      </c>
      <c r="G41" s="62"/>
      <c r="H41" s="74">
        <f>SUM(H5:H40)</f>
        <v>20530.739804551125</v>
      </c>
    </row>
    <row r="42" spans="2:8" x14ac:dyDescent="0.25">
      <c r="B42" s="19"/>
      <c r="C42" s="19"/>
      <c r="D42" s="19"/>
      <c r="E42" s="18"/>
      <c r="F42" s="18"/>
      <c r="G42" s="58"/>
      <c r="H42" s="18"/>
    </row>
    <row r="43" spans="2:8" x14ac:dyDescent="0.25">
      <c r="B43" s="19"/>
      <c r="C43" s="19"/>
      <c r="D43" s="19"/>
      <c r="E43" s="18"/>
      <c r="F43" s="18"/>
      <c r="G43" s="58"/>
      <c r="H43" s="18"/>
    </row>
    <row r="44" spans="2:8" x14ac:dyDescent="0.25">
      <c r="B44" s="19"/>
      <c r="C44" s="19"/>
      <c r="D44" s="19"/>
      <c r="E44" s="18"/>
      <c r="F44" s="18"/>
      <c r="G44" s="58"/>
      <c r="H44" s="18"/>
    </row>
    <row r="45" spans="2:8" x14ac:dyDescent="0.25">
      <c r="B45" s="19"/>
      <c r="C45" s="19"/>
      <c r="D45" s="19"/>
      <c r="E45" s="18"/>
      <c r="F45" s="18"/>
      <c r="G45" s="58"/>
      <c r="H45" s="18"/>
    </row>
    <row r="46" spans="2:8" x14ac:dyDescent="0.25">
      <c r="B46" s="19"/>
      <c r="C46" s="19"/>
      <c r="D46" s="19"/>
      <c r="E46" s="18"/>
      <c r="F46" s="18"/>
      <c r="G46" s="58"/>
      <c r="H46" s="18"/>
    </row>
    <row r="47" spans="2:8" x14ac:dyDescent="0.25">
      <c r="B47" s="19"/>
      <c r="C47" s="19"/>
      <c r="D47" s="19"/>
      <c r="E47" s="18"/>
      <c r="F47" s="18"/>
      <c r="G47" s="58"/>
      <c r="H47" s="18"/>
    </row>
    <row r="48" spans="2:8" x14ac:dyDescent="0.25">
      <c r="B48" s="19"/>
      <c r="C48" s="19"/>
      <c r="D48" s="19"/>
      <c r="E48" s="18"/>
      <c r="F48" s="18"/>
      <c r="G48" s="58"/>
      <c r="H48" s="18"/>
    </row>
    <row r="49" spans="2:8" x14ac:dyDescent="0.25">
      <c r="B49" s="19"/>
      <c r="C49" s="19"/>
      <c r="D49" s="19"/>
      <c r="E49" s="18"/>
      <c r="F49" s="18"/>
      <c r="G49" s="58"/>
      <c r="H49" s="18"/>
    </row>
    <row r="50" spans="2:8" x14ac:dyDescent="0.25">
      <c r="B50" s="16"/>
      <c r="C50" s="19"/>
      <c r="D50" s="19"/>
      <c r="E50" s="16"/>
      <c r="F50" s="17"/>
      <c r="G50" s="19"/>
      <c r="H50" s="17"/>
    </row>
    <row r="51" spans="2:8" x14ac:dyDescent="0.25">
      <c r="B51" s="49"/>
      <c r="C51" s="49"/>
      <c r="D51" s="49"/>
      <c r="E51" s="49"/>
      <c r="F51" s="49"/>
      <c r="G51" s="49"/>
      <c r="H51" s="49"/>
    </row>
    <row r="52" spans="2:8" x14ac:dyDescent="0.25">
      <c r="B52" s="49"/>
      <c r="C52" s="49"/>
      <c r="D52" s="49"/>
      <c r="E52" s="49"/>
      <c r="F52" s="49"/>
      <c r="G52" s="49"/>
      <c r="H52" s="49"/>
    </row>
  </sheetData>
  <mergeCells count="9">
    <mergeCell ref="K7:M7"/>
    <mergeCell ref="B3:D3"/>
    <mergeCell ref="E3:E4"/>
    <mergeCell ref="F3:F4"/>
    <mergeCell ref="G3:G4"/>
    <mergeCell ref="H3:H4"/>
    <mergeCell ref="K4:M4"/>
    <mergeCell ref="K5:M5"/>
    <mergeCell ref="K6:M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24DE9-0BC1-4F03-9186-7E989EDFF85E}">
  <sheetPr>
    <tabColor theme="5" tint="0.39997558519241921"/>
  </sheetPr>
  <dimension ref="B1:N50"/>
  <sheetViews>
    <sheetView topLeftCell="A4" workbookViewId="0">
      <selection activeCell="B2" sqref="B2:E16"/>
    </sheetView>
  </sheetViews>
  <sheetFormatPr defaultRowHeight="15" x14ac:dyDescent="0.25"/>
  <cols>
    <col min="2" max="2" width="20.85546875" customWidth="1"/>
    <col min="3" max="3" width="16.42578125" customWidth="1"/>
    <col min="4" max="4" width="17.5703125" customWidth="1"/>
    <col min="5" max="6" width="15.42578125" customWidth="1"/>
    <col min="7" max="7" width="14.5703125" customWidth="1"/>
    <col min="8" max="8" width="16.7109375" customWidth="1"/>
    <col min="11" max="11" width="26.85546875" customWidth="1"/>
    <col min="12" max="12" width="17.140625" customWidth="1"/>
    <col min="13" max="13" width="19.42578125" customWidth="1"/>
    <col min="14" max="14" width="18" customWidth="1"/>
    <col min="15" max="15" width="25.42578125" customWidth="1"/>
    <col min="16" max="16" width="15.42578125" customWidth="1"/>
    <col min="17" max="17" width="16.7109375" customWidth="1"/>
  </cols>
  <sheetData>
    <row r="1" spans="2:14" ht="18" x14ac:dyDescent="0.25">
      <c r="B1" s="3" t="s">
        <v>118</v>
      </c>
      <c r="D1" s="3" t="s">
        <v>180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x14ac:dyDescent="0.25">
      <c r="B3" s="120" t="s">
        <v>119</v>
      </c>
      <c r="C3" s="121"/>
      <c r="D3" s="121"/>
      <c r="E3" s="122" t="s">
        <v>3</v>
      </c>
      <c r="F3" s="124" t="s">
        <v>117</v>
      </c>
      <c r="G3" s="126" t="s">
        <v>116</v>
      </c>
      <c r="H3" s="122" t="s">
        <v>120</v>
      </c>
      <c r="I3" s="1"/>
      <c r="J3" s="1"/>
      <c r="K3" s="1"/>
      <c r="L3" s="1"/>
      <c r="M3" s="1"/>
      <c r="N3" s="1"/>
    </row>
    <row r="4" spans="2:14" ht="26.25" x14ac:dyDescent="0.25">
      <c r="B4" s="21" t="s">
        <v>0</v>
      </c>
      <c r="C4" s="20" t="s">
        <v>1</v>
      </c>
      <c r="D4" s="20" t="s">
        <v>2</v>
      </c>
      <c r="E4" s="123"/>
      <c r="F4" s="125"/>
      <c r="G4" s="127"/>
      <c r="H4" s="123"/>
      <c r="I4" s="1"/>
      <c r="J4" s="1"/>
      <c r="K4" s="115" t="s">
        <v>121</v>
      </c>
      <c r="L4" s="115"/>
      <c r="M4" s="115"/>
      <c r="N4" s="9"/>
    </row>
    <row r="5" spans="2:14" ht="12.75" customHeight="1" x14ac:dyDescent="0.25">
      <c r="B5" s="62"/>
      <c r="C5" s="62">
        <v>40</v>
      </c>
      <c r="D5" s="62"/>
      <c r="E5" s="98">
        <f>IF(ISNUMBER(Invullen_1dBklasse!F10),Invullen_1dBklasse!F10,0)</f>
        <v>66300</v>
      </c>
      <c r="F5" s="64">
        <f>E5*Bevolkingsgegevens!L$7</f>
        <v>53798.463236003496</v>
      </c>
      <c r="G5" s="98">
        <v>0</v>
      </c>
      <c r="H5" s="27">
        <f t="shared" ref="H5:H40" si="0">(F5/100)*G5</f>
        <v>0</v>
      </c>
      <c r="I5" s="1"/>
      <c r="J5" s="1"/>
      <c r="K5" s="116" t="s">
        <v>157</v>
      </c>
      <c r="L5" s="116"/>
      <c r="M5" s="116"/>
      <c r="N5" s="79">
        <f>SUM(E21:E40)</f>
        <v>104000</v>
      </c>
    </row>
    <row r="6" spans="2:14" ht="12.75" customHeight="1" x14ac:dyDescent="0.25">
      <c r="B6" s="62">
        <v>40</v>
      </c>
      <c r="C6" s="62">
        <v>41</v>
      </c>
      <c r="D6" s="62">
        <v>40.5</v>
      </c>
      <c r="E6" s="63">
        <f>Invullen_1dBklasse!F16</f>
        <v>0</v>
      </c>
      <c r="F6" s="64">
        <f>E6*Bevolkingsgegevens!L$7</f>
        <v>0</v>
      </c>
      <c r="G6" s="65">
        <f t="shared" ref="G6:G30" si="1">((EXP(-7.713+0.126*D6))/(1+(EXP(-7.713+0.126*D6))))*100</f>
        <v>6.8497603724326073</v>
      </c>
      <c r="H6" s="27">
        <f t="shared" si="0"/>
        <v>0</v>
      </c>
      <c r="I6" s="1"/>
      <c r="J6" s="1"/>
      <c r="K6" s="117" t="s">
        <v>158</v>
      </c>
      <c r="L6" s="118"/>
      <c r="M6" s="119"/>
      <c r="N6" s="36">
        <f>SUM(H5:H40)</f>
        <v>67446.396161746758</v>
      </c>
    </row>
    <row r="7" spans="2:14" ht="12.75" customHeight="1" x14ac:dyDescent="0.25">
      <c r="B7" s="62">
        <v>41</v>
      </c>
      <c r="C7" s="62">
        <v>42</v>
      </c>
      <c r="D7" s="62">
        <v>41.5</v>
      </c>
      <c r="E7" s="63">
        <f>Invullen_1dBklasse!F17</f>
        <v>0</v>
      </c>
      <c r="F7" s="64">
        <f>E7*Bevolkingsgegevens!L$7</f>
        <v>0</v>
      </c>
      <c r="G7" s="65">
        <f t="shared" si="1"/>
        <v>7.6987479121968034</v>
      </c>
      <c r="H7" s="27">
        <f t="shared" si="0"/>
        <v>0</v>
      </c>
      <c r="I7" s="1"/>
      <c r="J7" s="1"/>
      <c r="K7" s="116" t="s">
        <v>159</v>
      </c>
      <c r="L7" s="116"/>
      <c r="M7" s="116"/>
      <c r="N7" s="36">
        <f>SUM(H21:H40)</f>
        <v>36778.79084048322</v>
      </c>
    </row>
    <row r="8" spans="2:14" ht="12.75" customHeight="1" x14ac:dyDescent="0.25">
      <c r="B8" s="62">
        <v>42</v>
      </c>
      <c r="C8" s="62">
        <v>43</v>
      </c>
      <c r="D8" s="62">
        <v>42.5</v>
      </c>
      <c r="E8" s="63">
        <f>Invullen_1dBklasse!F18</f>
        <v>0</v>
      </c>
      <c r="F8" s="64">
        <f>E8*Bevolkingsgegevens!L$7</f>
        <v>0</v>
      </c>
      <c r="G8" s="65">
        <f t="shared" si="1"/>
        <v>8.6431986924638569</v>
      </c>
      <c r="H8" s="27">
        <f t="shared" si="0"/>
        <v>0</v>
      </c>
      <c r="I8" s="1"/>
      <c r="J8" s="1"/>
    </row>
    <row r="9" spans="2:14" ht="12.75" customHeight="1" x14ac:dyDescent="0.25">
      <c r="B9" s="62">
        <v>43</v>
      </c>
      <c r="C9" s="62">
        <v>44</v>
      </c>
      <c r="D9" s="62">
        <v>43.5</v>
      </c>
      <c r="E9" s="63">
        <f>Invullen_1dBklasse!F19</f>
        <v>0</v>
      </c>
      <c r="F9" s="64">
        <f>E9*Bevolkingsgegevens!L$7</f>
        <v>0</v>
      </c>
      <c r="G9" s="65">
        <f t="shared" si="1"/>
        <v>9.6913457338301203</v>
      </c>
      <c r="H9" s="27">
        <f t="shared" si="0"/>
        <v>0</v>
      </c>
      <c r="I9" s="1"/>
      <c r="J9" s="1"/>
      <c r="K9" s="1"/>
      <c r="L9" s="1"/>
      <c r="M9" s="1"/>
      <c r="N9" s="1"/>
    </row>
    <row r="10" spans="2:14" ht="12.75" customHeight="1" x14ac:dyDescent="0.25">
      <c r="B10" s="62">
        <v>44</v>
      </c>
      <c r="C10" s="62">
        <v>45</v>
      </c>
      <c r="D10" s="62">
        <v>44.5</v>
      </c>
      <c r="E10" s="63">
        <f>Invullen_1dBklasse!F20</f>
        <v>0</v>
      </c>
      <c r="F10" s="64">
        <f>E10*Bevolkingsgegevens!L$7</f>
        <v>0</v>
      </c>
      <c r="G10" s="65">
        <f t="shared" si="1"/>
        <v>10.851501928151983</v>
      </c>
      <c r="H10" s="27">
        <f t="shared" si="0"/>
        <v>0</v>
      </c>
      <c r="I10" s="1"/>
      <c r="J10" s="1"/>
      <c r="K10" s="1"/>
      <c r="L10" s="1"/>
      <c r="M10" s="1"/>
      <c r="N10" s="1"/>
    </row>
    <row r="11" spans="2:14" ht="12.75" customHeight="1" x14ac:dyDescent="0.25">
      <c r="B11" s="62">
        <v>45</v>
      </c>
      <c r="C11" s="62">
        <v>46</v>
      </c>
      <c r="D11" s="62">
        <v>45.5</v>
      </c>
      <c r="E11" s="63">
        <f>Invullen_1dBklasse!F21</f>
        <v>20000</v>
      </c>
      <c r="F11" s="64">
        <f>E11*Bevolkingsgegevens!L$7</f>
        <v>16228.79735626048</v>
      </c>
      <c r="G11" s="65">
        <f t="shared" si="1"/>
        <v>12.131883789173681</v>
      </c>
      <c r="H11" s="27">
        <f t="shared" si="0"/>
        <v>1968.8588356420121</v>
      </c>
      <c r="I11" s="1"/>
      <c r="J11" s="1"/>
      <c r="K11" s="108"/>
      <c r="L11" s="108"/>
      <c r="M11" s="108"/>
      <c r="N11" s="50"/>
    </row>
    <row r="12" spans="2:14" ht="12.75" customHeight="1" x14ac:dyDescent="0.25">
      <c r="B12" s="62">
        <v>46</v>
      </c>
      <c r="C12" s="62">
        <v>47</v>
      </c>
      <c r="D12" s="62">
        <v>46.5</v>
      </c>
      <c r="E12" s="63">
        <f>Invullen_1dBklasse!F22</f>
        <v>20000</v>
      </c>
      <c r="F12" s="64">
        <f>E12*Bevolkingsgegevens!L$7</f>
        <v>16228.79735626048</v>
      </c>
      <c r="G12" s="65">
        <f t="shared" si="1"/>
        <v>13.540393487020729</v>
      </c>
      <c r="H12" s="27">
        <f t="shared" si="0"/>
        <v>2197.4430202488866</v>
      </c>
      <c r="I12" s="1"/>
      <c r="J12" s="1"/>
      <c r="K12" s="1"/>
      <c r="L12" s="1"/>
      <c r="M12" s="1"/>
      <c r="N12" s="1"/>
    </row>
    <row r="13" spans="2:14" ht="12.75" customHeight="1" x14ac:dyDescent="0.25">
      <c r="B13" s="62">
        <v>47</v>
      </c>
      <c r="C13" s="62">
        <v>48</v>
      </c>
      <c r="D13" s="62">
        <v>47.5</v>
      </c>
      <c r="E13" s="63">
        <f>Invullen_1dBklasse!F23</f>
        <v>20000</v>
      </c>
      <c r="F13" s="64">
        <f>E13*Bevolkingsgegevens!L$7</f>
        <v>16228.79735626048</v>
      </c>
      <c r="G13" s="65">
        <f t="shared" si="1"/>
        <v>15.084358048132781</v>
      </c>
      <c r="H13" s="27">
        <f t="shared" si="0"/>
        <v>2448.0099001242379</v>
      </c>
      <c r="I13" s="1"/>
      <c r="J13" s="1"/>
      <c r="K13" s="1"/>
      <c r="L13" s="1"/>
      <c r="M13" s="1"/>
      <c r="N13" s="1"/>
    </row>
    <row r="14" spans="2:14" ht="12.75" customHeight="1" x14ac:dyDescent="0.25">
      <c r="B14" s="62">
        <v>48</v>
      </c>
      <c r="C14" s="62">
        <v>49</v>
      </c>
      <c r="D14" s="62">
        <v>48.5</v>
      </c>
      <c r="E14" s="63">
        <f>Invullen_1dBklasse!F24</f>
        <v>20000</v>
      </c>
      <c r="F14" s="64">
        <f>E14*Bevolkingsgegevens!L$7</f>
        <v>16228.79735626048</v>
      </c>
      <c r="G14" s="65">
        <f t="shared" si="1"/>
        <v>16.77022728686811</v>
      </c>
      <c r="H14" s="27">
        <f t="shared" si="0"/>
        <v>2721.6062025701253</v>
      </c>
      <c r="I14" s="1"/>
      <c r="J14" s="1"/>
      <c r="K14" s="1"/>
      <c r="L14" s="1"/>
      <c r="M14" s="1"/>
      <c r="N14" s="1"/>
    </row>
    <row r="15" spans="2:14" ht="12.75" customHeight="1" x14ac:dyDescent="0.25">
      <c r="B15" s="62">
        <v>49</v>
      </c>
      <c r="C15" s="62">
        <v>50</v>
      </c>
      <c r="D15" s="62">
        <v>49.5</v>
      </c>
      <c r="E15" s="63">
        <f>Invullen_1dBklasse!F25</f>
        <v>20000</v>
      </c>
      <c r="F15" s="64">
        <f>E15*Bevolkingsgegevens!L$7</f>
        <v>16228.79735626048</v>
      </c>
      <c r="G15" s="65">
        <f t="shared" si="1"/>
        <v>18.603235603832204</v>
      </c>
      <c r="H15" s="27">
        <f t="shared" si="0"/>
        <v>3019.0814078536291</v>
      </c>
      <c r="I15" s="1"/>
      <c r="J15" s="1"/>
      <c r="K15" s="1"/>
      <c r="L15" s="1"/>
      <c r="M15" s="1"/>
      <c r="N15" s="1"/>
    </row>
    <row r="16" spans="2:14" ht="12.75" customHeight="1" x14ac:dyDescent="0.25">
      <c r="B16" s="62">
        <v>50</v>
      </c>
      <c r="C16" s="62">
        <v>51</v>
      </c>
      <c r="D16" s="62">
        <v>50.5</v>
      </c>
      <c r="E16" s="63">
        <f>Invullen_1dBklasse!F26</f>
        <v>17940</v>
      </c>
      <c r="F16" s="64">
        <f>E16*Bevolkingsgegevens!L$7</f>
        <v>14557.231228565652</v>
      </c>
      <c r="G16" s="65">
        <f t="shared" si="1"/>
        <v>20.58703718009474</v>
      </c>
      <c r="H16" s="27">
        <f t="shared" si="0"/>
        <v>2996.9026054171732</v>
      </c>
      <c r="I16" s="1"/>
      <c r="J16" s="1"/>
      <c r="K16" s="1"/>
      <c r="L16" s="1"/>
      <c r="M16" s="1"/>
      <c r="N16" s="1"/>
    </row>
    <row r="17" spans="2:8" ht="12.75" customHeight="1" x14ac:dyDescent="0.25">
      <c r="B17" s="62">
        <v>51</v>
      </c>
      <c r="C17" s="62">
        <v>52</v>
      </c>
      <c r="D17" s="62">
        <v>51.5</v>
      </c>
      <c r="E17" s="63">
        <f>Invullen_1dBklasse!F27</f>
        <v>17940</v>
      </c>
      <c r="F17" s="64">
        <f>E17*Bevolkingsgegevens!L$7</f>
        <v>14557.231228565652</v>
      </c>
      <c r="G17" s="65">
        <f t="shared" si="1"/>
        <v>22.723329102679688</v>
      </c>
      <c r="H17" s="27">
        <f t="shared" si="0"/>
        <v>3307.8875603050346</v>
      </c>
    </row>
    <row r="18" spans="2:8" ht="12.75" customHeight="1" x14ac:dyDescent="0.25">
      <c r="B18" s="62">
        <v>52</v>
      </c>
      <c r="C18" s="62">
        <v>53</v>
      </c>
      <c r="D18" s="62">
        <v>52.5</v>
      </c>
      <c r="E18" s="63">
        <f>Invullen_1dBklasse!F28</f>
        <v>17940</v>
      </c>
      <c r="F18" s="64">
        <f>E18*Bevolkingsgegevens!L$7</f>
        <v>14557.231228565652</v>
      </c>
      <c r="G18" s="65">
        <f t="shared" si="1"/>
        <v>25.011482169768946</v>
      </c>
      <c r="H18" s="27">
        <f t="shared" si="0"/>
        <v>3640.979293144735</v>
      </c>
    </row>
    <row r="19" spans="2:8" ht="12.75" customHeight="1" x14ac:dyDescent="0.25">
      <c r="B19" s="62">
        <v>53</v>
      </c>
      <c r="C19" s="62">
        <v>54</v>
      </c>
      <c r="D19" s="62">
        <v>53.5</v>
      </c>
      <c r="E19" s="63">
        <f>Invullen_1dBklasse!F29</f>
        <v>17940</v>
      </c>
      <c r="F19" s="64">
        <f>E19*Bevolkingsgegevens!L$7</f>
        <v>14557.231228565652</v>
      </c>
      <c r="G19" s="65">
        <f t="shared" si="1"/>
        <v>27.448203932309813</v>
      </c>
      <c r="H19" s="27">
        <f t="shared" si="0"/>
        <v>3995.6985145145895</v>
      </c>
    </row>
    <row r="20" spans="2:8" ht="12.75" customHeight="1" x14ac:dyDescent="0.25">
      <c r="B20" s="62">
        <v>54</v>
      </c>
      <c r="C20" s="62">
        <v>55</v>
      </c>
      <c r="D20" s="62">
        <v>54.5</v>
      </c>
      <c r="E20" s="63">
        <f>Invullen_1dBklasse!F30</f>
        <v>17940</v>
      </c>
      <c r="F20" s="64">
        <f>E20*Bevolkingsgegevens!L$7</f>
        <v>14557.231228565652</v>
      </c>
      <c r="G20" s="65">
        <f t="shared" si="1"/>
        <v>30.02726214079501</v>
      </c>
      <c r="H20" s="27">
        <f t="shared" si="0"/>
        <v>4371.137981443082</v>
      </c>
    </row>
    <row r="21" spans="2:8" ht="12.75" customHeight="1" x14ac:dyDescent="0.25">
      <c r="B21" s="62">
        <v>55</v>
      </c>
      <c r="C21" s="62">
        <v>56</v>
      </c>
      <c r="D21" s="62">
        <v>55.5</v>
      </c>
      <c r="E21" s="63">
        <f>Invullen_1dBklasse!F31</f>
        <v>14240</v>
      </c>
      <c r="F21" s="64">
        <f>E21*Bevolkingsgegevens!L$7</f>
        <v>11554.903717657462</v>
      </c>
      <c r="G21" s="65">
        <f t="shared" si="1"/>
        <v>32.73929829322396</v>
      </c>
      <c r="H21" s="27">
        <f t="shared" si="0"/>
        <v>3782.9943956187012</v>
      </c>
    </row>
    <row r="22" spans="2:8" ht="12.75" customHeight="1" x14ac:dyDescent="0.25">
      <c r="B22" s="62">
        <v>56</v>
      </c>
      <c r="C22" s="62">
        <v>57</v>
      </c>
      <c r="D22" s="62">
        <v>56.5</v>
      </c>
      <c r="E22" s="63">
        <f>Invullen_1dBklasse!F32</f>
        <v>14240</v>
      </c>
      <c r="F22" s="64">
        <f>E22*Bevolkingsgegevens!L$7</f>
        <v>11554.903717657462</v>
      </c>
      <c r="G22" s="65">
        <f t="shared" si="1"/>
        <v>35.571759580020618</v>
      </c>
      <c r="H22" s="27">
        <f t="shared" si="0"/>
        <v>4110.2825701479769</v>
      </c>
    </row>
    <row r="23" spans="2:8" ht="12.75" customHeight="1" x14ac:dyDescent="0.25">
      <c r="B23" s="62">
        <v>57</v>
      </c>
      <c r="C23" s="62">
        <v>58</v>
      </c>
      <c r="D23" s="62">
        <v>57.5</v>
      </c>
      <c r="E23" s="63">
        <f>Invullen_1dBklasse!F33</f>
        <v>14240</v>
      </c>
      <c r="F23" s="64">
        <f>E23*Bevolkingsgegevens!L$7</f>
        <v>11554.903717657462</v>
      </c>
      <c r="G23" s="65">
        <f t="shared" si="1"/>
        <v>38.508972589284156</v>
      </c>
      <c r="H23" s="27">
        <f t="shared" si="0"/>
        <v>4449.674705350888</v>
      </c>
    </row>
    <row r="24" spans="2:8" ht="12.75" customHeight="1" x14ac:dyDescent="0.25">
      <c r="B24" s="62">
        <v>58</v>
      </c>
      <c r="C24" s="62">
        <v>59</v>
      </c>
      <c r="D24" s="62">
        <v>58.5</v>
      </c>
      <c r="E24" s="63">
        <f>Invullen_1dBklasse!F34</f>
        <v>14240</v>
      </c>
      <c r="F24" s="64">
        <f>E24*Bevolkingsgegevens!L$7</f>
        <v>11554.903717657462</v>
      </c>
      <c r="G24" s="65">
        <f t="shared" si="1"/>
        <v>41.532373510455031</v>
      </c>
      <c r="H24" s="27">
        <f t="shared" si="0"/>
        <v>4799.0257707909514</v>
      </c>
    </row>
    <row r="25" spans="2:8" ht="12.75" customHeight="1" x14ac:dyDescent="0.25">
      <c r="B25" s="62">
        <v>59</v>
      </c>
      <c r="C25" s="62">
        <v>60</v>
      </c>
      <c r="D25" s="62">
        <v>59.5</v>
      </c>
      <c r="E25" s="63">
        <f>Invullen_1dBklasse!F35</f>
        <v>14240</v>
      </c>
      <c r="F25" s="64">
        <f>E25*Bevolkingsgegevens!L$7</f>
        <v>11554.903717657462</v>
      </c>
      <c r="G25" s="65">
        <f t="shared" si="1"/>
        <v>44.62089770507982</v>
      </c>
      <c r="H25" s="27">
        <f t="shared" si="0"/>
        <v>5155.9017677764014</v>
      </c>
    </row>
    <row r="26" spans="2:8" ht="12.75" customHeight="1" x14ac:dyDescent="0.25">
      <c r="B26" s="62">
        <v>60</v>
      </c>
      <c r="C26" s="62">
        <v>61</v>
      </c>
      <c r="D26" s="62">
        <v>60.5</v>
      </c>
      <c r="E26" s="63">
        <f>Invullen_1dBklasse!F36</f>
        <v>6220</v>
      </c>
      <c r="F26" s="64">
        <f>E26*Bevolkingsgegevens!L$7</f>
        <v>5047.1559777970097</v>
      </c>
      <c r="G26" s="65">
        <f t="shared" si="1"/>
        <v>47.751517520819988</v>
      </c>
      <c r="H26" s="27">
        <f t="shared" si="0"/>
        <v>2410.0935710408526</v>
      </c>
    </row>
    <row r="27" spans="2:8" ht="12.75" customHeight="1" x14ac:dyDescent="0.25">
      <c r="B27" s="62">
        <v>61</v>
      </c>
      <c r="C27" s="62">
        <v>62</v>
      </c>
      <c r="D27" s="62">
        <v>61.5</v>
      </c>
      <c r="E27" s="63">
        <f>Invullen_1dBklasse!F37</f>
        <v>6220</v>
      </c>
      <c r="F27" s="64">
        <f>E27*Bevolkingsgegevens!L$7</f>
        <v>5047.1559777970097</v>
      </c>
      <c r="G27" s="65">
        <f t="shared" si="1"/>
        <v>50.899902812595457</v>
      </c>
      <c r="H27" s="27">
        <f t="shared" si="0"/>
        <v>2568.9974874987802</v>
      </c>
    </row>
    <row r="28" spans="2:8" ht="12.75" customHeight="1" x14ac:dyDescent="0.25">
      <c r="B28" s="62">
        <v>62</v>
      </c>
      <c r="C28" s="62">
        <v>63</v>
      </c>
      <c r="D28" s="62">
        <v>62.5</v>
      </c>
      <c r="E28" s="63">
        <f>Invullen_1dBklasse!F38</f>
        <v>6220</v>
      </c>
      <c r="F28" s="64">
        <f>E28*Bevolkingsgegevens!L$7</f>
        <v>5047.1559777970097</v>
      </c>
      <c r="G28" s="65">
        <f t="shared" si="1"/>
        <v>54.041165833661999</v>
      </c>
      <c r="H28" s="27">
        <f t="shared" si="0"/>
        <v>2727.5419318448671</v>
      </c>
    </row>
    <row r="29" spans="2:8" ht="12.75" customHeight="1" x14ac:dyDescent="0.25">
      <c r="B29" s="62">
        <v>63</v>
      </c>
      <c r="C29" s="62">
        <v>64</v>
      </c>
      <c r="D29" s="62">
        <v>63.5</v>
      </c>
      <c r="E29" s="63">
        <f>Invullen_1dBklasse!F39</f>
        <v>6220</v>
      </c>
      <c r="F29" s="64">
        <f>E29*Bevolkingsgegevens!L$7</f>
        <v>5047.1559777970097</v>
      </c>
      <c r="G29" s="65">
        <f t="shared" si="1"/>
        <v>57.150642946755582</v>
      </c>
      <c r="H29" s="27">
        <f t="shared" si="0"/>
        <v>2884.4820918365995</v>
      </c>
    </row>
    <row r="30" spans="2:8" ht="12.75" customHeight="1" x14ac:dyDescent="0.25">
      <c r="B30" s="62">
        <v>64</v>
      </c>
      <c r="C30" s="62">
        <v>65</v>
      </c>
      <c r="D30" s="62">
        <v>64.5</v>
      </c>
      <c r="E30" s="63">
        <f>Invullen_1dBklasse!F40</f>
        <v>6220</v>
      </c>
      <c r="F30" s="64">
        <f>E30*Bevolkingsgegevens!L$7</f>
        <v>5047.1559777970097</v>
      </c>
      <c r="G30" s="65">
        <f t="shared" si="1"/>
        <v>60.204661486669345</v>
      </c>
      <c r="H30" s="27">
        <f t="shared" si="0"/>
        <v>3038.623171136886</v>
      </c>
    </row>
    <row r="31" spans="2:8" ht="12.75" customHeight="1" x14ac:dyDescent="0.25">
      <c r="B31" s="62">
        <v>65</v>
      </c>
      <c r="C31" s="62">
        <v>66</v>
      </c>
      <c r="D31" s="62">
        <v>65.5</v>
      </c>
      <c r="E31" s="63">
        <f>Invullen_1dBklasse!F41</f>
        <v>340</v>
      </c>
      <c r="F31" s="64">
        <f>E31*Bevolkingsgegevens!L$7</f>
        <v>275.88955505642815</v>
      </c>
      <c r="G31" s="65">
        <f>((EXP(-7.713+0.126*65))/(1+(EXP(-7.713+0.126*65))))*100</f>
        <v>61.703921865852585</v>
      </c>
      <c r="H31" s="27">
        <f t="shared" si="0"/>
        <v>170.23467548806678</v>
      </c>
    </row>
    <row r="32" spans="2:8" ht="12.75" customHeight="1" x14ac:dyDescent="0.25">
      <c r="B32" s="62">
        <v>66</v>
      </c>
      <c r="C32" s="62">
        <v>67</v>
      </c>
      <c r="D32" s="62">
        <v>66.5</v>
      </c>
      <c r="E32" s="63">
        <f>Invullen_1dBklasse!F42</f>
        <v>340</v>
      </c>
      <c r="F32" s="64">
        <f>E32*Bevolkingsgegevens!L$7</f>
        <v>275.88955505642815</v>
      </c>
      <c r="G32" s="65">
        <f t="shared" ref="G32:G40" si="2">((EXP(-7.713+0.126*65))/(1+(EXP(-7.713+0.126*65))))*100</f>
        <v>61.703921865852585</v>
      </c>
      <c r="H32" s="27">
        <f t="shared" si="0"/>
        <v>170.23467548806678</v>
      </c>
    </row>
    <row r="33" spans="2:8" ht="12.75" customHeight="1" x14ac:dyDescent="0.25">
      <c r="B33" s="62">
        <v>67</v>
      </c>
      <c r="C33" s="62">
        <v>68</v>
      </c>
      <c r="D33" s="62">
        <v>67.5</v>
      </c>
      <c r="E33" s="63">
        <f>Invullen_1dBklasse!F43</f>
        <v>340</v>
      </c>
      <c r="F33" s="64">
        <f>E33*Bevolkingsgegevens!L$7</f>
        <v>275.88955505642815</v>
      </c>
      <c r="G33" s="65">
        <f t="shared" si="2"/>
        <v>61.703921865852585</v>
      </c>
      <c r="H33" s="27">
        <f t="shared" si="0"/>
        <v>170.23467548806678</v>
      </c>
    </row>
    <row r="34" spans="2:8" ht="12.75" customHeight="1" x14ac:dyDescent="0.25">
      <c r="B34" s="62">
        <v>68</v>
      </c>
      <c r="C34" s="62">
        <v>69</v>
      </c>
      <c r="D34" s="62">
        <v>68.5</v>
      </c>
      <c r="E34" s="63">
        <f>Invullen_1dBklasse!F44</f>
        <v>340</v>
      </c>
      <c r="F34" s="64">
        <f>E34*Bevolkingsgegevens!L$7</f>
        <v>275.88955505642815</v>
      </c>
      <c r="G34" s="65">
        <f t="shared" si="2"/>
        <v>61.703921865852585</v>
      </c>
      <c r="H34" s="27">
        <f t="shared" si="0"/>
        <v>170.23467548806678</v>
      </c>
    </row>
    <row r="35" spans="2:8" ht="12.75" customHeight="1" x14ac:dyDescent="0.25">
      <c r="B35" s="62">
        <v>69</v>
      </c>
      <c r="C35" s="62">
        <v>70</v>
      </c>
      <c r="D35" s="62">
        <v>69.5</v>
      </c>
      <c r="E35" s="63">
        <f>Invullen_1dBklasse!F45</f>
        <v>340</v>
      </c>
      <c r="F35" s="64">
        <f>E35*Bevolkingsgegevens!L$7</f>
        <v>275.88955505642815</v>
      </c>
      <c r="G35" s="65">
        <f t="shared" si="2"/>
        <v>61.703921865852585</v>
      </c>
      <c r="H35" s="27">
        <f t="shared" si="0"/>
        <v>170.23467548806678</v>
      </c>
    </row>
    <row r="36" spans="2:8" ht="12.75" customHeight="1" x14ac:dyDescent="0.25">
      <c r="B36" s="62">
        <v>70</v>
      </c>
      <c r="C36" s="62">
        <v>71</v>
      </c>
      <c r="D36" s="62">
        <v>70.5</v>
      </c>
      <c r="E36" s="63">
        <f>Invullen_1dBklasse!F46</f>
        <v>0</v>
      </c>
      <c r="F36" s="64">
        <f>E36*Bevolkingsgegevens!L$7</f>
        <v>0</v>
      </c>
      <c r="G36" s="65">
        <f t="shared" si="2"/>
        <v>61.703921865852585</v>
      </c>
      <c r="H36" s="27">
        <f t="shared" si="0"/>
        <v>0</v>
      </c>
    </row>
    <row r="37" spans="2:8" ht="12.75" customHeight="1" x14ac:dyDescent="0.25">
      <c r="B37" s="62">
        <v>71</v>
      </c>
      <c r="C37" s="62">
        <v>72</v>
      </c>
      <c r="D37" s="62">
        <v>71.5</v>
      </c>
      <c r="E37" s="63">
        <f>Invullen_1dBklasse!F47</f>
        <v>0</v>
      </c>
      <c r="F37" s="64">
        <f>E37*Bevolkingsgegevens!L$7</f>
        <v>0</v>
      </c>
      <c r="G37" s="65">
        <f t="shared" si="2"/>
        <v>61.703921865852585</v>
      </c>
      <c r="H37" s="27">
        <f t="shared" si="0"/>
        <v>0</v>
      </c>
    </row>
    <row r="38" spans="2:8" ht="12.75" customHeight="1" x14ac:dyDescent="0.25">
      <c r="B38" s="62">
        <v>72</v>
      </c>
      <c r="C38" s="62">
        <v>73</v>
      </c>
      <c r="D38" s="62">
        <v>72.5</v>
      </c>
      <c r="E38" s="63">
        <f>Invullen_1dBklasse!F48</f>
        <v>0</v>
      </c>
      <c r="F38" s="64">
        <f>E38*Bevolkingsgegevens!L$7</f>
        <v>0</v>
      </c>
      <c r="G38" s="65">
        <f t="shared" si="2"/>
        <v>61.703921865852585</v>
      </c>
      <c r="H38" s="27">
        <f t="shared" si="0"/>
        <v>0</v>
      </c>
    </row>
    <row r="39" spans="2:8" ht="12.75" customHeight="1" x14ac:dyDescent="0.25">
      <c r="B39" s="62">
        <v>73</v>
      </c>
      <c r="C39" s="62">
        <v>74</v>
      </c>
      <c r="D39" s="62">
        <v>73.5</v>
      </c>
      <c r="E39" s="63">
        <f>Invullen_1dBklasse!F49</f>
        <v>0</v>
      </c>
      <c r="F39" s="64">
        <f>E39*Bevolkingsgegevens!L$7</f>
        <v>0</v>
      </c>
      <c r="G39" s="65">
        <f t="shared" si="2"/>
        <v>61.703921865852585</v>
      </c>
      <c r="H39" s="27">
        <f t="shared" si="0"/>
        <v>0</v>
      </c>
    </row>
    <row r="40" spans="2:8" ht="12.75" customHeight="1" x14ac:dyDescent="0.25">
      <c r="B40" s="62">
        <v>74</v>
      </c>
      <c r="C40" s="62"/>
      <c r="D40" s="62">
        <v>74.5</v>
      </c>
      <c r="E40" s="63">
        <f>Invullen_1dBklasse!F50</f>
        <v>0</v>
      </c>
      <c r="F40" s="64">
        <f>E40*Bevolkingsgegevens!L$7</f>
        <v>0</v>
      </c>
      <c r="G40" s="65">
        <f t="shared" si="2"/>
        <v>61.703921865852585</v>
      </c>
      <c r="H40" s="27">
        <f t="shared" si="0"/>
        <v>0</v>
      </c>
    </row>
    <row r="41" spans="2:8" ht="12.75" customHeight="1" x14ac:dyDescent="0.25">
      <c r="B41" s="68" t="s">
        <v>113</v>
      </c>
      <c r="C41" s="68"/>
      <c r="D41" s="68"/>
      <c r="E41" s="66">
        <f>SUM(E5:E40)</f>
        <v>360000</v>
      </c>
      <c r="F41" s="67">
        <f>SUM(F5:F40)</f>
        <v>292118.35241268843</v>
      </c>
      <c r="G41" s="68"/>
      <c r="H41" s="72">
        <f>SUM(H5:H40)</f>
        <v>67446.396161746758</v>
      </c>
    </row>
    <row r="42" spans="2:8" ht="12.75" customHeight="1" x14ac:dyDescent="0.25">
      <c r="B42" s="19"/>
      <c r="C42" s="19"/>
      <c r="D42" s="19"/>
      <c r="E42" s="60"/>
      <c r="F42" s="59"/>
      <c r="G42" s="58"/>
      <c r="H42" s="18"/>
    </row>
    <row r="43" spans="2:8" ht="12.75" customHeight="1" x14ac:dyDescent="0.25">
      <c r="B43" s="19"/>
      <c r="C43" s="19"/>
      <c r="D43" s="19"/>
      <c r="E43" s="60"/>
      <c r="F43" s="59"/>
      <c r="G43" s="58"/>
      <c r="H43" s="18"/>
    </row>
    <row r="44" spans="2:8" ht="12.75" customHeight="1" x14ac:dyDescent="0.25">
      <c r="B44" s="19"/>
      <c r="C44" s="19"/>
      <c r="D44" s="19"/>
      <c r="E44" s="60"/>
      <c r="F44" s="59"/>
      <c r="G44" s="58"/>
      <c r="H44" s="18"/>
    </row>
    <row r="45" spans="2:8" ht="12.75" customHeight="1" x14ac:dyDescent="0.25">
      <c r="B45" s="19"/>
      <c r="C45" s="19"/>
      <c r="D45" s="19"/>
      <c r="E45" s="60"/>
      <c r="F45" s="59"/>
      <c r="G45" s="58"/>
      <c r="H45" s="18"/>
    </row>
    <row r="46" spans="2:8" ht="12.75" customHeight="1" x14ac:dyDescent="0.25">
      <c r="B46" s="19"/>
      <c r="C46" s="19"/>
      <c r="D46" s="19"/>
      <c r="E46" s="60"/>
      <c r="F46" s="59"/>
      <c r="G46" s="58"/>
      <c r="H46" s="18"/>
    </row>
    <row r="47" spans="2:8" ht="12.75" customHeight="1" x14ac:dyDescent="0.25">
      <c r="B47" s="19"/>
      <c r="C47" s="19"/>
      <c r="D47" s="19"/>
      <c r="E47" s="60"/>
      <c r="F47" s="59"/>
      <c r="G47" s="58"/>
      <c r="H47" s="18"/>
    </row>
    <row r="48" spans="2:8" ht="12.75" customHeight="1" x14ac:dyDescent="0.25">
      <c r="B48" s="19"/>
      <c r="C48" s="19"/>
      <c r="D48" s="19"/>
      <c r="E48" s="60"/>
      <c r="F48" s="59"/>
      <c r="G48" s="58"/>
      <c r="H48" s="18"/>
    </row>
    <row r="49" spans="2:8" ht="12.75" customHeight="1" x14ac:dyDescent="0.25">
      <c r="B49" s="19"/>
      <c r="C49" s="19"/>
      <c r="D49" s="19"/>
      <c r="E49" s="60"/>
      <c r="F49" s="59"/>
      <c r="G49" s="58"/>
      <c r="H49" s="18"/>
    </row>
    <row r="50" spans="2:8" ht="12.75" customHeight="1" x14ac:dyDescent="0.25">
      <c r="B50" s="19"/>
      <c r="C50" s="19"/>
      <c r="D50" s="19"/>
      <c r="E50" s="60"/>
      <c r="F50" s="59"/>
      <c r="G50" s="58"/>
      <c r="H50" s="18"/>
    </row>
  </sheetData>
  <mergeCells count="10">
    <mergeCell ref="B3:D3"/>
    <mergeCell ref="E3:E4"/>
    <mergeCell ref="F3:F4"/>
    <mergeCell ref="G3:G4"/>
    <mergeCell ref="H3:H4"/>
    <mergeCell ref="K5:M5"/>
    <mergeCell ref="K11:M11"/>
    <mergeCell ref="K7:M7"/>
    <mergeCell ref="K4:M4"/>
    <mergeCell ref="K6:M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8664-189A-43A7-9BA7-A0004B2C8481}">
  <sheetPr>
    <tabColor theme="5" tint="0.39997558519241921"/>
  </sheetPr>
  <dimension ref="B1:N41"/>
  <sheetViews>
    <sheetView workbookViewId="0">
      <selection activeCell="B2" sqref="B2:E16"/>
    </sheetView>
  </sheetViews>
  <sheetFormatPr defaultRowHeight="15" x14ac:dyDescent="0.25"/>
  <cols>
    <col min="2" max="2" width="21.85546875" customWidth="1"/>
    <col min="3" max="3" width="14.85546875" customWidth="1"/>
    <col min="4" max="4" width="16.140625" customWidth="1"/>
    <col min="5" max="5" width="15.28515625" customWidth="1"/>
    <col min="6" max="6" width="19" customWidth="1"/>
    <col min="7" max="7" width="17.7109375" customWidth="1"/>
    <col min="8" max="8" width="16.42578125" customWidth="1"/>
    <col min="11" max="11" width="27.140625" customWidth="1"/>
    <col min="12" max="12" width="15" customWidth="1"/>
    <col min="13" max="13" width="17.42578125" customWidth="1"/>
    <col min="15" max="15" width="16.42578125" customWidth="1"/>
    <col min="16" max="16" width="18.5703125" customWidth="1"/>
    <col min="17" max="17" width="16" customWidth="1"/>
  </cols>
  <sheetData>
    <row r="1" spans="2:14" ht="18" x14ac:dyDescent="0.25">
      <c r="B1" s="3" t="s">
        <v>118</v>
      </c>
      <c r="C1" s="3" t="s">
        <v>166</v>
      </c>
    </row>
    <row r="3" spans="2:14" x14ac:dyDescent="0.25">
      <c r="B3" s="131" t="s">
        <v>122</v>
      </c>
      <c r="C3" s="131"/>
      <c r="D3" s="131"/>
      <c r="E3" s="132" t="s">
        <v>3</v>
      </c>
      <c r="F3" s="132" t="s">
        <v>117</v>
      </c>
      <c r="G3" s="132" t="s">
        <v>123</v>
      </c>
      <c r="H3" s="132" t="s">
        <v>124</v>
      </c>
      <c r="I3" s="1"/>
      <c r="J3" s="1"/>
    </row>
    <row r="4" spans="2:14" ht="26.25" x14ac:dyDescent="0.25">
      <c r="B4" s="44" t="s">
        <v>0</v>
      </c>
      <c r="C4" s="44" t="s">
        <v>1</v>
      </c>
      <c r="D4" s="44" t="s">
        <v>2</v>
      </c>
      <c r="E4" s="132"/>
      <c r="F4" s="132"/>
      <c r="G4" s="132"/>
      <c r="H4" s="132"/>
      <c r="I4" s="1"/>
      <c r="J4" s="1"/>
      <c r="K4" s="115" t="s">
        <v>121</v>
      </c>
      <c r="L4" s="115"/>
      <c r="M4" s="115"/>
      <c r="N4" s="9"/>
    </row>
    <row r="5" spans="2:14" ht="13.5" customHeight="1" x14ac:dyDescent="0.25">
      <c r="B5" s="62"/>
      <c r="C5" s="62">
        <v>35</v>
      </c>
      <c r="D5" s="62"/>
      <c r="E5" s="100">
        <f>IF(ISNUMBER(Invullen_1dBklasse!M10),Invullen_1dBklasse!M10,0)</f>
        <v>80440</v>
      </c>
      <c r="F5" s="61">
        <f>E5*Bevolkingsgegevens!L$7</f>
        <v>65272.22296687965</v>
      </c>
      <c r="G5" s="100"/>
      <c r="H5" s="61"/>
      <c r="I5" s="1"/>
      <c r="J5" s="1"/>
      <c r="K5" s="116" t="s">
        <v>162</v>
      </c>
      <c r="L5" s="116"/>
      <c r="M5" s="116"/>
      <c r="N5" s="79">
        <f>SUM(E21:E40)</f>
        <v>179560</v>
      </c>
    </row>
    <row r="6" spans="2:14" ht="13.5" customHeight="1" x14ac:dyDescent="0.25">
      <c r="B6" s="62">
        <v>35</v>
      </c>
      <c r="C6" s="62">
        <v>36</v>
      </c>
      <c r="D6" s="69">
        <v>35.5</v>
      </c>
      <c r="E6" s="61">
        <f>Invullen_1dBklasse!M11</f>
        <v>0</v>
      </c>
      <c r="F6" s="70">
        <f>E6*Bevolkingsgegevens!L$7</f>
        <v>0</v>
      </c>
      <c r="G6" s="65">
        <f t="shared" ref="G6:G27" si="0">((EXP(-6.2952+0.096*D6))/(1+(EXP(-6.2952+0.096*D6))))*100</f>
        <v>5.2789952130487778</v>
      </c>
      <c r="H6" s="61">
        <f t="shared" ref="H6:H40" si="1">(F6/100)*G6</f>
        <v>0</v>
      </c>
      <c r="I6" s="1"/>
      <c r="J6" s="1"/>
      <c r="K6" s="116" t="s">
        <v>163</v>
      </c>
      <c r="L6" s="116"/>
      <c r="M6" s="116"/>
      <c r="N6" s="36">
        <f>H41</f>
        <v>50226.875019162529</v>
      </c>
    </row>
    <row r="7" spans="2:14" ht="13.5" customHeight="1" x14ac:dyDescent="0.25">
      <c r="B7" s="62">
        <v>36</v>
      </c>
      <c r="C7" s="62">
        <v>37</v>
      </c>
      <c r="D7" s="69">
        <v>36.5</v>
      </c>
      <c r="E7" s="61">
        <f>Invullen_1dBklasse!M12</f>
        <v>0</v>
      </c>
      <c r="F7" s="70">
        <f>E7*Bevolkingsgegevens!L$7</f>
        <v>0</v>
      </c>
      <c r="G7" s="65">
        <f t="shared" si="0"/>
        <v>5.780156793117861</v>
      </c>
      <c r="H7" s="61">
        <f t="shared" si="1"/>
        <v>0</v>
      </c>
      <c r="I7" s="1"/>
      <c r="J7" s="1"/>
      <c r="K7" s="116" t="s">
        <v>164</v>
      </c>
      <c r="L7" s="116"/>
      <c r="M7" s="116"/>
      <c r="N7" s="36">
        <f>SUM(H21:H40)</f>
        <v>37994.834925071074</v>
      </c>
    </row>
    <row r="8" spans="2:14" ht="13.5" customHeight="1" x14ac:dyDescent="0.25">
      <c r="B8" s="62">
        <v>37</v>
      </c>
      <c r="C8" s="62">
        <v>38</v>
      </c>
      <c r="D8" s="69">
        <v>37.5</v>
      </c>
      <c r="E8" s="61">
        <f>Invullen_1dBklasse!M13</f>
        <v>0</v>
      </c>
      <c r="F8" s="70">
        <f>E8*Bevolkingsgegevens!L$7</f>
        <v>0</v>
      </c>
      <c r="G8" s="65">
        <f t="shared" si="0"/>
        <v>6.3257187934007018</v>
      </c>
      <c r="H8" s="61">
        <f t="shared" si="1"/>
        <v>0</v>
      </c>
      <c r="I8" s="1"/>
      <c r="J8" s="1"/>
      <c r="K8" s="1"/>
      <c r="L8" s="1"/>
      <c r="M8" s="1"/>
      <c r="N8" s="1"/>
    </row>
    <row r="9" spans="2:14" ht="13.5" customHeight="1" x14ac:dyDescent="0.25">
      <c r="B9" s="62">
        <v>38</v>
      </c>
      <c r="C9" s="62">
        <v>39</v>
      </c>
      <c r="D9" s="69">
        <v>38.5</v>
      </c>
      <c r="E9" s="61">
        <f>Invullen_1dBklasse!M14</f>
        <v>0</v>
      </c>
      <c r="F9" s="70">
        <f>E9*Bevolkingsgegevens!L$7</f>
        <v>0</v>
      </c>
      <c r="G9" s="65">
        <f t="shared" si="0"/>
        <v>6.9189924732950656</v>
      </c>
      <c r="H9" s="61">
        <f t="shared" si="1"/>
        <v>0</v>
      </c>
      <c r="I9" s="1"/>
      <c r="J9" s="1"/>
    </row>
    <row r="10" spans="2:14" ht="13.5" customHeight="1" x14ac:dyDescent="0.25">
      <c r="B10" s="62">
        <v>39</v>
      </c>
      <c r="C10" s="62">
        <v>40</v>
      </c>
      <c r="D10" s="69">
        <v>39.5</v>
      </c>
      <c r="E10" s="61">
        <f>Invullen_1dBklasse!M15</f>
        <v>0</v>
      </c>
      <c r="F10" s="70">
        <f>E10*Bevolkingsgegevens!L$7</f>
        <v>0</v>
      </c>
      <c r="G10" s="65">
        <f t="shared" si="0"/>
        <v>7.5634152381839668</v>
      </c>
      <c r="H10" s="61">
        <f t="shared" si="1"/>
        <v>0</v>
      </c>
      <c r="I10" s="1"/>
      <c r="J10" s="1"/>
    </row>
    <row r="11" spans="2:14" ht="13.5" customHeight="1" x14ac:dyDescent="0.25">
      <c r="B11" s="62">
        <v>40</v>
      </c>
      <c r="C11" s="62">
        <v>41</v>
      </c>
      <c r="D11" s="69">
        <v>40.5</v>
      </c>
      <c r="E11" s="61">
        <f>Invullen_1dBklasse!M16</f>
        <v>0</v>
      </c>
      <c r="F11" s="70">
        <f>E11*Bevolkingsgegevens!L$7</f>
        <v>0</v>
      </c>
      <c r="G11" s="65">
        <f t="shared" si="0"/>
        <v>8.2625305671048093</v>
      </c>
      <c r="H11" s="61">
        <f t="shared" si="1"/>
        <v>0</v>
      </c>
      <c r="I11" s="1"/>
      <c r="J11" s="1"/>
    </row>
    <row r="12" spans="2:14" ht="13.5" customHeight="1" x14ac:dyDescent="0.25">
      <c r="B12" s="62">
        <v>41</v>
      </c>
      <c r="C12" s="62">
        <v>42</v>
      </c>
      <c r="D12" s="69">
        <v>41.5</v>
      </c>
      <c r="E12" s="61">
        <f>Invullen_1dBklasse!M17</f>
        <v>0</v>
      </c>
      <c r="F12" s="70">
        <f>E12*Bevolkingsgegevens!L$7</f>
        <v>0</v>
      </c>
      <c r="G12" s="65">
        <f t="shared" si="0"/>
        <v>9.0199619885983786</v>
      </c>
      <c r="H12" s="61">
        <f t="shared" si="1"/>
        <v>0</v>
      </c>
      <c r="I12" s="1"/>
      <c r="J12" s="1"/>
    </row>
    <row r="13" spans="2:14" ht="13.5" customHeight="1" x14ac:dyDescent="0.25">
      <c r="B13" s="62">
        <v>42</v>
      </c>
      <c r="C13" s="62">
        <v>43</v>
      </c>
      <c r="D13" s="69">
        <v>42.5</v>
      </c>
      <c r="E13" s="61">
        <f>Invullen_1dBklasse!M18</f>
        <v>0</v>
      </c>
      <c r="F13" s="70">
        <f>E13*Bevolkingsgegevens!L$7</f>
        <v>0</v>
      </c>
      <c r="G13" s="65">
        <f t="shared" si="0"/>
        <v>9.8393804029550669</v>
      </c>
      <c r="H13" s="61">
        <f t="shared" si="1"/>
        <v>0</v>
      </c>
      <c r="I13" s="1"/>
      <c r="J13" s="1"/>
      <c r="K13" s="1"/>
      <c r="L13" s="1"/>
      <c r="M13" s="1"/>
      <c r="N13" s="1"/>
    </row>
    <row r="14" spans="2:14" ht="13.5" customHeight="1" x14ac:dyDescent="0.25">
      <c r="B14" s="62">
        <v>43</v>
      </c>
      <c r="C14" s="62">
        <v>44</v>
      </c>
      <c r="D14" s="69">
        <v>43.5</v>
      </c>
      <c r="E14" s="61">
        <f>Invullen_1dBklasse!M19</f>
        <v>0</v>
      </c>
      <c r="F14" s="70">
        <f>E14*Bevolkingsgegevens!L$7</f>
        <v>0</v>
      </c>
      <c r="G14" s="65">
        <f t="shared" si="0"/>
        <v>10.724464100604413</v>
      </c>
      <c r="H14" s="61">
        <f t="shared" si="1"/>
        <v>0</v>
      </c>
      <c r="I14" s="1"/>
      <c r="J14" s="1"/>
      <c r="K14" s="1"/>
      <c r="L14" s="1"/>
      <c r="M14" s="1"/>
      <c r="N14" s="1"/>
    </row>
    <row r="15" spans="2:14" ht="13.5" customHeight="1" x14ac:dyDescent="0.25">
      <c r="B15" s="62">
        <v>44</v>
      </c>
      <c r="C15" s="62">
        <v>45</v>
      </c>
      <c r="D15" s="69">
        <v>44.5</v>
      </c>
      <c r="E15" s="61">
        <f>Invullen_1dBklasse!M20</f>
        <v>0</v>
      </c>
      <c r="F15" s="70">
        <f>E15*Bevolkingsgegevens!L$7</f>
        <v>0</v>
      </c>
      <c r="G15" s="65">
        <f t="shared" si="0"/>
        <v>11.678850924511378</v>
      </c>
      <c r="H15" s="61">
        <f t="shared" si="1"/>
        <v>0</v>
      </c>
      <c r="I15" s="1"/>
      <c r="J15" s="1"/>
      <c r="K15" s="1"/>
      <c r="L15" s="1"/>
      <c r="M15" s="1"/>
      <c r="N15" s="1"/>
    </row>
    <row r="16" spans="2:14" ht="13.5" customHeight="1" x14ac:dyDescent="0.25">
      <c r="B16" s="62">
        <v>45</v>
      </c>
      <c r="C16" s="62">
        <v>46</v>
      </c>
      <c r="D16" s="69">
        <v>45.5</v>
      </c>
      <c r="E16" s="61">
        <f>Invullen_1dBklasse!M21</f>
        <v>20000</v>
      </c>
      <c r="F16" s="70">
        <f>E16*Bevolkingsgegevens!L$7</f>
        <v>16228.79735626048</v>
      </c>
      <c r="G16" s="65">
        <f t="shared" si="0"/>
        <v>12.706082179008318</v>
      </c>
      <c r="H16" s="61">
        <f t="shared" si="1"/>
        <v>2062.0443287511857</v>
      </c>
      <c r="I16" s="1"/>
      <c r="J16" s="1"/>
      <c r="K16" s="1"/>
      <c r="L16" s="1"/>
      <c r="M16" s="1"/>
      <c r="N16" s="1"/>
    </row>
    <row r="17" spans="2:14" ht="13.5" customHeight="1" x14ac:dyDescent="0.25">
      <c r="B17" s="62">
        <v>46</v>
      </c>
      <c r="C17" s="62">
        <v>47</v>
      </c>
      <c r="D17" s="69">
        <v>46.5</v>
      </c>
      <c r="E17" s="61">
        <f>Invullen_1dBklasse!M22</f>
        <v>20000</v>
      </c>
      <c r="F17" s="70">
        <f>E17*Bevolkingsgegevens!L$7</f>
        <v>16228.79735626048</v>
      </c>
      <c r="G17" s="65">
        <f t="shared" si="0"/>
        <v>13.809538107750699</v>
      </c>
      <c r="H17" s="61">
        <f t="shared" si="1"/>
        <v>2241.1219553424289</v>
      </c>
      <c r="I17" s="1"/>
      <c r="J17" s="1"/>
      <c r="K17" s="1"/>
      <c r="L17" s="1"/>
      <c r="M17" s="1"/>
      <c r="N17" s="1"/>
    </row>
    <row r="18" spans="2:14" ht="13.5" customHeight="1" x14ac:dyDescent="0.25">
      <c r="B18" s="62">
        <v>47</v>
      </c>
      <c r="C18" s="62">
        <v>48</v>
      </c>
      <c r="D18" s="69">
        <v>47.5</v>
      </c>
      <c r="E18" s="61">
        <f>Invullen_1dBklasse!M23</f>
        <v>20000</v>
      </c>
      <c r="F18" s="70">
        <f>E18*Bevolkingsgegevens!L$7</f>
        <v>16228.79735626048</v>
      </c>
      <c r="G18" s="65">
        <f t="shared" si="0"/>
        <v>14.992365056944404</v>
      </c>
      <c r="H18" s="61">
        <f t="shared" si="1"/>
        <v>2433.0805440023137</v>
      </c>
    </row>
    <row r="19" spans="2:14" ht="13.5" customHeight="1" x14ac:dyDescent="0.25">
      <c r="B19" s="62">
        <v>48</v>
      </c>
      <c r="C19" s="62">
        <v>49</v>
      </c>
      <c r="D19" s="69">
        <v>48.5</v>
      </c>
      <c r="E19" s="61">
        <f>Invullen_1dBklasse!M24</f>
        <v>20000</v>
      </c>
      <c r="F19" s="70">
        <f>E19*Bevolkingsgegevens!L$7</f>
        <v>16228.79735626048</v>
      </c>
      <c r="G19" s="65">
        <f t="shared" si="0"/>
        <v>16.257394810984206</v>
      </c>
      <c r="H19" s="61">
        <f t="shared" si="1"/>
        <v>2638.3796592818335</v>
      </c>
    </row>
    <row r="20" spans="2:14" ht="13.5" customHeight="1" x14ac:dyDescent="0.25">
      <c r="B20" s="62">
        <v>49</v>
      </c>
      <c r="C20" s="62">
        <v>50</v>
      </c>
      <c r="D20" s="69">
        <v>49.5</v>
      </c>
      <c r="E20" s="61">
        <f>Invullen_1dBklasse!M25</f>
        <v>20000</v>
      </c>
      <c r="F20" s="70">
        <f>E20*Bevolkingsgegevens!L$7</f>
        <v>16228.79735626048</v>
      </c>
      <c r="G20" s="65">
        <f t="shared" si="0"/>
        <v>17.607057035630643</v>
      </c>
      <c r="H20" s="61">
        <f t="shared" si="1"/>
        <v>2857.4136067137006</v>
      </c>
    </row>
    <row r="21" spans="2:14" ht="13.5" customHeight="1" x14ac:dyDescent="0.25">
      <c r="B21" s="62">
        <v>50</v>
      </c>
      <c r="C21" s="62">
        <v>51</v>
      </c>
      <c r="D21" s="69">
        <v>50.5</v>
      </c>
      <c r="E21" s="61">
        <f>Invullen_1dBklasse!M26</f>
        <v>17940</v>
      </c>
      <c r="F21" s="70">
        <f>E21*Bevolkingsgegevens!L$7</f>
        <v>14557.231228565652</v>
      </c>
      <c r="G21" s="65">
        <f t="shared" si="0"/>
        <v>19.043286281585981</v>
      </c>
      <c r="H21" s="61">
        <f t="shared" si="1"/>
        <v>2772.1752175281931</v>
      </c>
    </row>
    <row r="22" spans="2:14" ht="13.5" customHeight="1" x14ac:dyDescent="0.25">
      <c r="B22" s="62">
        <v>51</v>
      </c>
      <c r="C22" s="62">
        <v>52</v>
      </c>
      <c r="D22" s="69">
        <v>51.5</v>
      </c>
      <c r="E22" s="61">
        <f>Invullen_1dBklasse!M27</f>
        <v>17940</v>
      </c>
      <c r="F22" s="70">
        <f>E22*Bevolkingsgegevens!L$7</f>
        <v>14557.231228565652</v>
      </c>
      <c r="G22" s="65">
        <f t="shared" si="0"/>
        <v>20.567425573055882</v>
      </c>
      <c r="H22" s="61">
        <f t="shared" si="1"/>
        <v>2994.0476984328889</v>
      </c>
    </row>
    <row r="23" spans="2:14" ht="13.5" customHeight="1" x14ac:dyDescent="0.25">
      <c r="B23" s="62">
        <v>52</v>
      </c>
      <c r="C23" s="62">
        <v>53</v>
      </c>
      <c r="D23" s="69">
        <v>52.5</v>
      </c>
      <c r="E23" s="61">
        <f>Invullen_1dBklasse!M28</f>
        <v>17940</v>
      </c>
      <c r="F23" s="70">
        <f>E23*Bevolkingsgegevens!L$7</f>
        <v>14557.231228565652</v>
      </c>
      <c r="G23" s="65">
        <f t="shared" si="0"/>
        <v>22.180129205878284</v>
      </c>
      <c r="H23" s="61">
        <f t="shared" si="1"/>
        <v>3228.8126952943244</v>
      </c>
    </row>
    <row r="24" spans="2:14" ht="13.5" customHeight="1" x14ac:dyDescent="0.25">
      <c r="B24" s="62">
        <v>53</v>
      </c>
      <c r="C24" s="62">
        <v>54</v>
      </c>
      <c r="D24" s="69">
        <v>53.5</v>
      </c>
      <c r="E24" s="61">
        <f>Invullen_1dBklasse!M29</f>
        <v>17940</v>
      </c>
      <c r="F24" s="70">
        <f>E24*Bevolkingsgegevens!L$7</f>
        <v>14557.231228565652</v>
      </c>
      <c r="G24" s="65">
        <f t="shared" si="0"/>
        <v>23.881267971614129</v>
      </c>
      <c r="H24" s="61">
        <f t="shared" si="1"/>
        <v>3476.451398941259</v>
      </c>
    </row>
    <row r="25" spans="2:14" ht="13.5" customHeight="1" x14ac:dyDescent="0.25">
      <c r="B25" s="62">
        <v>54</v>
      </c>
      <c r="C25" s="62">
        <v>55</v>
      </c>
      <c r="D25" s="69">
        <v>54.5</v>
      </c>
      <c r="E25" s="61">
        <f>Invullen_1dBklasse!M30</f>
        <v>17940</v>
      </c>
      <c r="F25" s="70">
        <f>E25*Bevolkingsgegevens!L$7</f>
        <v>14557.231228565652</v>
      </c>
      <c r="G25" s="65">
        <f t="shared" si="0"/>
        <v>25.669840560791396</v>
      </c>
      <c r="H25" s="61">
        <f t="shared" si="1"/>
        <v>3736.8180464385373</v>
      </c>
    </row>
    <row r="26" spans="2:14" ht="13.5" customHeight="1" x14ac:dyDescent="0.25">
      <c r="B26" s="62">
        <v>55</v>
      </c>
      <c r="C26" s="62">
        <v>56</v>
      </c>
      <c r="D26" s="69">
        <v>55.5</v>
      </c>
      <c r="E26" s="61">
        <f>Invullen_1dBklasse!M31</f>
        <v>14240</v>
      </c>
      <c r="F26" s="70">
        <f>E26*Bevolkingsgegevens!L$7</f>
        <v>11554.903717657462</v>
      </c>
      <c r="G26" s="65">
        <f t="shared" si="0"/>
        <v>27.543895324913265</v>
      </c>
      <c r="H26" s="61">
        <f t="shared" si="1"/>
        <v>3182.6705848860825</v>
      </c>
    </row>
    <row r="27" spans="2:14" ht="13.5" customHeight="1" x14ac:dyDescent="0.25">
      <c r="B27" s="62">
        <v>56</v>
      </c>
      <c r="C27" s="62">
        <v>57</v>
      </c>
      <c r="D27" s="69">
        <v>56.5</v>
      </c>
      <c r="E27" s="61">
        <f>Invullen_1dBklasse!M32</f>
        <v>14240</v>
      </c>
      <c r="F27" s="70">
        <f>E27*Bevolkingsgegevens!L$7</f>
        <v>11554.903717657462</v>
      </c>
      <c r="G27" s="65">
        <f t="shared" si="0"/>
        <v>29.500466832658883</v>
      </c>
      <c r="H27" s="61">
        <f t="shared" si="1"/>
        <v>3408.7505387732076</v>
      </c>
    </row>
    <row r="28" spans="2:14" ht="13.5" customHeight="1" x14ac:dyDescent="0.25">
      <c r="B28" s="62">
        <v>57</v>
      </c>
      <c r="C28" s="62">
        <v>58</v>
      </c>
      <c r="D28" s="69">
        <v>57.5</v>
      </c>
      <c r="E28" s="61">
        <f>Invullen_1dBklasse!M33</f>
        <v>14240</v>
      </c>
      <c r="F28" s="70">
        <f>E28*Bevolkingsgegevens!L$7</f>
        <v>11554.903717657462</v>
      </c>
      <c r="G28" s="65">
        <f>((EXP(-6.2952+0.096*57))/(1+(EXP(-6.2952+0.096*57))))*100</f>
        <v>30.508481123252611</v>
      </c>
      <c r="H28" s="61">
        <f t="shared" si="1"/>
        <v>3525.225619511541</v>
      </c>
    </row>
    <row r="29" spans="2:14" ht="13.5" customHeight="1" x14ac:dyDescent="0.25">
      <c r="B29" s="62">
        <v>58</v>
      </c>
      <c r="C29" s="62">
        <v>59</v>
      </c>
      <c r="D29" s="69">
        <v>58.5</v>
      </c>
      <c r="E29" s="61">
        <f>Invullen_1dBklasse!M34</f>
        <v>14240</v>
      </c>
      <c r="F29" s="70">
        <f>E29*Bevolkingsgegevens!L$7</f>
        <v>11554.903717657462</v>
      </c>
      <c r="G29" s="65">
        <f t="shared" ref="G29:G40" si="2">((EXP(-6.2952+0.096*57))/(1+(EXP(-6.2952+0.096*57))))*100</f>
        <v>30.508481123252611</v>
      </c>
      <c r="H29" s="61">
        <f t="shared" si="1"/>
        <v>3525.225619511541</v>
      </c>
    </row>
    <row r="30" spans="2:14" ht="13.5" customHeight="1" x14ac:dyDescent="0.25">
      <c r="B30" s="62">
        <v>59</v>
      </c>
      <c r="C30" s="62">
        <v>60</v>
      </c>
      <c r="D30" s="69">
        <v>59.5</v>
      </c>
      <c r="E30" s="61">
        <f>Invullen_1dBklasse!M35</f>
        <v>14240</v>
      </c>
      <c r="F30" s="70">
        <f>E30*Bevolkingsgegevens!L$7</f>
        <v>11554.903717657462</v>
      </c>
      <c r="G30" s="65">
        <f t="shared" si="2"/>
        <v>30.508481123252611</v>
      </c>
      <c r="H30" s="61">
        <f t="shared" si="1"/>
        <v>3525.225619511541</v>
      </c>
    </row>
    <row r="31" spans="2:14" ht="13.5" customHeight="1" x14ac:dyDescent="0.25">
      <c r="B31" s="62">
        <v>60</v>
      </c>
      <c r="C31" s="62">
        <v>61</v>
      </c>
      <c r="D31" s="69">
        <v>60.5</v>
      </c>
      <c r="E31" s="61">
        <f>Invullen_1dBklasse!M36</f>
        <v>6220</v>
      </c>
      <c r="F31" s="70">
        <f>E31*Bevolkingsgegevens!L$7</f>
        <v>5047.1559777970097</v>
      </c>
      <c r="G31" s="65">
        <f t="shared" si="2"/>
        <v>30.508481123252611</v>
      </c>
      <c r="H31" s="61">
        <f t="shared" si="1"/>
        <v>1539.8106287473165</v>
      </c>
    </row>
    <row r="32" spans="2:14" ht="13.5" customHeight="1" x14ac:dyDescent="0.25">
      <c r="B32" s="62">
        <v>61</v>
      </c>
      <c r="C32" s="62">
        <v>62</v>
      </c>
      <c r="D32" s="69">
        <v>61.5</v>
      </c>
      <c r="E32" s="61">
        <f>Invullen_1dBklasse!M37</f>
        <v>6220</v>
      </c>
      <c r="F32" s="70">
        <f>E32*Bevolkingsgegevens!L$7</f>
        <v>5047.1559777970097</v>
      </c>
      <c r="G32" s="65">
        <f t="shared" si="2"/>
        <v>30.508481123252611</v>
      </c>
      <c r="H32" s="61">
        <f t="shared" si="1"/>
        <v>1539.8106287473165</v>
      </c>
    </row>
    <row r="33" spans="2:8" ht="13.5" customHeight="1" x14ac:dyDescent="0.25">
      <c r="B33" s="62">
        <v>62</v>
      </c>
      <c r="C33" s="62">
        <v>63</v>
      </c>
      <c r="D33" s="69">
        <v>62.5</v>
      </c>
      <c r="E33" s="61">
        <f>Invullen_1dBklasse!M38</f>
        <v>6220</v>
      </c>
      <c r="F33" s="70">
        <f>E33*Bevolkingsgegevens!L$7</f>
        <v>5047.1559777970097</v>
      </c>
      <c r="G33" s="65">
        <f t="shared" si="2"/>
        <v>30.508481123252611</v>
      </c>
      <c r="H33" s="61">
        <f t="shared" si="1"/>
        <v>1539.8106287473165</v>
      </c>
    </row>
    <row r="34" spans="2:8" ht="13.5" customHeight="1" x14ac:dyDescent="0.25">
      <c r="B34" s="62">
        <v>63</v>
      </c>
      <c r="C34" s="62">
        <v>64</v>
      </c>
      <c r="D34" s="69">
        <v>63.5</v>
      </c>
      <c r="E34" s="61">
        <f>Invullen_1dBklasse!M39</f>
        <v>0</v>
      </c>
      <c r="F34" s="70">
        <f>E34*Bevolkingsgegevens!L$7</f>
        <v>0</v>
      </c>
      <c r="G34" s="65">
        <f t="shared" si="2"/>
        <v>30.508481123252611</v>
      </c>
      <c r="H34" s="61">
        <f t="shared" si="1"/>
        <v>0</v>
      </c>
    </row>
    <row r="35" spans="2:8" ht="13.5" customHeight="1" x14ac:dyDescent="0.25">
      <c r="B35" s="62">
        <v>64</v>
      </c>
      <c r="C35" s="62">
        <v>65</v>
      </c>
      <c r="D35" s="69">
        <v>64.5</v>
      </c>
      <c r="E35" s="61">
        <f>Invullen_1dBklasse!M40</f>
        <v>0</v>
      </c>
      <c r="F35" s="70">
        <f>E35*Bevolkingsgegevens!L$7</f>
        <v>0</v>
      </c>
      <c r="G35" s="65">
        <f t="shared" si="2"/>
        <v>30.508481123252611</v>
      </c>
      <c r="H35" s="61">
        <f t="shared" si="1"/>
        <v>0</v>
      </c>
    </row>
    <row r="36" spans="2:8" ht="13.5" customHeight="1" x14ac:dyDescent="0.25">
      <c r="B36" s="62">
        <v>65</v>
      </c>
      <c r="C36" s="62">
        <v>66</v>
      </c>
      <c r="D36" s="69">
        <v>65.5</v>
      </c>
      <c r="E36" s="61">
        <f>Invullen_1dBklasse!M41</f>
        <v>0</v>
      </c>
      <c r="F36" s="70">
        <f>E36*Bevolkingsgegevens!L$7</f>
        <v>0</v>
      </c>
      <c r="G36" s="65">
        <f t="shared" si="2"/>
        <v>30.508481123252611</v>
      </c>
      <c r="H36" s="61">
        <f t="shared" si="1"/>
        <v>0</v>
      </c>
    </row>
    <row r="37" spans="2:8" ht="13.5" customHeight="1" x14ac:dyDescent="0.25">
      <c r="B37" s="62">
        <v>66</v>
      </c>
      <c r="C37" s="62">
        <v>67</v>
      </c>
      <c r="D37" s="69">
        <v>66.5</v>
      </c>
      <c r="E37" s="61">
        <f>Invullen_1dBklasse!M42</f>
        <v>0</v>
      </c>
      <c r="F37" s="70">
        <f>E37*Bevolkingsgegevens!L$7</f>
        <v>0</v>
      </c>
      <c r="G37" s="65">
        <f t="shared" si="2"/>
        <v>30.508481123252611</v>
      </c>
      <c r="H37" s="61">
        <f t="shared" si="1"/>
        <v>0</v>
      </c>
    </row>
    <row r="38" spans="2:8" ht="13.5" customHeight="1" x14ac:dyDescent="0.25">
      <c r="B38" s="62">
        <v>67</v>
      </c>
      <c r="C38" s="62">
        <v>68</v>
      </c>
      <c r="D38" s="69">
        <v>67.5</v>
      </c>
      <c r="E38" s="61">
        <f>Invullen_1dBklasse!M43</f>
        <v>0</v>
      </c>
      <c r="F38" s="70">
        <f>E38*Bevolkingsgegevens!L$7</f>
        <v>0</v>
      </c>
      <c r="G38" s="65">
        <f t="shared" si="2"/>
        <v>30.508481123252611</v>
      </c>
      <c r="H38" s="61">
        <f t="shared" si="1"/>
        <v>0</v>
      </c>
    </row>
    <row r="39" spans="2:8" ht="13.5" customHeight="1" x14ac:dyDescent="0.25">
      <c r="B39" s="62">
        <v>68</v>
      </c>
      <c r="C39" s="62">
        <v>69</v>
      </c>
      <c r="D39" s="69">
        <v>68.5</v>
      </c>
      <c r="E39" s="61">
        <f>Invullen_1dBklasse!M44</f>
        <v>0</v>
      </c>
      <c r="F39" s="70">
        <f>E39*Bevolkingsgegevens!L$7</f>
        <v>0</v>
      </c>
      <c r="G39" s="65">
        <f t="shared" si="2"/>
        <v>30.508481123252611</v>
      </c>
      <c r="H39" s="61">
        <f t="shared" si="1"/>
        <v>0</v>
      </c>
    </row>
    <row r="40" spans="2:8" ht="13.5" customHeight="1" x14ac:dyDescent="0.25">
      <c r="B40" s="62">
        <v>69</v>
      </c>
      <c r="C40" s="62"/>
      <c r="D40" s="69">
        <v>69.5</v>
      </c>
      <c r="E40" s="61">
        <f>Invullen_1dBklasse!M45</f>
        <v>0</v>
      </c>
      <c r="F40" s="70">
        <f>E40*Bevolkingsgegevens!L$7</f>
        <v>0</v>
      </c>
      <c r="G40" s="65">
        <f t="shared" si="2"/>
        <v>30.508481123252611</v>
      </c>
      <c r="H40" s="61">
        <f t="shared" si="1"/>
        <v>0</v>
      </c>
    </row>
    <row r="41" spans="2:8" ht="13.5" customHeight="1" x14ac:dyDescent="0.25">
      <c r="B41" s="68" t="s">
        <v>113</v>
      </c>
      <c r="C41" s="62"/>
      <c r="D41" s="62"/>
      <c r="E41" s="67">
        <f>SUM(E5:E40)</f>
        <v>360000</v>
      </c>
      <c r="F41" s="67">
        <f>SUM(F5:F40)</f>
        <v>292118.35241268855</v>
      </c>
      <c r="G41" s="62"/>
      <c r="H41" s="67">
        <f>SUM(H5:H40)</f>
        <v>50226.875019162529</v>
      </c>
    </row>
  </sheetData>
  <mergeCells count="9">
    <mergeCell ref="K6:M6"/>
    <mergeCell ref="K7:M7"/>
    <mergeCell ref="K4:M4"/>
    <mergeCell ref="K5:M5"/>
    <mergeCell ref="B3:D3"/>
    <mergeCell ref="E3:E4"/>
    <mergeCell ref="F3:F4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Samenvatting_resultaten</vt:lpstr>
      <vt:lpstr>Invullen_1dBklasse</vt:lpstr>
      <vt:lpstr>Wegverkeer hinder</vt:lpstr>
      <vt:lpstr>Wegverkeer slaapverstoring</vt:lpstr>
      <vt:lpstr>Wegverkeer IHZ</vt:lpstr>
      <vt:lpstr>Railverkeer hinder</vt:lpstr>
      <vt:lpstr>Railverkeer slaapverstoring</vt:lpstr>
      <vt:lpstr>Hinder vliegverkeer</vt:lpstr>
      <vt:lpstr>Slaapverstoring vliegverkeer</vt:lpstr>
      <vt:lpstr>Bevolkingsgegevens</vt:lpstr>
      <vt:lpstr>coronaire hartziekten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 van Kempen</dc:creator>
  <cp:lastModifiedBy>Arnaud Kok</cp:lastModifiedBy>
  <dcterms:created xsi:type="dcterms:W3CDTF">2024-01-23T12:05:40Z</dcterms:created>
  <dcterms:modified xsi:type="dcterms:W3CDTF">2024-03-12T15:39:37Z</dcterms:modified>
</cp:coreProperties>
</file>