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ce" sheetId="1" r:id="rId4"/>
    <sheet state="visible" name="Germany" sheetId="2" r:id="rId5"/>
    <sheet state="visible" name="Spain" sheetId="3" r:id="rId6"/>
    <sheet state="visible" name="Italy" sheetId="4" r:id="rId7"/>
    <sheet state="visible" name="India" sheetId="5" r:id="rId8"/>
    <sheet state="visible" name="UK" sheetId="6" r:id="rId9"/>
  </sheets>
  <definedNames/>
  <calcPr/>
</workbook>
</file>

<file path=xl/sharedStrings.xml><?xml version="1.0" encoding="utf-8"?>
<sst xmlns="http://schemas.openxmlformats.org/spreadsheetml/2006/main" count="222" uniqueCount="100">
  <si>
    <t>Coupon Bond Prices of Various Treasury Securities for Settlement on December 12, 2023</t>
  </si>
  <si>
    <t>Present Date</t>
  </si>
  <si>
    <t>Issue Date</t>
  </si>
  <si>
    <t>Settlement Date</t>
  </si>
  <si>
    <t>Maturity Date</t>
  </si>
  <si>
    <t>Maturity</t>
  </si>
  <si>
    <t>Coupon</t>
  </si>
  <si>
    <t>Bid Clean</t>
  </si>
  <si>
    <t>Ask Clean</t>
  </si>
  <si>
    <t>Days Accrued</t>
  </si>
  <si>
    <t>YTM</t>
  </si>
  <si>
    <t>Basis</t>
  </si>
  <si>
    <t>Semi-Annual Coupon Rate</t>
  </si>
  <si>
    <t>Accrued Interest</t>
  </si>
  <si>
    <t xml:space="preserve">Ask Clean </t>
  </si>
  <si>
    <t>Bid Dirty</t>
  </si>
  <si>
    <t>Ask Dirty</t>
  </si>
  <si>
    <t>Cash Flow Schedule of each Coupon Bond</t>
  </si>
  <si>
    <t>A - Inverse Matrix</t>
  </si>
  <si>
    <t>Zero Price</t>
  </si>
  <si>
    <t xml:space="preserve">Zero Coupon Yield </t>
  </si>
  <si>
    <t xml:space="preserve">Coupon Bond Prices </t>
  </si>
  <si>
    <t>Semi Annual Coupon Rate</t>
  </si>
  <si>
    <t>Bid Clean (Decimal)</t>
  </si>
  <si>
    <t>Ask Clean (Decimal)</t>
  </si>
  <si>
    <t>Benchmarks</t>
  </si>
  <si>
    <t>Price Source: REFINITIV</t>
  </si>
  <si>
    <t>RIC</t>
  </si>
  <si>
    <t>Cpn</t>
  </si>
  <si>
    <t>Mat Date</t>
  </si>
  <si>
    <t>Bid</t>
  </si>
  <si>
    <t>Ask</t>
  </si>
  <si>
    <t>Net Chng</t>
  </si>
  <si>
    <t>B Yield</t>
  </si>
  <si>
    <t>A Yield</t>
  </si>
  <si>
    <t>Yld Net Chng</t>
  </si>
  <si>
    <t>Bmk Sp</t>
  </si>
  <si>
    <t>Sw Sp</t>
  </si>
  <si>
    <t>ASW Sp</t>
  </si>
  <si>
    <t>Time</t>
  </si>
  <si>
    <t>Bid (Dirty)</t>
  </si>
  <si>
    <t>Ask (Dirty)</t>
  </si>
  <si>
    <t>Tenure Days</t>
  </si>
  <si>
    <t>ES1MT=RR</t>
  </si>
  <si>
    <t>ES3MT=RR</t>
  </si>
  <si>
    <t>ES6MT=RR</t>
  </si>
  <si>
    <t>ES9MT=RR</t>
  </si>
  <si>
    <t>ES1YT=RR</t>
  </si>
  <si>
    <t>ES2YT=RR</t>
  </si>
  <si>
    <t>ES3YT=RR</t>
  </si>
  <si>
    <t>ES4YT=RR</t>
  </si>
  <si>
    <t>ES5YT=RR</t>
  </si>
  <si>
    <t>ES6YT=RR</t>
  </si>
  <si>
    <t>ES7YT=RR</t>
  </si>
  <si>
    <t>ES8YT=RR</t>
  </si>
  <si>
    <t>ES9YT=RR</t>
  </si>
  <si>
    <t>ES10YT=RR</t>
  </si>
  <si>
    <t>ES15YT=RR</t>
  </si>
  <si>
    <t>ES20YT=RR</t>
  </si>
  <si>
    <t>ES25YT=RR</t>
  </si>
  <si>
    <t>ES30YT=RR</t>
  </si>
  <si>
    <t>Cash Flow Schedule of each coupon bond</t>
  </si>
  <si>
    <t>Inverse Matrix</t>
  </si>
  <si>
    <t>31-05-2025</t>
  </si>
  <si>
    <t>31-10-2026</t>
  </si>
  <si>
    <t>31-10-2027</t>
  </si>
  <si>
    <t>31-10-2028</t>
  </si>
  <si>
    <t>31-10-2029</t>
  </si>
  <si>
    <t>31-10-2030</t>
  </si>
  <si>
    <t>31-10-2031</t>
  </si>
  <si>
    <t>31-10-2032</t>
  </si>
  <si>
    <t>Date</t>
  </si>
  <si>
    <t>Tenor (in days)</t>
  </si>
  <si>
    <t>Semi Annual coupon rate</t>
  </si>
  <si>
    <t>Cashflow schedule of each coupon Bond</t>
  </si>
  <si>
    <t>Zero Coupon Yield</t>
  </si>
  <si>
    <t>Tenor Days</t>
  </si>
  <si>
    <t>United Kingdom</t>
  </si>
  <si>
    <t>Bid (Clean)</t>
  </si>
  <si>
    <t>Ask (Clean)</t>
  </si>
  <si>
    <t>GB1MT=RR</t>
  </si>
  <si>
    <t>GB3MT=RR</t>
  </si>
  <si>
    <t>GB6MT=RR</t>
  </si>
  <si>
    <t>GB1YT=RR</t>
  </si>
  <si>
    <t>GB2YT=RR</t>
  </si>
  <si>
    <t>GB3YT=RR</t>
  </si>
  <si>
    <t>GB4YT=RR</t>
  </si>
  <si>
    <t>GB5YT=RR</t>
  </si>
  <si>
    <t>GB6YT=RR</t>
  </si>
  <si>
    <t>GB7YT=RR</t>
  </si>
  <si>
    <t>GB8YT=RR</t>
  </si>
  <si>
    <t>GB9YT=RR</t>
  </si>
  <si>
    <t>GB10YT=RR</t>
  </si>
  <si>
    <t>GB12YT=RR</t>
  </si>
  <si>
    <t>GB15YT=RR</t>
  </si>
  <si>
    <t>GB20YT=RR</t>
  </si>
  <si>
    <t>GB25YT=RR</t>
  </si>
  <si>
    <t>GB30YT=RR</t>
  </si>
  <si>
    <t>GB40YT=RR</t>
  </si>
  <si>
    <t>GB50YT=RR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</si>
</sst>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0.000%"/>
    <numFmt numFmtId="165" formatCode="0.000"/>
    <numFmt numFmtId="166" formatCode="_ * #,##0.00000_ ;_ * \-#,##0.00000_ ;_ * &quot;-&quot;??_ ;_ @_ "/>
    <numFmt numFmtId="167" formatCode="0.0000%"/>
    <numFmt numFmtId="168" formatCode="0.0000"/>
    <numFmt numFmtId="169" formatCode="d-mmm-yyyy"/>
    <numFmt numFmtId="170" formatCode="dd-mmm-yyyy"/>
    <numFmt numFmtId="171" formatCode="d-mmmm-yyyy"/>
    <numFmt numFmtId="172" formatCode="mm-dd-yyyy"/>
    <numFmt numFmtId="173" formatCode="m/d/yyyy"/>
    <numFmt numFmtId="174" formatCode="M/d/yyyy"/>
    <numFmt numFmtId="175" formatCode="0.00000"/>
  </numFmts>
  <fonts count="34">
    <font>
      <sz val="10.0"/>
      <color rgb="FF000000"/>
      <name val="Arial"/>
      <scheme val="minor"/>
    </font>
    <font>
      <sz val="10.0"/>
      <color theme="1"/>
      <name val="Georgia"/>
    </font>
    <font>
      <b/>
      <sz val="10.0"/>
      <color theme="1"/>
      <name val="Georgia"/>
    </font>
    <font/>
    <font>
      <b/>
      <sz val="11.0"/>
      <color theme="1"/>
      <name val="Georgia"/>
    </font>
    <font>
      <sz val="11.0"/>
      <color theme="1"/>
      <name val="Georgia"/>
    </font>
    <font>
      <color theme="1"/>
      <name val="Arial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b/>
      <sz val="11.0"/>
      <color rgb="FF314C59"/>
      <name val="Calibri"/>
    </font>
    <font>
      <sz val="11.0"/>
      <color theme="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color rgb="FF314C59"/>
      <name val="Arial"/>
    </font>
    <font>
      <b/>
      <color rgb="FF314C59"/>
      <name val="Arial"/>
    </font>
    <font>
      <sz val="11.0"/>
      <color rgb="FF314C59"/>
      <name val="Calibri"/>
    </font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Tahoma"/>
    </font>
    <font>
      <b/>
      <color theme="1"/>
      <name val="Arial"/>
      <scheme val="minor"/>
    </font>
    <font>
      <b/>
      <sz val="10.0"/>
      <color rgb="FF434343"/>
      <name val="Arial"/>
    </font>
    <font>
      <b/>
      <sz val="10.0"/>
      <color rgb="FF000000"/>
      <name val="Arial"/>
      <scheme val="minor"/>
    </font>
    <font>
      <sz val="10.0"/>
      <color rgb="FFE69138"/>
      <name val="Arial"/>
    </font>
    <font>
      <sz val="10.0"/>
      <color rgb="FF434343"/>
      <name val="Arial"/>
    </font>
    <font>
      <b/>
      <sz val="12.0"/>
      <color theme="1"/>
      <name val="Arial"/>
      <scheme val="minor"/>
    </font>
    <font>
      <sz val="9.0"/>
      <color rgb="FF000000"/>
      <name val="&quot;Google Sans Mono&quot;"/>
    </font>
    <font>
      <sz val="9.0"/>
      <color rgb="FF1155CC"/>
      <name val="&quot;Google Sans Mono&quot;"/>
    </font>
    <font>
      <sz val="11.0"/>
      <color rgb="FFFFFFFF"/>
      <name val="Calibri"/>
    </font>
    <font>
      <color rgb="FFFFFFFF"/>
      <name val="Arial"/>
      <scheme val="minor"/>
    </font>
    <font>
      <sz val="11.0"/>
      <color rgb="FFF3F3F3"/>
      <name val="Calibri"/>
    </font>
    <font>
      <sz val="10.0"/>
      <color rgb="FFF3F3F3"/>
      <name val="Calibri"/>
    </font>
    <font>
      <sz val="10.0"/>
      <color theme="1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7030A0"/>
        <bgColor rgb="FF7030A0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</fills>
  <borders count="4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4" fillId="3" fontId="2" numFmtId="0" xfId="0" applyAlignment="1" applyBorder="1" applyFill="1" applyFont="1">
      <alignment readingOrder="0"/>
    </xf>
    <xf borderId="4" fillId="3" fontId="2" numFmtId="0" xfId="0" applyBorder="1" applyFont="1"/>
    <xf borderId="4" fillId="0" fontId="2" numFmtId="0" xfId="0" applyBorder="1" applyFont="1"/>
    <xf borderId="4" fillId="0" fontId="1" numFmtId="14" xfId="0" applyBorder="1" applyFont="1" applyNumberFormat="1"/>
    <xf borderId="4" fillId="3" fontId="2" numFmtId="0" xfId="0" applyAlignment="1" applyBorder="1" applyFont="1">
      <alignment horizontal="center"/>
    </xf>
    <xf borderId="4" fillId="3" fontId="4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0" fontId="2" numFmtId="0" xfId="0" applyFont="1"/>
    <xf borderId="4" fillId="0" fontId="1" numFmtId="2" xfId="0" applyBorder="1" applyFont="1" applyNumberFormat="1"/>
    <xf borderId="4" fillId="0" fontId="1" numFmtId="10" xfId="0" applyBorder="1" applyFont="1" applyNumberFormat="1"/>
    <xf borderId="4" fillId="0" fontId="5" numFmtId="0" xfId="0" applyAlignment="1" applyBorder="1" applyFont="1">
      <alignment readingOrder="0"/>
    </xf>
    <xf borderId="4" fillId="0" fontId="1" numFmtId="164" xfId="0" applyBorder="1" applyFont="1" applyNumberFormat="1"/>
    <xf borderId="4" fillId="0" fontId="1" numFmtId="0" xfId="0" applyAlignment="1" applyBorder="1" applyFont="1">
      <alignment readingOrder="0"/>
    </xf>
    <xf borderId="4" fillId="0" fontId="1" numFmtId="4" xfId="0" applyBorder="1" applyFont="1" applyNumberFormat="1"/>
    <xf borderId="4" fillId="3" fontId="2" numFmtId="14" xfId="0" applyAlignment="1" applyBorder="1" applyFont="1" applyNumberFormat="1">
      <alignment horizontal="center"/>
    </xf>
    <xf borderId="4" fillId="0" fontId="1" numFmtId="165" xfId="0" applyBorder="1" applyFont="1" applyNumberFormat="1"/>
    <xf borderId="4" fillId="0" fontId="1" numFmtId="166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Font="1"/>
    <xf borderId="5" fillId="4" fontId="7" numFmtId="14" xfId="0" applyBorder="1" applyFill="1" applyFont="1" applyNumberFormat="1"/>
    <xf borderId="6" fillId="4" fontId="7" numFmtId="14" xfId="0" applyBorder="1" applyFont="1" applyNumberFormat="1"/>
    <xf borderId="7" fillId="4" fontId="7" numFmtId="0" xfId="0" applyBorder="1" applyFont="1"/>
    <xf borderId="8" fillId="4" fontId="7" numFmtId="0" xfId="0" applyAlignment="1" applyBorder="1" applyFont="1">
      <alignment horizontal="center"/>
    </xf>
    <xf borderId="9" fillId="4" fontId="7" numFmtId="0" xfId="0" applyAlignment="1" applyBorder="1" applyFont="1">
      <alignment horizontal="center"/>
    </xf>
    <xf borderId="10" fillId="4" fontId="7" numFmtId="0" xfId="0" applyAlignment="1" applyBorder="1" applyFont="1">
      <alignment horizontal="center"/>
    </xf>
    <xf borderId="11" fillId="5" fontId="8" numFmtId="0" xfId="0" applyAlignment="1" applyBorder="1" applyFill="1" applyFont="1">
      <alignment horizontal="center"/>
    </xf>
    <xf borderId="9" fillId="6" fontId="8" numFmtId="0" xfId="0" applyAlignment="1" applyBorder="1" applyFill="1" applyFont="1">
      <alignment horizontal="center"/>
    </xf>
    <xf borderId="9" fillId="5" fontId="8" numFmtId="0" xfId="0" applyAlignment="1" applyBorder="1" applyFont="1">
      <alignment horizontal="center"/>
    </xf>
    <xf borderId="9" fillId="5" fontId="9" numFmtId="0" xfId="0" applyAlignment="1" applyBorder="1" applyFont="1">
      <alignment horizontal="center" readingOrder="0"/>
    </xf>
    <xf borderId="12" fillId="7" fontId="8" numFmtId="0" xfId="0" applyAlignment="1" applyBorder="1" applyFill="1" applyFont="1">
      <alignment horizontal="center"/>
    </xf>
    <xf borderId="7" fillId="7" fontId="8" numFmtId="0" xfId="0" applyAlignment="1" applyBorder="1" applyFont="1">
      <alignment horizontal="center"/>
    </xf>
    <xf borderId="13" fillId="4" fontId="10" numFmtId="14" xfId="0" applyAlignment="1" applyBorder="1" applyFont="1" applyNumberFormat="1">
      <alignment horizontal="center"/>
    </xf>
    <xf borderId="14" fillId="4" fontId="10" numFmtId="167" xfId="0" applyAlignment="1" applyBorder="1" applyFont="1" applyNumberFormat="1">
      <alignment horizontal="center"/>
    </xf>
    <xf borderId="14" fillId="4" fontId="10" numFmtId="0" xfId="0" applyAlignment="1" applyBorder="1" applyFont="1">
      <alignment horizontal="center"/>
    </xf>
    <xf borderId="15" fillId="4" fontId="10" numFmtId="0" xfId="0" applyAlignment="1" applyBorder="1" applyFont="1">
      <alignment horizontal="center"/>
    </xf>
    <xf borderId="13" fillId="5" fontId="11" numFmtId="0" xfId="0" applyBorder="1" applyFont="1"/>
    <xf borderId="14" fillId="6" fontId="11" numFmtId="167" xfId="0" applyBorder="1" applyFont="1" applyNumberFormat="1"/>
    <xf borderId="14" fillId="5" fontId="11" numFmtId="0" xfId="0" applyBorder="1" applyFont="1"/>
    <xf borderId="14" fillId="5" fontId="11" numFmtId="167" xfId="0" applyBorder="1" applyFont="1" applyNumberFormat="1"/>
    <xf borderId="14" fillId="5" fontId="11" numFmtId="168" xfId="0" applyBorder="1" applyFont="1" applyNumberFormat="1"/>
    <xf borderId="16" fillId="7" fontId="8" numFmtId="168" xfId="0" applyBorder="1" applyFont="1" applyNumberFormat="1"/>
    <xf borderId="17" fillId="7" fontId="8" numFmtId="168" xfId="0" applyBorder="1" applyFont="1" applyNumberFormat="1"/>
    <xf borderId="18" fillId="7" fontId="8" numFmtId="168" xfId="0" applyBorder="1" applyFont="1" applyNumberFormat="1"/>
    <xf borderId="19" fillId="7" fontId="8" numFmtId="168" xfId="0" applyBorder="1" applyFont="1" applyNumberFormat="1"/>
    <xf borderId="11" fillId="4" fontId="10" numFmtId="14" xfId="0" applyAlignment="1" applyBorder="1" applyFont="1" applyNumberFormat="1">
      <alignment horizontal="center"/>
    </xf>
    <xf borderId="20" fillId="4" fontId="10" numFmtId="167" xfId="0" applyAlignment="1" applyBorder="1" applyFont="1" applyNumberFormat="1">
      <alignment horizontal="center"/>
    </xf>
    <xf borderId="20" fillId="4" fontId="10" numFmtId="0" xfId="0" applyAlignment="1" applyBorder="1" applyFont="1">
      <alignment horizontal="center"/>
    </xf>
    <xf borderId="21" fillId="4" fontId="10" numFmtId="0" xfId="0" applyAlignment="1" applyBorder="1" applyFont="1">
      <alignment horizontal="center"/>
    </xf>
    <xf borderId="11" fillId="5" fontId="11" numFmtId="0" xfId="0" applyBorder="1" applyFont="1"/>
    <xf borderId="20" fillId="6" fontId="11" numFmtId="167" xfId="0" applyBorder="1" applyFont="1" applyNumberFormat="1"/>
    <xf borderId="20" fillId="5" fontId="11" numFmtId="0" xfId="0" applyBorder="1" applyFont="1"/>
    <xf borderId="20" fillId="5" fontId="11" numFmtId="167" xfId="0" applyBorder="1" applyFont="1" applyNumberFormat="1"/>
    <xf borderId="20" fillId="5" fontId="11" numFmtId="168" xfId="0" applyBorder="1" applyFont="1" applyNumberFormat="1"/>
    <xf borderId="22" fillId="7" fontId="8" numFmtId="168" xfId="0" applyBorder="1" applyFont="1" applyNumberFormat="1"/>
    <xf borderId="23" fillId="7" fontId="8" numFmtId="168" xfId="0" applyBorder="1" applyFont="1" applyNumberFormat="1"/>
    <xf borderId="14" fillId="6" fontId="8" numFmtId="0" xfId="0" applyBorder="1" applyFont="1"/>
    <xf borderId="14" fillId="6" fontId="11" numFmtId="0" xfId="0" applyBorder="1" applyFont="1"/>
    <xf borderId="4" fillId="7" fontId="8" numFmtId="0" xfId="0" applyAlignment="1" applyBorder="1" applyFont="1">
      <alignment horizontal="center"/>
    </xf>
    <xf borderId="4" fillId="7" fontId="8" numFmtId="14" xfId="0" applyAlignment="1" applyBorder="1" applyFont="1" applyNumberFormat="1">
      <alignment horizontal="center"/>
    </xf>
    <xf borderId="4" fillId="5" fontId="11" numFmtId="168" xfId="0" applyBorder="1" applyFont="1" applyNumberFormat="1"/>
    <xf borderId="24" fillId="8" fontId="11" numFmtId="14" xfId="0" applyBorder="1" applyFill="1" applyFont="1" applyNumberFormat="1"/>
    <xf borderId="25" fillId="4" fontId="7" numFmtId="14" xfId="0" applyAlignment="1" applyBorder="1" applyFont="1" applyNumberFormat="1">
      <alignment horizontal="center"/>
    </xf>
    <xf borderId="26" fillId="4" fontId="7" numFmtId="14" xfId="0" applyAlignment="1" applyBorder="1" applyFont="1" applyNumberFormat="1">
      <alignment horizontal="center"/>
    </xf>
    <xf borderId="27" fillId="8" fontId="11" numFmtId="14" xfId="0" applyBorder="1" applyFont="1" applyNumberFormat="1"/>
    <xf borderId="4" fillId="8" fontId="11" numFmtId="14" xfId="0" applyBorder="1" applyFont="1" applyNumberFormat="1"/>
    <xf borderId="28" fillId="5" fontId="11" numFmtId="2" xfId="0" applyBorder="1" applyFont="1" applyNumberFormat="1"/>
    <xf borderId="29" fillId="5" fontId="11" numFmtId="10" xfId="0" applyBorder="1" applyFont="1" applyNumberFormat="1"/>
    <xf borderId="18" fillId="4" fontId="10" numFmtId="2" xfId="0" applyAlignment="1" applyBorder="1" applyFont="1" applyNumberFormat="1">
      <alignment horizontal="center"/>
    </xf>
    <xf borderId="19" fillId="4" fontId="10" numFmtId="10" xfId="0" applyAlignment="1" applyBorder="1" applyFont="1" applyNumberFormat="1">
      <alignment horizontal="center"/>
    </xf>
    <xf borderId="30" fillId="5" fontId="11" numFmtId="2" xfId="0" applyBorder="1" applyFont="1" applyNumberFormat="1"/>
    <xf borderId="31" fillId="5" fontId="11" numFmtId="168" xfId="0" applyBorder="1" applyFont="1" applyNumberFormat="1"/>
    <xf borderId="32" fillId="5" fontId="11" numFmtId="10" xfId="0" applyBorder="1" applyFont="1" applyNumberFormat="1"/>
    <xf borderId="22" fillId="4" fontId="10" numFmtId="2" xfId="0" applyAlignment="1" applyBorder="1" applyFont="1" applyNumberFormat="1">
      <alignment horizontal="center"/>
    </xf>
    <xf borderId="23" fillId="4" fontId="10" numFmtId="10" xfId="0" applyAlignment="1" applyBorder="1" applyFont="1" applyNumberFormat="1">
      <alignment horizontal="center"/>
    </xf>
    <xf borderId="0" fillId="9" fontId="12" numFmtId="0" xfId="0" applyAlignment="1" applyFill="1" applyFont="1">
      <alignment readingOrder="0" shrinkToFit="0" vertical="bottom" wrapText="0"/>
    </xf>
    <xf borderId="0" fillId="9" fontId="12" numFmtId="0" xfId="0" applyAlignment="1" applyFont="1">
      <alignment shrinkToFit="0" vertical="bottom" wrapText="0"/>
    </xf>
    <xf borderId="0" fillId="0" fontId="13" numFmtId="14" xfId="0" applyAlignment="1" applyFont="1" applyNumberFormat="1">
      <alignment readingOrder="0" shrinkToFit="0" vertical="bottom" wrapText="0"/>
    </xf>
    <xf borderId="0" fillId="0" fontId="13" numFmtId="14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4" fillId="10" fontId="13" numFmtId="0" xfId="0" applyAlignment="1" applyBorder="1" applyFill="1" applyFont="1">
      <alignment horizontal="left" readingOrder="0" shrinkToFit="0" vertical="bottom" wrapText="0"/>
    </xf>
    <xf borderId="3" fillId="10" fontId="13" numFmtId="0" xfId="0" applyAlignment="1" applyBorder="1" applyFont="1">
      <alignment horizontal="right" readingOrder="0" shrinkToFit="0" vertical="bottom" wrapText="0"/>
    </xf>
    <xf borderId="0" fillId="10" fontId="11" numFmtId="0" xfId="0" applyAlignment="1" applyFont="1">
      <alignment readingOrder="0"/>
    </xf>
    <xf borderId="0" fillId="10" fontId="6" numFmtId="0" xfId="0" applyAlignment="1" applyFont="1">
      <alignment readingOrder="0"/>
    </xf>
    <xf borderId="4" fillId="11" fontId="13" numFmtId="0" xfId="0" applyAlignment="1" applyBorder="1" applyFill="1" applyFont="1">
      <alignment horizontal="left" readingOrder="0" shrinkToFit="0" vertical="bottom" wrapText="0"/>
    </xf>
    <xf borderId="4" fillId="11" fontId="13" numFmtId="0" xfId="0" applyAlignment="1" applyBorder="1" applyFont="1">
      <alignment horizontal="right" readingOrder="0" shrinkToFit="0" vertical="bottom" wrapText="0"/>
    </xf>
    <xf borderId="4" fillId="11" fontId="13" numFmtId="169" xfId="0" applyAlignment="1" applyBorder="1" applyFont="1" applyNumberFormat="1">
      <alignment horizontal="right" readingOrder="0" shrinkToFit="0" vertical="bottom" wrapText="0"/>
    </xf>
    <xf borderId="4" fillId="11" fontId="13" numFmtId="20" xfId="0" applyAlignment="1" applyBorder="1" applyFont="1" applyNumberFormat="1">
      <alignment horizontal="right" readingOrder="0" shrinkToFit="0" vertical="bottom" wrapText="0"/>
    </xf>
    <xf borderId="4" fillId="11" fontId="6" numFmtId="0" xfId="0" applyBorder="1" applyFont="1"/>
    <xf borderId="4" fillId="11" fontId="6" numFmtId="0" xfId="0" applyAlignment="1" applyBorder="1" applyFont="1">
      <alignment readingOrder="0"/>
    </xf>
    <xf borderId="4" fillId="11" fontId="13" numFmtId="170" xfId="0" applyAlignment="1" applyBorder="1" applyFont="1" applyNumberFormat="1">
      <alignment horizontal="right" readingOrder="0" shrinkToFit="0" vertical="bottom" wrapText="0"/>
    </xf>
    <xf borderId="4" fillId="11" fontId="13" numFmtId="171" xfId="0" applyAlignment="1" applyBorder="1" applyFont="1" applyNumberFormat="1">
      <alignment horizontal="right" readingOrder="0" shrinkToFit="0" vertical="bottom" wrapText="0"/>
    </xf>
    <xf borderId="0" fillId="12" fontId="6" numFmtId="0" xfId="0" applyAlignment="1" applyFill="1" applyFont="1">
      <alignment readingOrder="0"/>
    </xf>
    <xf borderId="0" fillId="12" fontId="6" numFmtId="0" xfId="0" applyFont="1"/>
    <xf borderId="4" fillId="13" fontId="6" numFmtId="0" xfId="0" applyAlignment="1" applyBorder="1" applyFill="1" applyFont="1">
      <alignment readingOrder="0"/>
    </xf>
    <xf borderId="4" fillId="13" fontId="6" numFmtId="14" xfId="0" applyBorder="1" applyFont="1" applyNumberFormat="1"/>
    <xf borderId="4" fillId="14" fontId="6" numFmtId="14" xfId="0" applyBorder="1" applyFill="1" applyFont="1" applyNumberFormat="1"/>
    <xf borderId="4" fillId="15" fontId="6" numFmtId="0" xfId="0" applyBorder="1" applyFill="1" applyFont="1"/>
    <xf borderId="4" fillId="15" fontId="6" numFmtId="0" xfId="0" applyAlignment="1" applyBorder="1" applyFont="1">
      <alignment readingOrder="0"/>
    </xf>
    <xf borderId="4" fillId="16" fontId="14" numFmtId="0" xfId="0" applyAlignment="1" applyBorder="1" applyFill="1" applyFont="1">
      <alignment readingOrder="0" shrinkToFit="0" vertical="bottom" wrapText="0"/>
    </xf>
    <xf borderId="4" fillId="13" fontId="15" numFmtId="172" xfId="0" applyAlignment="1" applyBorder="1" applyFont="1" applyNumberFormat="1">
      <alignment horizontal="right" readingOrder="0" shrinkToFit="0" vertical="bottom" wrapText="0"/>
    </xf>
    <xf borderId="4" fillId="13" fontId="15" numFmtId="0" xfId="0" applyAlignment="1" applyBorder="1" applyFont="1">
      <alignment horizontal="right" readingOrder="0" shrinkToFit="0" vertical="bottom" wrapText="0"/>
    </xf>
    <xf borderId="4" fillId="14" fontId="16" numFmtId="172" xfId="0" applyAlignment="1" applyBorder="1" applyFont="1" applyNumberFormat="1">
      <alignment horizontal="right" readingOrder="0" shrinkToFit="0" vertical="bottom" wrapText="0"/>
    </xf>
    <xf borderId="4" fillId="15" fontId="17" numFmtId="0" xfId="0" applyAlignment="1" applyBorder="1" applyFont="1">
      <alignment horizontal="right" readingOrder="0" shrinkToFit="0" vertical="bottom" wrapText="0"/>
    </xf>
    <xf borderId="4" fillId="14" fontId="16" numFmtId="0" xfId="0" applyAlignment="1" applyBorder="1" applyFont="1">
      <alignment horizontal="right" readingOrder="0" shrinkToFit="0" vertical="bottom" wrapText="0"/>
    </xf>
    <xf borderId="4" fillId="16" fontId="6" numFmtId="0" xfId="0" applyAlignment="1" applyBorder="1" applyFont="1">
      <alignment readingOrder="0"/>
    </xf>
    <xf borderId="4" fillId="14" fontId="14" numFmtId="172" xfId="0" applyAlignment="1" applyBorder="1" applyFont="1" applyNumberFormat="1">
      <alignment horizontal="right" readingOrder="0" shrinkToFit="0" vertical="bottom" wrapText="0"/>
    </xf>
    <xf borderId="4" fillId="17" fontId="6" numFmtId="0" xfId="0" applyBorder="1" applyFill="1" applyFont="1"/>
    <xf borderId="4" fillId="14" fontId="14" numFmtId="14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0" fillId="0" fontId="6" numFmtId="14" xfId="0" applyFont="1" applyNumberFormat="1"/>
    <xf borderId="33" fillId="18" fontId="13" numFmtId="0" xfId="0" applyAlignment="1" applyBorder="1" applyFill="1" applyFont="1">
      <alignment readingOrder="0" shrinkToFit="0" vertical="bottom" wrapText="0"/>
    </xf>
    <xf borderId="34" fillId="18" fontId="13" numFmtId="0" xfId="0" applyAlignment="1" applyBorder="1" applyFont="1">
      <alignment readingOrder="0" shrinkToFit="0" vertical="bottom" wrapText="0"/>
    </xf>
    <xf borderId="0" fillId="18" fontId="13" numFmtId="0" xfId="0" applyAlignment="1" applyFont="1">
      <alignment readingOrder="0" shrinkToFit="0" vertical="bottom" wrapText="0"/>
    </xf>
    <xf borderId="4" fillId="18" fontId="12" numFmtId="0" xfId="0" applyAlignment="1" applyBorder="1" applyFont="1">
      <alignment readingOrder="0" shrinkToFit="0" vertical="bottom" wrapText="0"/>
    </xf>
    <xf borderId="3" fillId="18" fontId="12" numFmtId="0" xfId="0" applyAlignment="1" applyBorder="1" applyFont="1">
      <alignment readingOrder="0" shrinkToFit="0" vertical="bottom" wrapText="0"/>
    </xf>
    <xf borderId="35" fillId="19" fontId="13" numFmtId="173" xfId="0" applyAlignment="1" applyBorder="1" applyFill="1" applyFont="1" applyNumberFormat="1">
      <alignment horizontal="right" readingOrder="0" shrinkToFit="0" vertical="bottom" wrapText="0"/>
    </xf>
    <xf borderId="35" fillId="19" fontId="13" numFmtId="0" xfId="0" applyAlignment="1" applyBorder="1" applyFont="1">
      <alignment horizontal="right" readingOrder="0" shrinkToFit="0" vertical="bottom" wrapText="0"/>
    </xf>
    <xf borderId="35" fillId="19" fontId="13" numFmtId="10" xfId="0" applyAlignment="1" applyBorder="1" applyFont="1" applyNumberFormat="1">
      <alignment horizontal="right" readingOrder="0" shrinkToFit="0" vertical="bottom" wrapText="0"/>
    </xf>
    <xf borderId="0" fillId="0" fontId="6" numFmtId="10" xfId="0" applyFont="1" applyNumberFormat="1"/>
    <xf borderId="0" fillId="19" fontId="13" numFmtId="173" xfId="0" applyFont="1" applyNumberFormat="1"/>
    <xf borderId="0" fillId="19" fontId="6" numFmtId="0" xfId="0" applyAlignment="1" applyFont="1">
      <alignment readingOrder="0"/>
    </xf>
    <xf borderId="0" fillId="19" fontId="6" numFmtId="0" xfId="0" applyFont="1"/>
    <xf borderId="0" fillId="2" fontId="6" numFmtId="0" xfId="0" applyFont="1"/>
    <xf borderId="0" fillId="2" fontId="6" numFmtId="0" xfId="0" applyAlignment="1" applyFont="1">
      <alignment readingOrder="0"/>
    </xf>
    <xf borderId="0" fillId="20" fontId="6" numFmtId="0" xfId="0" applyFill="1" applyFont="1"/>
    <xf borderId="3" fillId="18" fontId="13" numFmtId="0" xfId="0" applyAlignment="1" applyBorder="1" applyFont="1">
      <alignment readingOrder="0" shrinkToFit="0" vertical="bottom" wrapText="0"/>
    </xf>
    <xf borderId="0" fillId="18" fontId="6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bottom" wrapText="0"/>
    </xf>
    <xf borderId="0" fillId="21" fontId="12" numFmtId="0" xfId="0" applyAlignment="1" applyFill="1" applyFont="1">
      <alignment horizontal="center" readingOrder="0" shrinkToFit="0" vertical="bottom" wrapText="0"/>
    </xf>
    <xf borderId="0" fillId="21" fontId="18" numFmtId="0" xfId="0" applyAlignment="1" applyFont="1">
      <alignment horizontal="center"/>
    </xf>
    <xf borderId="0" fillId="21" fontId="6" numFmtId="0" xfId="0" applyAlignment="1" applyFont="1">
      <alignment horizontal="center"/>
    </xf>
    <xf borderId="0" fillId="21" fontId="12" numFmtId="0" xfId="0" applyAlignment="1" applyFont="1">
      <alignment horizontal="center" shrinkToFit="0" vertical="bottom" wrapText="0"/>
    </xf>
    <xf borderId="0" fillId="0" fontId="6" numFmtId="174" xfId="0" applyFont="1" applyNumberFormat="1"/>
    <xf borderId="4" fillId="22" fontId="19" numFmtId="0" xfId="0" applyAlignment="1" applyBorder="1" applyFill="1" applyFont="1">
      <alignment horizontal="center" readingOrder="0" shrinkToFit="0" vertical="bottom" wrapText="0"/>
    </xf>
    <xf borderId="4" fillId="22" fontId="20" numFmtId="0" xfId="0" applyAlignment="1" applyBorder="1" applyFont="1">
      <alignment horizontal="center" readingOrder="0" vertical="top"/>
    </xf>
    <xf borderId="4" fillId="22" fontId="12" numFmtId="0" xfId="0" applyAlignment="1" applyBorder="1" applyFont="1">
      <alignment horizontal="center" readingOrder="0" shrinkToFit="0" vertical="bottom" wrapText="0"/>
    </xf>
    <xf borderId="4" fillId="23" fontId="0" numFmtId="170" xfId="0" applyAlignment="1" applyBorder="1" applyFill="1" applyFont="1" applyNumberFormat="1">
      <alignment horizontal="center" readingOrder="0"/>
    </xf>
    <xf borderId="4" fillId="23" fontId="0" numFmtId="0" xfId="0" applyAlignment="1" applyBorder="1" applyFont="1">
      <alignment horizontal="center"/>
    </xf>
    <xf borderId="4" fillId="23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/>
    </xf>
    <xf borderId="4" fillId="23" fontId="0" numFmtId="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4" fillId="23" fontId="0" numFmtId="169" xfId="0" applyAlignment="1" applyBorder="1" applyFont="1" applyNumberFormat="1">
      <alignment horizontal="center" readingOrder="0"/>
    </xf>
    <xf borderId="4" fillId="23" fontId="0" numFmtId="171" xfId="0" applyAlignment="1" applyBorder="1" applyFont="1" applyNumberFormat="1">
      <alignment horizontal="center" readingOrder="0"/>
    </xf>
    <xf borderId="0" fillId="22" fontId="21" numFmtId="0" xfId="0" applyAlignment="1" applyFont="1">
      <alignment readingOrder="0"/>
    </xf>
    <xf borderId="0" fillId="22" fontId="21" numFmtId="0" xfId="0" applyFont="1"/>
    <xf borderId="4" fillId="10" fontId="22" numFmtId="0" xfId="0" applyAlignment="1" applyBorder="1" applyFont="1">
      <alignment horizontal="center" readingOrder="0" shrinkToFit="0" vertical="bottom" wrapText="0"/>
    </xf>
    <xf borderId="4" fillId="12" fontId="22" numFmtId="170" xfId="0" applyAlignment="1" applyBorder="1" applyFont="1" applyNumberFormat="1">
      <alignment horizontal="center" readingOrder="0"/>
    </xf>
    <xf borderId="4" fillId="12" fontId="22" numFmtId="169" xfId="0" applyAlignment="1" applyBorder="1" applyFont="1" applyNumberFormat="1">
      <alignment horizontal="center" readingOrder="0"/>
    </xf>
    <xf borderId="4" fillId="12" fontId="22" numFmtId="171" xfId="0" applyAlignment="1" applyBorder="1" applyFont="1" applyNumberFormat="1">
      <alignment horizontal="center" readingOrder="0"/>
    </xf>
    <xf borderId="0" fillId="12" fontId="23" numFmtId="169" xfId="0" applyAlignment="1" applyFont="1" applyNumberFormat="1">
      <alignment horizontal="center" readingOrder="0"/>
    </xf>
    <xf borderId="4" fillId="12" fontId="18" numFmtId="170" xfId="0" applyAlignment="1" applyBorder="1" applyFont="1" applyNumberFormat="1">
      <alignment horizontal="center" readingOrder="0"/>
    </xf>
    <xf borderId="4" fillId="23" fontId="24" numFmtId="0" xfId="0" applyBorder="1" applyFont="1"/>
    <xf borderId="4" fillId="0" fontId="24" numFmtId="0" xfId="0" applyAlignment="1" applyBorder="1" applyFont="1">
      <alignment readingOrder="0"/>
    </xf>
    <xf borderId="4" fillId="12" fontId="25" numFmtId="170" xfId="0" applyAlignment="1" applyBorder="1" applyFont="1" applyNumberFormat="1">
      <alignment horizontal="center" readingOrder="0"/>
    </xf>
    <xf borderId="4" fillId="0" fontId="24" numFmtId="0" xfId="0" applyBorder="1" applyFont="1"/>
    <xf borderId="4" fillId="12" fontId="25" numFmtId="169" xfId="0" applyAlignment="1" applyBorder="1" applyFont="1" applyNumberFormat="1">
      <alignment horizontal="center" readingOrder="0"/>
    </xf>
    <xf borderId="4" fillId="12" fontId="25" numFmtId="171" xfId="0" applyAlignment="1" applyBorder="1" applyFont="1" applyNumberFormat="1">
      <alignment horizontal="center" readingOrder="0"/>
    </xf>
    <xf borderId="0" fillId="22" fontId="26" numFmtId="0" xfId="0" applyAlignment="1" applyFont="1">
      <alignment readingOrder="0"/>
    </xf>
    <xf borderId="0" fillId="23" fontId="27" numFmtId="0" xfId="0" applyFont="1"/>
    <xf borderId="4" fillId="10" fontId="12" numFmtId="0" xfId="0" applyAlignment="1" applyBorder="1" applyFont="1">
      <alignment horizontal="center" readingOrder="0" shrinkToFit="0" vertical="bottom" wrapText="0"/>
    </xf>
    <xf borderId="4" fillId="10" fontId="21" numFmtId="0" xfId="0" applyAlignment="1" applyBorder="1" applyFont="1">
      <alignment horizontal="center" readingOrder="0"/>
    </xf>
    <xf borderId="4" fillId="23" fontId="28" numFmtId="0" xfId="0" applyBorder="1" applyFont="1"/>
    <xf borderId="4" fillId="0" fontId="6" numFmtId="0" xfId="0" applyBorder="1" applyFont="1"/>
    <xf borderId="0" fillId="24" fontId="12" numFmtId="0" xfId="0" applyAlignment="1" applyFill="1" applyFont="1">
      <alignment readingOrder="0" shrinkToFit="0" vertical="bottom" wrapText="0"/>
    </xf>
    <xf borderId="4" fillId="25" fontId="2" numFmtId="0" xfId="0" applyAlignment="1" applyBorder="1" applyFill="1" applyFont="1">
      <alignment readingOrder="0"/>
    </xf>
    <xf borderId="4" fillId="25" fontId="2" numFmtId="0" xfId="0" applyBorder="1" applyFont="1"/>
    <xf borderId="4" fillId="26" fontId="29" numFmtId="0" xfId="0" applyAlignment="1" applyBorder="1" applyFill="1" applyFont="1">
      <alignment horizontal="left" readingOrder="0" shrinkToFit="0" vertical="bottom" wrapText="0"/>
    </xf>
    <xf borderId="3" fillId="26" fontId="29" numFmtId="0" xfId="0" applyAlignment="1" applyBorder="1" applyFont="1">
      <alignment horizontal="right" readingOrder="0" shrinkToFit="0" vertical="bottom" wrapText="0"/>
    </xf>
    <xf borderId="3" fillId="26" fontId="29" numFmtId="0" xfId="0" applyAlignment="1" applyBorder="1" applyFont="1">
      <alignment horizontal="right" readingOrder="0" shrinkToFit="0" vertical="bottom" wrapText="1"/>
    </xf>
    <xf borderId="36" fillId="13" fontId="13" numFmtId="0" xfId="0" applyAlignment="1" applyBorder="1" applyFont="1">
      <alignment horizontal="left" readingOrder="0" shrinkToFit="0" vertical="bottom" wrapText="0"/>
    </xf>
    <xf borderId="37" fillId="13" fontId="13" numFmtId="9" xfId="0" applyAlignment="1" applyBorder="1" applyFont="1" applyNumberFormat="1">
      <alignment horizontal="right" readingOrder="0" shrinkToFit="0" vertical="bottom" wrapText="0"/>
    </xf>
    <xf borderId="37" fillId="13" fontId="13" numFmtId="170" xfId="0" applyAlignment="1" applyBorder="1" applyFont="1" applyNumberFormat="1">
      <alignment horizontal="right" readingOrder="0" shrinkToFit="0" vertical="bottom" wrapText="0"/>
    </xf>
    <xf borderId="37" fillId="13" fontId="13" numFmtId="0" xfId="0" applyAlignment="1" applyBorder="1" applyFont="1">
      <alignment horizontal="right" readingOrder="0" shrinkToFit="0" vertical="bottom" wrapText="0"/>
    </xf>
    <xf borderId="37" fillId="0" fontId="13" numFmtId="0" xfId="0" applyAlignment="1" applyBorder="1" applyFont="1">
      <alignment horizontal="right" readingOrder="0" shrinkToFit="0" vertical="bottom" wrapText="0"/>
    </xf>
    <xf borderId="38" fillId="0" fontId="13" numFmtId="0" xfId="0" applyAlignment="1" applyBorder="1" applyFont="1">
      <alignment horizontal="right" readingOrder="0" shrinkToFit="0" vertical="bottom" wrapText="0"/>
    </xf>
    <xf borderId="4" fillId="13" fontId="6" numFmtId="0" xfId="0" applyBorder="1" applyFont="1"/>
    <xf borderId="4" fillId="25" fontId="6" numFmtId="10" xfId="0" applyBorder="1" applyFont="1" applyNumberFormat="1"/>
    <xf borderId="4" fillId="13" fontId="6" numFmtId="10" xfId="0" applyBorder="1" applyFont="1" applyNumberFormat="1"/>
    <xf borderId="4" fillId="13" fontId="6" numFmtId="165" xfId="0" applyBorder="1" applyFont="1" applyNumberFormat="1"/>
    <xf borderId="4" fillId="25" fontId="6" numFmtId="165" xfId="0" applyBorder="1" applyFont="1" applyNumberFormat="1"/>
    <xf borderId="37" fillId="13" fontId="13" numFmtId="169" xfId="0" applyAlignment="1" applyBorder="1" applyFont="1" applyNumberFormat="1">
      <alignment horizontal="right" readingOrder="0" shrinkToFit="0" vertical="bottom" wrapText="0"/>
    </xf>
    <xf borderId="37" fillId="13" fontId="13" numFmtId="10" xfId="0" applyAlignment="1" applyBorder="1" applyFont="1" applyNumberFormat="1">
      <alignment horizontal="right" readingOrder="0" shrinkToFit="0" vertical="bottom" wrapText="0"/>
    </xf>
    <xf borderId="0" fillId="13" fontId="13" numFmtId="172" xfId="0" applyAlignment="1" applyFont="1" applyNumberFormat="1">
      <alignment horizontal="right" readingOrder="0" shrinkToFit="0" vertical="bottom" wrapText="0"/>
    </xf>
    <xf borderId="36" fillId="13" fontId="13" numFmtId="0" xfId="0" applyAlignment="1" applyBorder="1" applyFont="1">
      <alignment horizontal="right" readingOrder="0" shrinkToFit="0" vertical="bottom" wrapText="0"/>
    </xf>
    <xf borderId="3" fillId="13" fontId="13" numFmtId="169" xfId="0" applyAlignment="1" applyBorder="1" applyFont="1" applyNumberFormat="1">
      <alignment horizontal="right" readingOrder="0" shrinkToFit="0" vertical="bottom" wrapText="0"/>
    </xf>
    <xf borderId="3" fillId="0" fontId="13" numFmtId="0" xfId="0" applyAlignment="1" applyBorder="1" applyFont="1">
      <alignment horizontal="right" readingOrder="0" shrinkToFit="0" vertical="bottom" wrapText="0"/>
    </xf>
    <xf borderId="0" fillId="26" fontId="30" numFmtId="0" xfId="0" applyAlignment="1" applyFont="1">
      <alignment readingOrder="0"/>
    </xf>
    <xf borderId="0" fillId="26" fontId="30" numFmtId="0" xfId="0" applyFont="1"/>
    <xf borderId="4" fillId="26" fontId="31" numFmtId="0" xfId="0" applyAlignment="1" applyBorder="1" applyFont="1">
      <alignment horizontal="right" readingOrder="0" shrinkToFit="0" vertical="bottom" wrapText="0"/>
    </xf>
    <xf borderId="3" fillId="26" fontId="31" numFmtId="170" xfId="0" applyAlignment="1" applyBorder="1" applyFont="1" applyNumberFormat="1">
      <alignment horizontal="right" readingOrder="0" shrinkToFit="0" vertical="bottom" wrapText="0"/>
    </xf>
    <xf borderId="3" fillId="26" fontId="31" numFmtId="169" xfId="0" applyAlignment="1" applyBorder="1" applyFont="1" applyNumberFormat="1">
      <alignment horizontal="right" readingOrder="0" shrinkToFit="0" vertical="bottom" wrapText="0"/>
    </xf>
    <xf borderId="2" fillId="26" fontId="31" numFmtId="172" xfId="0" applyAlignment="1" applyBorder="1" applyFont="1" applyNumberFormat="1">
      <alignment horizontal="right" readingOrder="0" shrinkToFit="0" vertical="bottom" wrapText="0"/>
    </xf>
    <xf borderId="36" fillId="26" fontId="31" numFmtId="170" xfId="0" applyAlignment="1" applyBorder="1" applyFont="1" applyNumberFormat="1">
      <alignment horizontal="right" readingOrder="0" shrinkToFit="0" vertical="bottom" wrapText="0"/>
    </xf>
    <xf borderId="4" fillId="13" fontId="11" numFmtId="165" xfId="0" applyAlignment="1" applyBorder="1" applyFont="1" applyNumberFormat="1">
      <alignment readingOrder="0"/>
    </xf>
    <xf borderId="36" fillId="26" fontId="31" numFmtId="169" xfId="0" applyAlignment="1" applyBorder="1" applyFont="1" applyNumberFormat="1">
      <alignment horizontal="right" readingOrder="0" shrinkToFit="0" vertical="bottom" wrapText="0"/>
    </xf>
    <xf borderId="4" fillId="13" fontId="11" numFmtId="165" xfId="0" applyBorder="1" applyFont="1" applyNumberFormat="1"/>
    <xf borderId="39" fillId="26" fontId="31" numFmtId="172" xfId="0" applyAlignment="1" applyBorder="1" applyFont="1" applyNumberFormat="1">
      <alignment horizontal="right" readingOrder="0" shrinkToFit="0" vertical="bottom" wrapText="0"/>
    </xf>
    <xf borderId="4" fillId="26" fontId="31" numFmtId="169" xfId="0" applyAlignment="1" applyBorder="1" applyFont="1" applyNumberFormat="1">
      <alignment horizontal="right" readingOrder="0" shrinkToFit="0" vertical="bottom" wrapText="0"/>
    </xf>
    <xf borderId="0" fillId="0" fontId="30" numFmtId="0" xfId="0" applyFont="1"/>
    <xf borderId="4" fillId="13" fontId="6" numFmtId="175" xfId="0" applyBorder="1" applyFont="1" applyNumberFormat="1"/>
    <xf borderId="4" fillId="26" fontId="32" numFmtId="0" xfId="0" applyAlignment="1" applyBorder="1" applyFont="1">
      <alignment horizontal="right" readingOrder="0" shrinkToFit="0" vertical="bottom" wrapText="0"/>
    </xf>
    <xf borderId="4" fillId="26" fontId="32" numFmtId="0" xfId="0" applyAlignment="1" applyBorder="1" applyFont="1">
      <alignment horizontal="center" readingOrder="0" shrinkToFit="0" vertical="bottom" wrapText="0"/>
    </xf>
    <xf borderId="36" fillId="26" fontId="32" numFmtId="170" xfId="0" applyAlignment="1" applyBorder="1" applyFont="1" applyNumberFormat="1">
      <alignment horizontal="right" readingOrder="0" shrinkToFit="0" vertical="bottom" wrapText="0"/>
    </xf>
    <xf borderId="0" fillId="13" fontId="33" numFmtId="2" xfId="0" applyFont="1" applyNumberFormat="1"/>
    <xf borderId="0" fillId="13" fontId="33" numFmtId="165" xfId="0" applyFont="1" applyNumberFormat="1"/>
    <xf borderId="0" fillId="13" fontId="33" numFmtId="10" xfId="0" applyFont="1" applyNumberFormat="1"/>
    <xf borderId="36" fillId="26" fontId="32" numFmtId="169" xfId="0" applyAlignment="1" applyBorder="1" applyFont="1" applyNumberFormat="1">
      <alignment horizontal="right" readingOrder="0" shrinkToFit="0" vertical="bottom" wrapText="0"/>
    </xf>
    <xf borderId="39" fillId="26" fontId="32" numFmtId="172" xfId="0" applyAlignment="1" applyBorder="1" applyFont="1" applyNumberFormat="1">
      <alignment horizontal="right" readingOrder="0" shrinkToFit="0" vertical="bottom" wrapText="0"/>
    </xf>
    <xf borderId="4" fillId="26" fontId="32" numFmtId="16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EEEEEE"/>
                </a:solidFill>
                <a:latin typeface="+mn-lt"/>
              </a:defRPr>
            </a:pPr>
            <a:r>
              <a:rPr b="0">
                <a:solidFill>
                  <a:srgbClr val="EEEEEE"/>
                </a:solidFill>
                <a:latin typeface="+mn-lt"/>
              </a:rPr>
              <a:t>Zero Coupon Yield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France!$H$69</c:f>
            </c:strRef>
          </c:tx>
          <c:spPr>
            <a:ln cmpd="sng">
              <a:solidFill>
                <a:srgbClr val="006391"/>
              </a:solidFill>
            </a:ln>
          </c:spPr>
          <c:marker>
            <c:symbol val="none"/>
          </c:marker>
          <c:cat>
            <c:strRef>
              <c:f>France!$G$70:$G$87</c:f>
            </c:strRef>
          </c:cat>
          <c:val>
            <c:numRef>
              <c:f>France!$H$70:$H$87</c:f>
              <c:numCache/>
            </c:numRef>
          </c:val>
          <c:smooth val="1"/>
        </c:ser>
        <c:axId val="1710252547"/>
        <c:axId val="850208678"/>
      </c:lineChart>
      <c:catAx>
        <c:axId val="1710252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+mn-lt"/>
                  </a:defRPr>
                </a:pPr>
                <a:r>
                  <a:rPr b="0">
                    <a:solidFill>
                      <a:schemeClr val="lt1"/>
                    </a:solidFill>
                    <a:latin typeface="+mn-lt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850208678"/>
      </c:catAx>
      <c:valAx>
        <c:axId val="850208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+mn-lt"/>
                  </a:defRPr>
                </a:pPr>
                <a:r>
                  <a:rPr b="0">
                    <a:solidFill>
                      <a:schemeClr val="lt1"/>
                    </a:solidFill>
                    <a:latin typeface="+mn-lt"/>
                  </a:rPr>
                  <a:t>Zero Coupon Yield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7102525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Zero Coupon Yield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Germany!$G$51:$G$63</c:f>
            </c:numRef>
          </c:xVal>
          <c:yVal>
            <c:numRef>
              <c:f>Germany!$H$51:$H$63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84559"/>
        <c:axId val="1588172783"/>
      </c:scatterChart>
      <c:valAx>
        <c:axId val="3716845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14C59"/>
                </a:solidFill>
                <a:latin typeface="+mn-lt"/>
              </a:defRPr>
            </a:pPr>
          </a:p>
        </c:txPr>
        <c:crossAx val="1588172783"/>
      </c:valAx>
      <c:valAx>
        <c:axId val="1588172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14C59"/>
                </a:solidFill>
                <a:latin typeface="+mn-lt"/>
              </a:defRPr>
            </a:pPr>
          </a:p>
        </c:txPr>
        <c:crossAx val="37168455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Zero Coupon Yield vs. Maturity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Italy!$H$71</c:f>
            </c:strRef>
          </c:tx>
          <c:spPr>
            <a:solidFill>
              <a:srgbClr val="1155CC">
                <a:alpha val="30000"/>
              </a:srgbClr>
            </a:solidFill>
            <a:ln cmpd="sng">
              <a:solidFill>
                <a:srgbClr val="1155CC">
                  <a:alpha val="100000"/>
                </a:srgbClr>
              </a:solidFill>
            </a:ln>
          </c:spPr>
          <c:cat>
            <c:strRef>
              <c:f>Italy!$G$72:$G$90</c:f>
            </c:strRef>
          </c:cat>
          <c:val>
            <c:numRef>
              <c:f>Italy!$H$72:$H$90</c:f>
              <c:numCache/>
            </c:numRef>
          </c:val>
        </c:ser>
        <c:axId val="504345312"/>
        <c:axId val="1402565137"/>
      </c:areaChart>
      <c:catAx>
        <c:axId val="50434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402565137"/>
      </c:catAx>
      <c:valAx>
        <c:axId val="1402565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Zero Coupon Yield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504345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1155CC"/>
                </a:solidFill>
                <a:latin typeface="Georgia"/>
              </a:defRPr>
            </a:pPr>
            <a:r>
              <a:rPr b="1" sz="2400">
                <a:solidFill>
                  <a:srgbClr val="1155CC"/>
                </a:solidFill>
                <a:latin typeface="Georgia"/>
              </a:rPr>
              <a:t>Zero Coupon Yield vs. Maturity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India!$I$79</c:f>
            </c:strRef>
          </c:tx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India!$H$80:$H$100</c:f>
            </c:strRef>
          </c:cat>
          <c:val>
            <c:numRef>
              <c:f>India!$I$80:$I$100</c:f>
              <c:numCache/>
            </c:numRef>
          </c:val>
          <c:smooth val="0"/>
        </c:ser>
        <c:axId val="1198394331"/>
        <c:axId val="1422442331"/>
      </c:lineChart>
      <c:catAx>
        <c:axId val="1198394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Georgia"/>
                  </a:defRPr>
                </a:pPr>
                <a:r>
                  <a:rPr b="0">
                    <a:solidFill>
                      <a:srgbClr val="314C59"/>
                    </a:solidFill>
                    <a:latin typeface="Georgia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Georgia"/>
              </a:defRPr>
            </a:pPr>
          </a:p>
        </c:txPr>
        <c:crossAx val="1422442331"/>
      </c:catAx>
      <c:valAx>
        <c:axId val="1422442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Georgia"/>
                  </a:defRPr>
                </a:pPr>
                <a:r>
                  <a:rPr b="0">
                    <a:solidFill>
                      <a:srgbClr val="314C59"/>
                    </a:solidFill>
                    <a:latin typeface="Georgia"/>
                  </a:rPr>
                  <a:t>Zero Coupon Yield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Georgia"/>
              </a:defRPr>
            </a:pPr>
          </a:p>
        </c:txPr>
        <c:crossAx val="1198394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Georgia"/>
            </a:defRPr>
          </a:pPr>
        </a:p>
      </c:txPr>
    </c:legend>
    <c:plotVisOnly val="1"/>
  </c:chart>
  <c:spPr>
    <a:solidFill>
      <a:srgbClr val="F1C232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Yield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FFFF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FFFF">
                  <a:alpha val="100000"/>
                </a:srgbClr>
              </a:solidFill>
              <a:ln cmpd="sng">
                <a:solidFill>
                  <a:srgbClr val="FFFFFF">
                    <a:alpha val="100000"/>
                  </a:srgbClr>
                </a:solidFill>
              </a:ln>
            </c:spPr>
          </c:marker>
          <c:cat>
            <c:strRef>
              <c:f>UK!$B$77:$B$96</c:f>
            </c:strRef>
          </c:cat>
          <c:val>
            <c:numRef>
              <c:f>UK!$D$77:$D$96</c:f>
              <c:numCache/>
            </c:numRef>
          </c:val>
          <c:smooth val="1"/>
        </c:ser>
        <c:axId val="779283908"/>
        <c:axId val="1774229937"/>
      </c:lineChart>
      <c:catAx>
        <c:axId val="779283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FF0000"/>
                    </a:solidFill>
                    <a:latin typeface="+mn-lt"/>
                  </a:defRPr>
                </a:pPr>
                <a:r>
                  <a:rPr b="1">
                    <a:solidFill>
                      <a:srgbClr val="FF0000"/>
                    </a:solidFill>
                    <a:latin typeface="+mn-lt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FF0000"/>
                </a:solidFill>
                <a:latin typeface="+mn-lt"/>
              </a:defRPr>
            </a:pPr>
          </a:p>
        </c:txPr>
        <c:crossAx val="1774229937"/>
      </c:catAx>
      <c:valAx>
        <c:axId val="1774229937"/>
        <c:scaling>
          <c:orientation val="minMax"/>
        </c:scaling>
        <c:delete val="0"/>
        <c:axPos val="l"/>
        <c:majorGridlines>
          <c:spPr>
            <a:ln>
              <a:solidFill>
                <a:srgbClr val="FF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FF0000"/>
                    </a:solidFill>
                    <a:latin typeface="+mn-lt"/>
                  </a:defRPr>
                </a:pPr>
                <a:r>
                  <a:rPr b="1">
                    <a:solidFill>
                      <a:srgbClr val="FF0000"/>
                    </a:solidFill>
                    <a:latin typeface="+mn-lt"/>
                  </a:rPr>
                  <a:t>Zero coupon yield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FF0000"/>
                </a:solidFill>
                <a:latin typeface="+mn-lt"/>
              </a:defRPr>
            </a:pPr>
          </a:p>
        </c:txPr>
        <c:crossAx val="779283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351C75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447675</xdr:colOff>
      <xdr:row>68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314325</xdr:colOff>
      <xdr:row>3</xdr:row>
      <xdr:rowOff>219075</xdr:rowOff>
    </xdr:from>
    <xdr:ext cx="6457950" cy="3981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419100</xdr:colOff>
      <xdr:row>48</xdr:row>
      <xdr:rowOff>171450</xdr:rowOff>
    </xdr:from>
    <xdr:ext cx="4552950" cy="26003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571500</xdr:colOff>
      <xdr:row>70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742950</xdr:colOff>
      <xdr:row>79</xdr:row>
      <xdr:rowOff>47625</xdr:rowOff>
    </xdr:from>
    <xdr:ext cx="6229350" cy="38481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819150</xdr:colOff>
      <xdr:row>75</xdr:row>
      <xdr:rowOff>9525</xdr:rowOff>
    </xdr:from>
    <xdr:ext cx="6572250" cy="4067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2.75"/>
    <col customWidth="1" min="3" max="4" width="16.88"/>
    <col customWidth="1" min="5" max="5" width="17.5"/>
    <col customWidth="1" min="6" max="6" width="17.13"/>
    <col customWidth="1" min="7" max="7" width="10.38"/>
    <col customWidth="1" min="8" max="8" width="16.63"/>
    <col customWidth="1" min="9" max="9" width="24.0"/>
    <col customWidth="1" min="10" max="10" width="22.75"/>
    <col customWidth="1" min="11" max="11" width="15.0"/>
    <col customWidth="1" min="12" max="12" width="15.25"/>
    <col customWidth="1" min="13" max="14" width="10.38"/>
    <col customWidth="1" min="15" max="16" width="8.88"/>
    <col customWidth="1" min="17" max="17" width="9.13"/>
    <col customWidth="1" min="18" max="18" width="11.88"/>
    <col customWidth="1" min="19" max="21" width="8.88"/>
    <col customWidth="1" min="22" max="32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4.25" customHeight="1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4.25" customHeight="1">
      <c r="A3" s="1"/>
      <c r="B3" s="1"/>
      <c r="C3" s="5"/>
      <c r="D3" s="6" t="s">
        <v>1</v>
      </c>
      <c r="E3" s="7" t="s">
        <v>2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4.25" customHeight="1">
      <c r="A4" s="1"/>
      <c r="B4" s="1"/>
      <c r="C4" s="8" t="s">
        <v>3</v>
      </c>
      <c r="D4" s="9">
        <f>TODAY()</f>
        <v>45296</v>
      </c>
      <c r="E4" s="9">
        <f>DATE(2023,12,1)</f>
        <v>45261</v>
      </c>
      <c r="F4" s="5">
        <f>D4-E4</f>
        <v>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0" t="s">
        <v>4</v>
      </c>
      <c r="B6" s="10" t="s">
        <v>5</v>
      </c>
      <c r="C6" s="10" t="s">
        <v>6</v>
      </c>
      <c r="D6" s="10" t="s">
        <v>7</v>
      </c>
      <c r="E6" s="11" t="s">
        <v>8</v>
      </c>
      <c r="F6" s="10" t="s">
        <v>9</v>
      </c>
      <c r="G6" s="10" t="s">
        <v>10</v>
      </c>
      <c r="H6" s="10" t="s">
        <v>11</v>
      </c>
      <c r="I6" s="12" t="s">
        <v>12</v>
      </c>
      <c r="J6" s="10" t="s">
        <v>13</v>
      </c>
      <c r="K6" s="12" t="s">
        <v>7</v>
      </c>
      <c r="L6" s="12" t="s">
        <v>14</v>
      </c>
      <c r="M6" s="10" t="s">
        <v>15</v>
      </c>
      <c r="N6" s="10" t="s">
        <v>16</v>
      </c>
      <c r="O6" s="13"/>
      <c r="P6" s="13"/>
      <c r="Q6" s="10" t="s">
        <v>5</v>
      </c>
      <c r="R6" s="10" t="s">
        <v>10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ht="14.25" customHeight="1">
      <c r="A7" s="9">
        <v>45301.0</v>
      </c>
      <c r="B7" s="14">
        <f t="shared" ref="B7:B24" si="2">(A7-$D$4)/H7</f>
        <v>0.01388888889</v>
      </c>
      <c r="C7" s="15">
        <v>0.0</v>
      </c>
      <c r="D7" s="16">
        <v>99.725</v>
      </c>
      <c r="E7" s="16">
        <v>99.73</v>
      </c>
      <c r="F7" s="5">
        <f t="shared" ref="F7:F24" si="3">$F$4</f>
        <v>35</v>
      </c>
      <c r="G7" s="17">
        <f t="shared" ref="G7:G24" si="4">YIELD($D$4,A7,C7,D7,100,1,0)</f>
        <v>0.1985460015</v>
      </c>
      <c r="H7" s="18">
        <v>360.0</v>
      </c>
      <c r="I7" s="15">
        <f t="shared" ref="I7:I24" si="5">C7/2</f>
        <v>0</v>
      </c>
      <c r="J7" s="15">
        <f t="shared" ref="J7:J24" si="6">(100*I7)*F7/H7</f>
        <v>0</v>
      </c>
      <c r="K7" s="5">
        <f t="shared" ref="K7:L7" si="1">D7</f>
        <v>99.725</v>
      </c>
      <c r="L7" s="5">
        <f t="shared" si="1"/>
        <v>99.73</v>
      </c>
      <c r="M7" s="19">
        <f t="shared" ref="M7:M24" si="8">K7+J7</f>
        <v>99.725</v>
      </c>
      <c r="N7" s="19">
        <f t="shared" ref="N7:N24" si="9">L7+J7</f>
        <v>99.73</v>
      </c>
      <c r="O7" s="1"/>
      <c r="P7" s="1"/>
      <c r="Q7" s="14">
        <v>0.08055555555555556</v>
      </c>
      <c r="R7" s="17">
        <f t="shared" ref="R7:R24" si="10">G7</f>
        <v>0.1985460015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9">
        <v>45350.0</v>
      </c>
      <c r="B8" s="14">
        <f t="shared" si="2"/>
        <v>0.15</v>
      </c>
      <c r="C8" s="15">
        <v>0.0</v>
      </c>
      <c r="D8" s="5">
        <v>99.211</v>
      </c>
      <c r="E8" s="5">
        <v>99.226</v>
      </c>
      <c r="F8" s="5">
        <f t="shared" si="3"/>
        <v>35</v>
      </c>
      <c r="G8" s="17">
        <f t="shared" si="4"/>
        <v>0.05401866006</v>
      </c>
      <c r="H8" s="5">
        <v>360.0</v>
      </c>
      <c r="I8" s="15">
        <f t="shared" si="5"/>
        <v>0</v>
      </c>
      <c r="J8" s="15">
        <f t="shared" si="6"/>
        <v>0</v>
      </c>
      <c r="K8" s="5">
        <f t="shared" ref="K8:L8" si="7">D8</f>
        <v>99.211</v>
      </c>
      <c r="L8" s="5">
        <f t="shared" si="7"/>
        <v>99.226</v>
      </c>
      <c r="M8" s="19">
        <f t="shared" si="8"/>
        <v>99.211</v>
      </c>
      <c r="N8" s="19">
        <f t="shared" si="9"/>
        <v>99.226</v>
      </c>
      <c r="O8" s="1"/>
      <c r="P8" s="1"/>
      <c r="Q8" s="14">
        <v>0.21666666666666667</v>
      </c>
      <c r="R8" s="17">
        <f t="shared" si="10"/>
        <v>0.05401866006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4.25" customHeight="1">
      <c r="A9" s="9">
        <v>45414.0</v>
      </c>
      <c r="B9" s="14">
        <f t="shared" si="2"/>
        <v>0.3277777778</v>
      </c>
      <c r="C9" s="15">
        <v>0.0</v>
      </c>
      <c r="D9" s="5">
        <v>98.547</v>
      </c>
      <c r="E9" s="5">
        <v>98.566</v>
      </c>
      <c r="F9" s="5">
        <f t="shared" si="3"/>
        <v>35</v>
      </c>
      <c r="G9" s="17">
        <f t="shared" si="4"/>
        <v>0.04536687297</v>
      </c>
      <c r="H9" s="5">
        <v>360.0</v>
      </c>
      <c r="I9" s="15">
        <f t="shared" si="5"/>
        <v>0</v>
      </c>
      <c r="J9" s="15">
        <f t="shared" si="6"/>
        <v>0</v>
      </c>
      <c r="K9" s="5">
        <f t="shared" ref="K9:L9" si="11">D9</f>
        <v>98.547</v>
      </c>
      <c r="L9" s="5">
        <f t="shared" si="11"/>
        <v>98.566</v>
      </c>
      <c r="M9" s="19">
        <f t="shared" si="8"/>
        <v>98.547</v>
      </c>
      <c r="N9" s="19">
        <f t="shared" si="9"/>
        <v>98.566</v>
      </c>
      <c r="O9" s="1"/>
      <c r="P9" s="1"/>
      <c r="Q9" s="14">
        <v>0.39444444444444443</v>
      </c>
      <c r="R9" s="17">
        <f t="shared" si="10"/>
        <v>0.04536687297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4.25" customHeight="1">
      <c r="A10" s="9">
        <v>45567.0</v>
      </c>
      <c r="B10" s="14">
        <f t="shared" si="2"/>
        <v>0.7527777778</v>
      </c>
      <c r="C10" s="15">
        <v>0.0</v>
      </c>
      <c r="D10" s="5">
        <v>97.227</v>
      </c>
      <c r="E10" s="5">
        <v>97.242</v>
      </c>
      <c r="F10" s="5">
        <f t="shared" si="3"/>
        <v>35</v>
      </c>
      <c r="G10" s="17">
        <f t="shared" si="4"/>
        <v>0.03845512465</v>
      </c>
      <c r="H10" s="5">
        <v>360.0</v>
      </c>
      <c r="I10" s="15">
        <f t="shared" si="5"/>
        <v>0</v>
      </c>
      <c r="J10" s="15">
        <f t="shared" si="6"/>
        <v>0</v>
      </c>
      <c r="K10" s="5">
        <f t="shared" ref="K10:L10" si="12">D10</f>
        <v>97.227</v>
      </c>
      <c r="L10" s="5">
        <f t="shared" si="12"/>
        <v>97.242</v>
      </c>
      <c r="M10" s="19">
        <f t="shared" si="8"/>
        <v>97.227</v>
      </c>
      <c r="N10" s="19">
        <f t="shared" si="9"/>
        <v>97.242</v>
      </c>
      <c r="O10" s="1"/>
      <c r="P10" s="1"/>
      <c r="Q10" s="14">
        <v>0.8194444444444444</v>
      </c>
      <c r="R10" s="17">
        <f t="shared" si="10"/>
        <v>0.03845512465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4.25" customHeight="1">
      <c r="A11" s="9">
        <v>45623.0</v>
      </c>
      <c r="B11" s="14">
        <f t="shared" si="2"/>
        <v>0.9083333333</v>
      </c>
      <c r="C11" s="15">
        <v>0.0</v>
      </c>
      <c r="D11" s="5">
        <v>96.759</v>
      </c>
      <c r="E11" s="5">
        <v>96.777</v>
      </c>
      <c r="F11" s="5">
        <f t="shared" si="3"/>
        <v>35</v>
      </c>
      <c r="G11" s="17">
        <f t="shared" si="4"/>
        <v>0.03744848811</v>
      </c>
      <c r="H11" s="5">
        <v>360.0</v>
      </c>
      <c r="I11" s="15">
        <f t="shared" si="5"/>
        <v>0</v>
      </c>
      <c r="J11" s="15">
        <f t="shared" si="6"/>
        <v>0</v>
      </c>
      <c r="K11" s="5">
        <f t="shared" ref="K11:L11" si="13">D11</f>
        <v>96.759</v>
      </c>
      <c r="L11" s="5">
        <f t="shared" si="13"/>
        <v>96.777</v>
      </c>
      <c r="M11" s="19">
        <f t="shared" si="8"/>
        <v>96.759</v>
      </c>
      <c r="N11" s="19">
        <f t="shared" si="9"/>
        <v>96.777</v>
      </c>
      <c r="O11" s="1"/>
      <c r="P11" s="1"/>
      <c r="Q11" s="14">
        <v>0.975</v>
      </c>
      <c r="R11" s="17">
        <f t="shared" si="10"/>
        <v>0.03744848811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4.25" customHeight="1">
      <c r="A12" s="9">
        <v>45986.0</v>
      </c>
      <c r="B12" s="14">
        <f t="shared" si="2"/>
        <v>1.916666667</v>
      </c>
      <c r="C12" s="15">
        <v>0.01</v>
      </c>
      <c r="D12" s="5">
        <v>96.534</v>
      </c>
      <c r="E12" s="5">
        <v>96.656</v>
      </c>
      <c r="F12" s="5">
        <f t="shared" si="3"/>
        <v>35</v>
      </c>
      <c r="G12" s="17">
        <f t="shared" si="4"/>
        <v>0.02911662944</v>
      </c>
      <c r="H12" s="5">
        <v>360.0</v>
      </c>
      <c r="I12" s="15">
        <f t="shared" si="5"/>
        <v>0.005</v>
      </c>
      <c r="J12" s="15">
        <f t="shared" si="6"/>
        <v>0.04861111111</v>
      </c>
      <c r="K12" s="5">
        <f t="shared" ref="K12:L12" si="14">D12</f>
        <v>96.534</v>
      </c>
      <c r="L12" s="5">
        <f t="shared" si="14"/>
        <v>96.656</v>
      </c>
      <c r="M12" s="19">
        <f t="shared" si="8"/>
        <v>96.58261111</v>
      </c>
      <c r="N12" s="19">
        <f t="shared" si="9"/>
        <v>96.70461111</v>
      </c>
      <c r="O12" s="1"/>
      <c r="P12" s="1"/>
      <c r="Q12" s="14">
        <v>1.9833333333333334</v>
      </c>
      <c r="R12" s="17">
        <f t="shared" si="10"/>
        <v>0.02911662944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4.25" customHeight="1">
      <c r="A13" s="9">
        <v>46351.0</v>
      </c>
      <c r="B13" s="14">
        <f t="shared" si="2"/>
        <v>2.930555556</v>
      </c>
      <c r="C13" s="15">
        <v>0.0025</v>
      </c>
      <c r="D13" s="5">
        <v>93.206</v>
      </c>
      <c r="E13" s="5">
        <v>93.406</v>
      </c>
      <c r="F13" s="5">
        <f t="shared" si="3"/>
        <v>35</v>
      </c>
      <c r="G13" s="17">
        <f t="shared" si="4"/>
        <v>0.02727427044</v>
      </c>
      <c r="H13" s="5">
        <v>360.0</v>
      </c>
      <c r="I13" s="15">
        <f t="shared" si="5"/>
        <v>0.00125</v>
      </c>
      <c r="J13" s="15">
        <f t="shared" si="6"/>
        <v>0.01215277778</v>
      </c>
      <c r="K13" s="5">
        <f t="shared" ref="K13:L13" si="15">D13</f>
        <v>93.206</v>
      </c>
      <c r="L13" s="5">
        <f t="shared" si="15"/>
        <v>93.406</v>
      </c>
      <c r="M13" s="19">
        <f t="shared" si="8"/>
        <v>93.21815278</v>
      </c>
      <c r="N13" s="19">
        <f t="shared" si="9"/>
        <v>93.41815278</v>
      </c>
      <c r="O13" s="1"/>
      <c r="P13" s="1"/>
      <c r="Q13" s="14">
        <v>2.9972222222222222</v>
      </c>
      <c r="R13" s="17">
        <f t="shared" si="10"/>
        <v>0.02727427044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4.25" customHeight="1">
      <c r="A14" s="9">
        <v>46685.0</v>
      </c>
      <c r="B14" s="14">
        <f t="shared" si="2"/>
        <v>3.858333333</v>
      </c>
      <c r="C14" s="15">
        <v>0.0275</v>
      </c>
      <c r="D14" s="5">
        <v>100.625</v>
      </c>
      <c r="E14" s="5">
        <v>100.68</v>
      </c>
      <c r="F14" s="5">
        <f t="shared" si="3"/>
        <v>35</v>
      </c>
      <c r="G14" s="17">
        <f t="shared" si="4"/>
        <v>0.02573964109</v>
      </c>
      <c r="H14" s="5">
        <v>360.0</v>
      </c>
      <c r="I14" s="15">
        <f t="shared" si="5"/>
        <v>0.01375</v>
      </c>
      <c r="J14" s="15">
        <f t="shared" si="6"/>
        <v>0.1336805556</v>
      </c>
      <c r="K14" s="5">
        <f t="shared" ref="K14:L14" si="16">D14</f>
        <v>100.625</v>
      </c>
      <c r="L14" s="5">
        <f t="shared" si="16"/>
        <v>100.68</v>
      </c>
      <c r="M14" s="19">
        <f t="shared" si="8"/>
        <v>100.7586806</v>
      </c>
      <c r="N14" s="19">
        <f t="shared" si="9"/>
        <v>100.8136806</v>
      </c>
      <c r="O14" s="1"/>
      <c r="P14" s="1"/>
      <c r="Q14" s="14">
        <v>3.925</v>
      </c>
      <c r="R14" s="17">
        <f t="shared" si="10"/>
        <v>0.02573964109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4.25" customHeight="1">
      <c r="A15" s="9">
        <v>47082.0</v>
      </c>
      <c r="B15" s="14">
        <f t="shared" si="2"/>
        <v>4.961111111</v>
      </c>
      <c r="C15" s="15">
        <v>0.0075</v>
      </c>
      <c r="D15" s="5">
        <v>91.772</v>
      </c>
      <c r="E15" s="5">
        <v>91.776</v>
      </c>
      <c r="F15" s="5">
        <f t="shared" si="3"/>
        <v>35</v>
      </c>
      <c r="G15" s="17">
        <f t="shared" si="4"/>
        <v>0.02561826518</v>
      </c>
      <c r="H15" s="5">
        <v>360.0</v>
      </c>
      <c r="I15" s="15">
        <f t="shared" si="5"/>
        <v>0.00375</v>
      </c>
      <c r="J15" s="15">
        <f t="shared" si="6"/>
        <v>0.03645833333</v>
      </c>
      <c r="K15" s="5">
        <f t="shared" ref="K15:L15" si="17">D15</f>
        <v>91.772</v>
      </c>
      <c r="L15" s="5">
        <f t="shared" si="17"/>
        <v>91.776</v>
      </c>
      <c r="M15" s="19">
        <f t="shared" si="8"/>
        <v>91.80845833</v>
      </c>
      <c r="N15" s="19">
        <f t="shared" si="9"/>
        <v>91.81245833</v>
      </c>
      <c r="O15" s="1"/>
      <c r="P15" s="1"/>
      <c r="Q15" s="14">
        <v>5.027777777777778</v>
      </c>
      <c r="R15" s="17">
        <f t="shared" si="10"/>
        <v>0.02561826518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4.25" customHeight="1">
      <c r="A16" s="9">
        <v>47447.0</v>
      </c>
      <c r="B16" s="14">
        <f t="shared" si="2"/>
        <v>5.975</v>
      </c>
      <c r="C16" s="15">
        <v>0.0</v>
      </c>
      <c r="D16" s="5">
        <v>86.085</v>
      </c>
      <c r="E16" s="5">
        <v>90.905</v>
      </c>
      <c r="F16" s="5">
        <f t="shared" si="3"/>
        <v>35</v>
      </c>
      <c r="G16" s="17">
        <f t="shared" si="4"/>
        <v>0.0257701335</v>
      </c>
      <c r="H16" s="5">
        <v>360.0</v>
      </c>
      <c r="I16" s="15">
        <f t="shared" si="5"/>
        <v>0</v>
      </c>
      <c r="J16" s="15">
        <f t="shared" si="6"/>
        <v>0</v>
      </c>
      <c r="K16" s="5">
        <f t="shared" ref="K16:L16" si="18">D16</f>
        <v>86.085</v>
      </c>
      <c r="L16" s="5">
        <f t="shared" si="18"/>
        <v>90.905</v>
      </c>
      <c r="M16" s="19">
        <f t="shared" si="8"/>
        <v>86.085</v>
      </c>
      <c r="N16" s="19">
        <f t="shared" si="9"/>
        <v>90.905</v>
      </c>
      <c r="O16" s="1"/>
      <c r="P16" s="1"/>
      <c r="Q16" s="14">
        <v>6.041666666666667</v>
      </c>
      <c r="R16" s="17">
        <f t="shared" si="10"/>
        <v>0.0257701335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4.25" customHeight="1">
      <c r="A17" s="9">
        <v>47812.0</v>
      </c>
      <c r="B17" s="14">
        <f t="shared" si="2"/>
        <v>6.988888889</v>
      </c>
      <c r="C17" s="15">
        <v>0.0</v>
      </c>
      <c r="D17" s="5">
        <v>83.741</v>
      </c>
      <c r="E17" s="5">
        <v>83.781</v>
      </c>
      <c r="F17" s="5">
        <f t="shared" si="3"/>
        <v>35</v>
      </c>
      <c r="G17" s="17">
        <f t="shared" si="4"/>
        <v>0.02609222922</v>
      </c>
      <c r="H17" s="5">
        <v>360.0</v>
      </c>
      <c r="I17" s="15">
        <f t="shared" si="5"/>
        <v>0</v>
      </c>
      <c r="J17" s="15">
        <f t="shared" si="6"/>
        <v>0</v>
      </c>
      <c r="K17" s="5">
        <f t="shared" ref="K17:L17" si="19">D17</f>
        <v>83.741</v>
      </c>
      <c r="L17" s="5">
        <f t="shared" si="19"/>
        <v>83.781</v>
      </c>
      <c r="M17" s="19">
        <f t="shared" si="8"/>
        <v>83.741</v>
      </c>
      <c r="N17" s="19">
        <f t="shared" si="9"/>
        <v>83.781</v>
      </c>
      <c r="O17" s="1"/>
      <c r="P17" s="1"/>
      <c r="Q17" s="14">
        <v>7.055555555555555</v>
      </c>
      <c r="R17" s="17">
        <f t="shared" si="10"/>
        <v>0.02609222922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4.25" customHeight="1">
      <c r="A18" s="9">
        <v>48177.0</v>
      </c>
      <c r="B18" s="14">
        <f t="shared" si="2"/>
        <v>8.002777778</v>
      </c>
      <c r="C18" s="15">
        <v>0.0</v>
      </c>
      <c r="D18" s="5">
        <v>81.313</v>
      </c>
      <c r="E18" s="5">
        <v>81.393</v>
      </c>
      <c r="F18" s="5">
        <f t="shared" si="3"/>
        <v>35</v>
      </c>
      <c r="G18" s="17">
        <f t="shared" si="4"/>
        <v>0.02656906039</v>
      </c>
      <c r="H18" s="5">
        <v>360.0</v>
      </c>
      <c r="I18" s="15">
        <f t="shared" si="5"/>
        <v>0</v>
      </c>
      <c r="J18" s="15">
        <f t="shared" si="6"/>
        <v>0</v>
      </c>
      <c r="K18" s="5">
        <f t="shared" ref="K18:L18" si="20">D18</f>
        <v>81.313</v>
      </c>
      <c r="L18" s="5">
        <f t="shared" si="20"/>
        <v>81.393</v>
      </c>
      <c r="M18" s="19">
        <f t="shared" si="8"/>
        <v>81.313</v>
      </c>
      <c r="N18" s="19">
        <f t="shared" si="9"/>
        <v>81.393</v>
      </c>
      <c r="O18" s="1"/>
      <c r="P18" s="1"/>
      <c r="Q18" s="14">
        <v>8.069444444444445</v>
      </c>
      <c r="R18" s="17">
        <f t="shared" si="10"/>
        <v>0.02656906039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4.25" customHeight="1">
      <c r="A19" s="9">
        <v>48543.0</v>
      </c>
      <c r="B19" s="14">
        <f t="shared" si="2"/>
        <v>9.019444444</v>
      </c>
      <c r="C19" s="15">
        <v>0.02</v>
      </c>
      <c r="D19" s="5">
        <v>94.464</v>
      </c>
      <c r="E19" s="5">
        <v>94.564</v>
      </c>
      <c r="F19" s="5">
        <f t="shared" si="3"/>
        <v>35</v>
      </c>
      <c r="G19" s="17">
        <f t="shared" si="4"/>
        <v>0.02708806588</v>
      </c>
      <c r="H19" s="5">
        <v>360.0</v>
      </c>
      <c r="I19" s="15">
        <f t="shared" si="5"/>
        <v>0.01</v>
      </c>
      <c r="J19" s="15">
        <f t="shared" si="6"/>
        <v>0.09722222222</v>
      </c>
      <c r="K19" s="5">
        <f t="shared" ref="K19:L19" si="21">D19</f>
        <v>94.464</v>
      </c>
      <c r="L19" s="5">
        <f t="shared" si="21"/>
        <v>94.564</v>
      </c>
      <c r="M19" s="19">
        <f t="shared" si="8"/>
        <v>94.56122222</v>
      </c>
      <c r="N19" s="19">
        <f t="shared" si="9"/>
        <v>94.66122222</v>
      </c>
      <c r="O19" s="1"/>
      <c r="P19" s="1"/>
      <c r="Q19" s="14">
        <v>9.08611111111111</v>
      </c>
      <c r="R19" s="17">
        <f t="shared" si="10"/>
        <v>0.02708806588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4.25" customHeight="1">
      <c r="A20" s="9">
        <v>48908.0</v>
      </c>
      <c r="B20" s="14">
        <f t="shared" si="2"/>
        <v>10.03333333</v>
      </c>
      <c r="C20" s="15">
        <v>0.035</v>
      </c>
      <c r="D20" s="5">
        <v>106.178</v>
      </c>
      <c r="E20" s="5">
        <v>106.208</v>
      </c>
      <c r="F20" s="5">
        <f t="shared" si="3"/>
        <v>35</v>
      </c>
      <c r="G20" s="17">
        <f t="shared" si="4"/>
        <v>0.02776442586</v>
      </c>
      <c r="H20" s="5">
        <v>360.0</v>
      </c>
      <c r="I20" s="15">
        <f t="shared" si="5"/>
        <v>0.0175</v>
      </c>
      <c r="J20" s="15">
        <f t="shared" si="6"/>
        <v>0.1701388889</v>
      </c>
      <c r="K20" s="5">
        <f t="shared" ref="K20:L20" si="22">D20</f>
        <v>106.178</v>
      </c>
      <c r="L20" s="5">
        <f t="shared" si="22"/>
        <v>106.208</v>
      </c>
      <c r="M20" s="19">
        <f t="shared" si="8"/>
        <v>106.3481389</v>
      </c>
      <c r="N20" s="19">
        <f t="shared" si="9"/>
        <v>106.3781389</v>
      </c>
      <c r="O20" s="1"/>
      <c r="P20" s="1"/>
      <c r="Q20" s="14">
        <v>10.1</v>
      </c>
      <c r="R20" s="17">
        <f t="shared" si="10"/>
        <v>0.02776442586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4.25" customHeight="1">
      <c r="A21" s="9">
        <v>50703.0</v>
      </c>
      <c r="B21" s="14">
        <f t="shared" si="2"/>
        <v>15.01944444</v>
      </c>
      <c r="C21" s="15">
        <v>0.04</v>
      </c>
      <c r="D21" s="5">
        <v>111.736</v>
      </c>
      <c r="E21" s="5">
        <v>111.849</v>
      </c>
      <c r="F21" s="5">
        <f t="shared" si="3"/>
        <v>35</v>
      </c>
      <c r="G21" s="17">
        <f t="shared" si="4"/>
        <v>0.03005481054</v>
      </c>
      <c r="H21" s="5">
        <v>360.0</v>
      </c>
      <c r="I21" s="15">
        <f t="shared" si="5"/>
        <v>0.02</v>
      </c>
      <c r="J21" s="15">
        <f t="shared" si="6"/>
        <v>0.1944444444</v>
      </c>
      <c r="K21" s="5">
        <f t="shared" ref="K21:L21" si="23">D21</f>
        <v>111.736</v>
      </c>
      <c r="L21" s="5">
        <f t="shared" si="23"/>
        <v>111.849</v>
      </c>
      <c r="M21" s="19">
        <f t="shared" si="8"/>
        <v>111.9304444</v>
      </c>
      <c r="N21" s="19">
        <f t="shared" si="9"/>
        <v>112.0434444</v>
      </c>
      <c r="O21" s="1"/>
      <c r="P21" s="1"/>
      <c r="Q21" s="14">
        <v>15.08611111111111</v>
      </c>
      <c r="R21" s="17">
        <f t="shared" si="10"/>
        <v>0.03005481054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14.25" customHeight="1">
      <c r="A22" s="9">
        <v>52376.0</v>
      </c>
      <c r="B22" s="14">
        <f t="shared" si="2"/>
        <v>19.66666667</v>
      </c>
      <c r="C22" s="15">
        <v>0.025</v>
      </c>
      <c r="D22" s="5">
        <v>90.36</v>
      </c>
      <c r="E22" s="5">
        <v>90.56</v>
      </c>
      <c r="F22" s="5">
        <f t="shared" si="3"/>
        <v>35</v>
      </c>
      <c r="G22" s="17">
        <f t="shared" si="4"/>
        <v>0.03172652061</v>
      </c>
      <c r="H22" s="5">
        <v>360.0</v>
      </c>
      <c r="I22" s="15">
        <f t="shared" si="5"/>
        <v>0.0125</v>
      </c>
      <c r="J22" s="15">
        <f t="shared" si="6"/>
        <v>0.1215277778</v>
      </c>
      <c r="K22" s="5">
        <f t="shared" ref="K22:L22" si="24">D22</f>
        <v>90.36</v>
      </c>
      <c r="L22" s="5">
        <f t="shared" si="24"/>
        <v>90.56</v>
      </c>
      <c r="M22" s="19">
        <f t="shared" si="8"/>
        <v>90.48152778</v>
      </c>
      <c r="N22" s="19">
        <f t="shared" si="9"/>
        <v>90.68152778</v>
      </c>
      <c r="O22" s="1"/>
      <c r="P22" s="1"/>
      <c r="Q22" s="14">
        <v>19.733333333333334</v>
      </c>
      <c r="R22" s="17">
        <f t="shared" si="10"/>
        <v>0.03172652061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4.25" customHeight="1">
      <c r="A23" s="9">
        <v>54203.0</v>
      </c>
      <c r="B23" s="14">
        <f t="shared" si="2"/>
        <v>24.74166667</v>
      </c>
      <c r="C23" s="15">
        <v>0.02</v>
      </c>
      <c r="D23" s="5">
        <v>80.12</v>
      </c>
      <c r="E23" s="5">
        <v>80.3</v>
      </c>
      <c r="F23" s="5">
        <f t="shared" si="3"/>
        <v>35</v>
      </c>
      <c r="G23" s="17">
        <f t="shared" si="4"/>
        <v>0.031840171</v>
      </c>
      <c r="H23" s="5">
        <v>360.0</v>
      </c>
      <c r="I23" s="15">
        <f t="shared" si="5"/>
        <v>0.01</v>
      </c>
      <c r="J23" s="15">
        <f t="shared" si="6"/>
        <v>0.09722222222</v>
      </c>
      <c r="K23" s="5">
        <f t="shared" ref="K23:L23" si="25">D23</f>
        <v>80.12</v>
      </c>
      <c r="L23" s="5">
        <f t="shared" si="25"/>
        <v>80.3</v>
      </c>
      <c r="M23" s="19">
        <f t="shared" si="8"/>
        <v>80.21722222</v>
      </c>
      <c r="N23" s="19">
        <f t="shared" si="9"/>
        <v>80.39722222</v>
      </c>
      <c r="O23" s="1"/>
      <c r="P23" s="1"/>
      <c r="Q23" s="14">
        <v>24.808333333333334</v>
      </c>
      <c r="R23" s="17">
        <f t="shared" si="10"/>
        <v>0.031840171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4.25" customHeight="1">
      <c r="A24" s="9">
        <v>56394.0</v>
      </c>
      <c r="B24" s="14">
        <f t="shared" si="2"/>
        <v>30.82777778</v>
      </c>
      <c r="C24" s="15">
        <v>0.03</v>
      </c>
      <c r="D24" s="5">
        <v>95.284</v>
      </c>
      <c r="E24" s="5">
        <v>95.484</v>
      </c>
      <c r="F24" s="5">
        <f t="shared" si="3"/>
        <v>35</v>
      </c>
      <c r="G24" s="17">
        <f t="shared" si="4"/>
        <v>0.03245826527</v>
      </c>
      <c r="H24" s="5">
        <v>360.0</v>
      </c>
      <c r="I24" s="15">
        <f t="shared" si="5"/>
        <v>0.015</v>
      </c>
      <c r="J24" s="15">
        <f t="shared" si="6"/>
        <v>0.1458333333</v>
      </c>
      <c r="K24" s="5">
        <f t="shared" ref="K24:L24" si="26">D24</f>
        <v>95.284</v>
      </c>
      <c r="L24" s="5">
        <f t="shared" si="26"/>
        <v>95.484</v>
      </c>
      <c r="M24" s="19">
        <f t="shared" si="8"/>
        <v>95.42983333</v>
      </c>
      <c r="N24" s="19">
        <f t="shared" si="9"/>
        <v>95.62983333</v>
      </c>
      <c r="O24" s="1"/>
      <c r="P24" s="1"/>
      <c r="Q24" s="14">
        <v>30.894444444444446</v>
      </c>
      <c r="R24" s="17">
        <f t="shared" si="10"/>
        <v>0.03245826527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4.25" customHeight="1">
      <c r="A26" s="2" t="s">
        <v>17</v>
      </c>
      <c r="B26" s="3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4.25" customHeight="1">
      <c r="A27" s="10" t="s">
        <v>4</v>
      </c>
      <c r="B27" s="20">
        <f>DATE(2024,1,1)</f>
        <v>45292</v>
      </c>
      <c r="C27" s="20">
        <f>DATE(2024,3,1)</f>
        <v>45352</v>
      </c>
      <c r="D27" s="20">
        <f>DATE(2024,6,1)</f>
        <v>45444</v>
      </c>
      <c r="E27" s="20">
        <f>DATE(2024,9,1)</f>
        <v>45536</v>
      </c>
      <c r="F27" s="20">
        <f>DATE(2024,12,1)</f>
        <v>45627</v>
      </c>
      <c r="G27" s="20">
        <f>DATE(2025,12,1)</f>
        <v>45992</v>
      </c>
      <c r="H27" s="20">
        <f>DATE(2026,12,1)</f>
        <v>46357</v>
      </c>
      <c r="I27" s="20">
        <f>DATE(2027,12,1)</f>
        <v>46722</v>
      </c>
      <c r="J27" s="20">
        <f>DATE(2028,12,1)</f>
        <v>47088</v>
      </c>
      <c r="K27" s="20">
        <f>DATE(2029,12,1)</f>
        <v>47453</v>
      </c>
      <c r="L27" s="20">
        <f>DATE(2030,12,1)</f>
        <v>47818</v>
      </c>
      <c r="M27" s="20">
        <f>DATE(2031,12,1)</f>
        <v>48183</v>
      </c>
      <c r="N27" s="20">
        <f>DATE(2032,12,1)</f>
        <v>48549</v>
      </c>
      <c r="O27" s="20">
        <f>DATE(2033,12,1)</f>
        <v>48914</v>
      </c>
      <c r="P27" s="20">
        <f>DATE(2038,12,1)</f>
        <v>50740</v>
      </c>
      <c r="Q27" s="20">
        <f>DATE(2043,12,1)</f>
        <v>52566</v>
      </c>
      <c r="R27" s="20">
        <f>DATE(2048,12,1)</f>
        <v>54393</v>
      </c>
      <c r="S27" s="20">
        <f>DATE(2053,12,1)</f>
        <v>56219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4.25" customHeight="1">
      <c r="A28" s="9">
        <f>DATE(2024,1,1)</f>
        <v>45292</v>
      </c>
      <c r="B28" s="21">
        <f>100*(1+I7)</f>
        <v>100</v>
      </c>
      <c r="C28" s="21">
        <v>0.0</v>
      </c>
      <c r="D28" s="21">
        <v>0.0</v>
      </c>
      <c r="E28" s="2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21">
        <v>0.0</v>
      </c>
      <c r="L28" s="21">
        <v>0.0</v>
      </c>
      <c r="M28" s="21">
        <v>0.0</v>
      </c>
      <c r="N28" s="21">
        <v>0.0</v>
      </c>
      <c r="O28" s="21">
        <v>0.0</v>
      </c>
      <c r="P28" s="21">
        <v>0.0</v>
      </c>
      <c r="Q28" s="21">
        <v>0.0</v>
      </c>
      <c r="R28" s="21">
        <v>0.0</v>
      </c>
      <c r="S28" s="21">
        <v>0.0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4.25" customHeight="1">
      <c r="A29" s="9">
        <f>DATE(2024,3,1)</f>
        <v>45352</v>
      </c>
      <c r="B29" s="21">
        <f t="shared" ref="B29:B45" si="27">100*I8</f>
        <v>0</v>
      </c>
      <c r="C29" s="21">
        <f>100*(1+I8)</f>
        <v>100</v>
      </c>
      <c r="D29" s="21">
        <v>0.0</v>
      </c>
      <c r="E29" s="21">
        <v>0.0</v>
      </c>
      <c r="F29" s="21">
        <v>0.0</v>
      </c>
      <c r="G29" s="21">
        <v>0.0</v>
      </c>
      <c r="H29" s="21">
        <v>0.0</v>
      </c>
      <c r="I29" s="21">
        <v>0.0</v>
      </c>
      <c r="J29" s="21">
        <v>0.0</v>
      </c>
      <c r="K29" s="21">
        <v>0.0</v>
      </c>
      <c r="L29" s="21">
        <v>0.0</v>
      </c>
      <c r="M29" s="21">
        <v>0.0</v>
      </c>
      <c r="N29" s="21">
        <v>0.0</v>
      </c>
      <c r="O29" s="21">
        <v>0.0</v>
      </c>
      <c r="P29" s="21">
        <v>0.0</v>
      </c>
      <c r="Q29" s="21">
        <v>0.0</v>
      </c>
      <c r="R29" s="21">
        <v>0.0</v>
      </c>
      <c r="S29" s="21">
        <v>0.0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4.25" customHeight="1">
      <c r="A30" s="9">
        <f>DATE(2024,6,1)</f>
        <v>45444</v>
      </c>
      <c r="B30" s="21">
        <f t="shared" si="27"/>
        <v>0</v>
      </c>
      <c r="C30" s="21">
        <f t="shared" ref="C30:C45" si="28">100*I9</f>
        <v>0</v>
      </c>
      <c r="D30" s="21">
        <f>100*(1+I9)</f>
        <v>100</v>
      </c>
      <c r="E30" s="21">
        <v>0.0</v>
      </c>
      <c r="F30" s="21">
        <v>0.0</v>
      </c>
      <c r="G30" s="21">
        <v>0.0</v>
      </c>
      <c r="H30" s="21">
        <v>0.0</v>
      </c>
      <c r="I30" s="21">
        <v>0.0</v>
      </c>
      <c r="J30" s="21">
        <v>0.0</v>
      </c>
      <c r="K30" s="21">
        <v>0.0</v>
      </c>
      <c r="L30" s="21">
        <v>0.0</v>
      </c>
      <c r="M30" s="21">
        <v>0.0</v>
      </c>
      <c r="N30" s="21">
        <v>0.0</v>
      </c>
      <c r="O30" s="21">
        <v>0.0</v>
      </c>
      <c r="P30" s="21">
        <v>0.0</v>
      </c>
      <c r="Q30" s="21">
        <v>0.0</v>
      </c>
      <c r="R30" s="21">
        <v>0.0</v>
      </c>
      <c r="S30" s="21">
        <v>0.0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4.25" customHeight="1">
      <c r="A31" s="9">
        <f>DATE(2024,9,1)</f>
        <v>45536</v>
      </c>
      <c r="B31" s="21">
        <f t="shared" si="27"/>
        <v>0</v>
      </c>
      <c r="C31" s="21">
        <f t="shared" si="28"/>
        <v>0</v>
      </c>
      <c r="D31" s="21">
        <f t="shared" ref="D31:D45" si="29">100*I10</f>
        <v>0</v>
      </c>
      <c r="E31" s="21">
        <f>100*(1+I10)</f>
        <v>100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21">
        <v>0.0</v>
      </c>
      <c r="L31" s="21">
        <v>0.0</v>
      </c>
      <c r="M31" s="21">
        <v>0.0</v>
      </c>
      <c r="N31" s="21">
        <v>0.0</v>
      </c>
      <c r="O31" s="21">
        <v>0.0</v>
      </c>
      <c r="P31" s="21">
        <v>0.0</v>
      </c>
      <c r="Q31" s="21">
        <v>0.0</v>
      </c>
      <c r="R31" s="21">
        <v>0.0</v>
      </c>
      <c r="S31" s="21">
        <v>0.0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4.25" customHeight="1">
      <c r="A32" s="9">
        <f>DATE(2024,12,1)</f>
        <v>45627</v>
      </c>
      <c r="B32" s="21">
        <f t="shared" si="27"/>
        <v>0</v>
      </c>
      <c r="C32" s="21">
        <f t="shared" si="28"/>
        <v>0</v>
      </c>
      <c r="D32" s="21">
        <f t="shared" si="29"/>
        <v>0</v>
      </c>
      <c r="E32" s="21">
        <f t="shared" ref="E32:E45" si="30">100*I11</f>
        <v>0</v>
      </c>
      <c r="F32" s="21">
        <f>100*(1+I11)</f>
        <v>100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v>0.0</v>
      </c>
      <c r="O32" s="21">
        <v>0.0</v>
      </c>
      <c r="P32" s="21">
        <v>0.0</v>
      </c>
      <c r="Q32" s="21">
        <v>0.0</v>
      </c>
      <c r="R32" s="21">
        <v>0.0</v>
      </c>
      <c r="S32" s="21">
        <v>0.0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4.25" customHeight="1">
      <c r="A33" s="9">
        <f>DATE(2025,12,1)</f>
        <v>45992</v>
      </c>
      <c r="B33" s="21">
        <f t="shared" si="27"/>
        <v>0.5</v>
      </c>
      <c r="C33" s="21">
        <f t="shared" si="28"/>
        <v>0.5</v>
      </c>
      <c r="D33" s="21">
        <f t="shared" si="29"/>
        <v>0.5</v>
      </c>
      <c r="E33" s="21">
        <f t="shared" si="30"/>
        <v>0.5</v>
      </c>
      <c r="F33" s="21">
        <f t="shared" ref="F33:F45" si="31">100*I12</f>
        <v>0.5</v>
      </c>
      <c r="G33" s="21">
        <f>100*(1+I12)</f>
        <v>100.5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v>0.0</v>
      </c>
      <c r="O33" s="21">
        <v>0.0</v>
      </c>
      <c r="P33" s="21">
        <v>0.0</v>
      </c>
      <c r="Q33" s="21">
        <v>0.0</v>
      </c>
      <c r="R33" s="21">
        <v>0.0</v>
      </c>
      <c r="S33" s="21">
        <v>0.0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4.25" customHeight="1">
      <c r="A34" s="9">
        <f>DATE(2026,12,1)</f>
        <v>46357</v>
      </c>
      <c r="B34" s="21">
        <f t="shared" si="27"/>
        <v>0.125</v>
      </c>
      <c r="C34" s="21">
        <f t="shared" si="28"/>
        <v>0.125</v>
      </c>
      <c r="D34" s="21">
        <f t="shared" si="29"/>
        <v>0.125</v>
      </c>
      <c r="E34" s="21">
        <f t="shared" si="30"/>
        <v>0.125</v>
      </c>
      <c r="F34" s="21">
        <f t="shared" si="31"/>
        <v>0.125</v>
      </c>
      <c r="G34" s="21">
        <f t="shared" ref="G34:G45" si="32">100*(I13)</f>
        <v>0.125</v>
      </c>
      <c r="H34" s="21">
        <f>100*(1+I13)</f>
        <v>100.125</v>
      </c>
      <c r="I34" s="21">
        <v>0.0</v>
      </c>
      <c r="J34" s="21">
        <v>0.0</v>
      </c>
      <c r="K34" s="21">
        <v>0.0</v>
      </c>
      <c r="L34" s="21">
        <v>0.0</v>
      </c>
      <c r="M34" s="21">
        <v>0.0</v>
      </c>
      <c r="N34" s="21">
        <v>0.0</v>
      </c>
      <c r="O34" s="21">
        <v>0.0</v>
      </c>
      <c r="P34" s="21">
        <v>0.0</v>
      </c>
      <c r="Q34" s="21">
        <v>0.0</v>
      </c>
      <c r="R34" s="21">
        <v>0.0</v>
      </c>
      <c r="S34" s="21">
        <v>0.0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4.25" customHeight="1">
      <c r="A35" s="9">
        <f>DATE(2027,12,1)</f>
        <v>46722</v>
      </c>
      <c r="B35" s="21">
        <f t="shared" si="27"/>
        <v>1.375</v>
      </c>
      <c r="C35" s="21">
        <f t="shared" si="28"/>
        <v>1.375</v>
      </c>
      <c r="D35" s="21">
        <f t="shared" si="29"/>
        <v>1.375</v>
      </c>
      <c r="E35" s="21">
        <f t="shared" si="30"/>
        <v>1.375</v>
      </c>
      <c r="F35" s="21">
        <f t="shared" si="31"/>
        <v>1.375</v>
      </c>
      <c r="G35" s="21">
        <f t="shared" si="32"/>
        <v>1.375</v>
      </c>
      <c r="H35" s="21">
        <f t="shared" ref="H35:H45" si="33">100*I14</f>
        <v>1.375</v>
      </c>
      <c r="I35" s="21">
        <f>100*(1+I14)</f>
        <v>101.375</v>
      </c>
      <c r="J35" s="21">
        <v>0.0</v>
      </c>
      <c r="K35" s="21">
        <v>0.0</v>
      </c>
      <c r="L35" s="21">
        <v>0.0</v>
      </c>
      <c r="M35" s="21">
        <v>0.0</v>
      </c>
      <c r="N35" s="21">
        <v>0.0</v>
      </c>
      <c r="O35" s="21">
        <v>0.0</v>
      </c>
      <c r="P35" s="21">
        <v>0.0</v>
      </c>
      <c r="Q35" s="21">
        <v>0.0</v>
      </c>
      <c r="R35" s="21">
        <v>0.0</v>
      </c>
      <c r="S35" s="21">
        <v>0.0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4.25" customHeight="1">
      <c r="A36" s="9">
        <f>DATE(2028,12,1)</f>
        <v>47088</v>
      </c>
      <c r="B36" s="21">
        <f t="shared" si="27"/>
        <v>0.375</v>
      </c>
      <c r="C36" s="21">
        <f t="shared" si="28"/>
        <v>0.375</v>
      </c>
      <c r="D36" s="21">
        <f t="shared" si="29"/>
        <v>0.375</v>
      </c>
      <c r="E36" s="21">
        <f t="shared" si="30"/>
        <v>0.375</v>
      </c>
      <c r="F36" s="21">
        <f t="shared" si="31"/>
        <v>0.375</v>
      </c>
      <c r="G36" s="21">
        <f t="shared" si="32"/>
        <v>0.375</v>
      </c>
      <c r="H36" s="21">
        <f t="shared" si="33"/>
        <v>0.375</v>
      </c>
      <c r="I36" s="21">
        <f t="shared" ref="I36:I45" si="34">100*(I15)</f>
        <v>0.375</v>
      </c>
      <c r="J36" s="21">
        <f>100*(1+I15)</f>
        <v>100.375</v>
      </c>
      <c r="K36" s="21">
        <v>0.0</v>
      </c>
      <c r="L36" s="21">
        <v>0.0</v>
      </c>
      <c r="M36" s="21">
        <v>0.0</v>
      </c>
      <c r="N36" s="21">
        <v>0.0</v>
      </c>
      <c r="O36" s="21">
        <v>0.0</v>
      </c>
      <c r="P36" s="21">
        <v>0.0</v>
      </c>
      <c r="Q36" s="21">
        <v>0.0</v>
      </c>
      <c r="R36" s="21">
        <v>0.0</v>
      </c>
      <c r="S36" s="21">
        <v>0.0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4.25" customHeight="1">
      <c r="A37" s="9">
        <f>DATE(2029,12,1)</f>
        <v>47453</v>
      </c>
      <c r="B37" s="21">
        <f t="shared" si="27"/>
        <v>0</v>
      </c>
      <c r="C37" s="21">
        <f t="shared" si="28"/>
        <v>0</v>
      </c>
      <c r="D37" s="21">
        <f t="shared" si="29"/>
        <v>0</v>
      </c>
      <c r="E37" s="21">
        <f t="shared" si="30"/>
        <v>0</v>
      </c>
      <c r="F37" s="21">
        <f t="shared" si="31"/>
        <v>0</v>
      </c>
      <c r="G37" s="21">
        <f t="shared" si="32"/>
        <v>0</v>
      </c>
      <c r="H37" s="21">
        <f t="shared" si="33"/>
        <v>0</v>
      </c>
      <c r="I37" s="21">
        <f t="shared" si="34"/>
        <v>0</v>
      </c>
      <c r="J37" s="21">
        <f t="shared" ref="J37:J45" si="35">100*(I16)</f>
        <v>0</v>
      </c>
      <c r="K37" s="21">
        <f>100*(1+I16)</f>
        <v>100</v>
      </c>
      <c r="L37" s="21">
        <v>0.0</v>
      </c>
      <c r="M37" s="21">
        <v>0.0</v>
      </c>
      <c r="N37" s="21">
        <v>0.0</v>
      </c>
      <c r="O37" s="21">
        <v>0.0</v>
      </c>
      <c r="P37" s="21">
        <v>0.0</v>
      </c>
      <c r="Q37" s="21">
        <v>0.0</v>
      </c>
      <c r="R37" s="21">
        <v>0.0</v>
      </c>
      <c r="S37" s="21">
        <v>0.0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4.25" customHeight="1">
      <c r="A38" s="9">
        <f>DATE(2030,12,1)</f>
        <v>47818</v>
      </c>
      <c r="B38" s="21">
        <f t="shared" si="27"/>
        <v>0</v>
      </c>
      <c r="C38" s="21">
        <f t="shared" si="28"/>
        <v>0</v>
      </c>
      <c r="D38" s="21">
        <f t="shared" si="29"/>
        <v>0</v>
      </c>
      <c r="E38" s="21">
        <f t="shared" si="30"/>
        <v>0</v>
      </c>
      <c r="F38" s="21">
        <f t="shared" si="31"/>
        <v>0</v>
      </c>
      <c r="G38" s="21">
        <f t="shared" si="32"/>
        <v>0</v>
      </c>
      <c r="H38" s="21">
        <f t="shared" si="33"/>
        <v>0</v>
      </c>
      <c r="I38" s="21">
        <f t="shared" si="34"/>
        <v>0</v>
      </c>
      <c r="J38" s="21">
        <f t="shared" si="35"/>
        <v>0</v>
      </c>
      <c r="K38" s="21">
        <f t="shared" ref="K38:K45" si="36">100*I17</f>
        <v>0</v>
      </c>
      <c r="L38" s="21">
        <f>100*(1+I15)</f>
        <v>100.375</v>
      </c>
      <c r="M38" s="21">
        <v>0.0</v>
      </c>
      <c r="N38" s="21">
        <v>0.0</v>
      </c>
      <c r="O38" s="21">
        <v>0.0</v>
      </c>
      <c r="P38" s="21">
        <v>0.0</v>
      </c>
      <c r="Q38" s="21">
        <v>0.0</v>
      </c>
      <c r="R38" s="21">
        <v>0.0</v>
      </c>
      <c r="S38" s="21">
        <v>0.0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4.25" customHeight="1">
      <c r="A39" s="9">
        <f>DATE(2031,12,1)</f>
        <v>48183</v>
      </c>
      <c r="B39" s="21">
        <f t="shared" si="27"/>
        <v>0</v>
      </c>
      <c r="C39" s="21">
        <f t="shared" si="28"/>
        <v>0</v>
      </c>
      <c r="D39" s="21">
        <f t="shared" si="29"/>
        <v>0</v>
      </c>
      <c r="E39" s="21">
        <f t="shared" si="30"/>
        <v>0</v>
      </c>
      <c r="F39" s="21">
        <f t="shared" si="31"/>
        <v>0</v>
      </c>
      <c r="G39" s="21">
        <f t="shared" si="32"/>
        <v>0</v>
      </c>
      <c r="H39" s="21">
        <f t="shared" si="33"/>
        <v>0</v>
      </c>
      <c r="I39" s="21">
        <f t="shared" si="34"/>
        <v>0</v>
      </c>
      <c r="J39" s="21">
        <f t="shared" si="35"/>
        <v>0</v>
      </c>
      <c r="K39" s="21">
        <f t="shared" si="36"/>
        <v>0</v>
      </c>
      <c r="L39" s="21">
        <f t="shared" ref="L39:L45" si="37">100*I18</f>
        <v>0</v>
      </c>
      <c r="M39" s="21">
        <f>100*(1+I18)</f>
        <v>100</v>
      </c>
      <c r="N39" s="21">
        <v>0.0</v>
      </c>
      <c r="O39" s="21">
        <v>0.0</v>
      </c>
      <c r="P39" s="21">
        <v>0.0</v>
      </c>
      <c r="Q39" s="21">
        <v>0.0</v>
      </c>
      <c r="R39" s="21">
        <v>0.0</v>
      </c>
      <c r="S39" s="21">
        <v>0.0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4.25" customHeight="1">
      <c r="A40" s="9">
        <f>DATE(2032,12,1)</f>
        <v>48549</v>
      </c>
      <c r="B40" s="21">
        <f t="shared" si="27"/>
        <v>1</v>
      </c>
      <c r="C40" s="21">
        <f t="shared" si="28"/>
        <v>1</v>
      </c>
      <c r="D40" s="21">
        <f t="shared" si="29"/>
        <v>1</v>
      </c>
      <c r="E40" s="21">
        <f t="shared" si="30"/>
        <v>1</v>
      </c>
      <c r="F40" s="21">
        <f t="shared" si="31"/>
        <v>1</v>
      </c>
      <c r="G40" s="21">
        <f t="shared" si="32"/>
        <v>1</v>
      </c>
      <c r="H40" s="21">
        <f t="shared" si="33"/>
        <v>1</v>
      </c>
      <c r="I40" s="21">
        <f t="shared" si="34"/>
        <v>1</v>
      </c>
      <c r="J40" s="21">
        <f t="shared" si="35"/>
        <v>1</v>
      </c>
      <c r="K40" s="21">
        <f t="shared" si="36"/>
        <v>1</v>
      </c>
      <c r="L40" s="21">
        <f t="shared" si="37"/>
        <v>1</v>
      </c>
      <c r="M40" s="21">
        <f t="shared" ref="M40:M45" si="38">100*I19</f>
        <v>1</v>
      </c>
      <c r="N40" s="21">
        <f>100*(1+I19)</f>
        <v>101</v>
      </c>
      <c r="O40" s="21">
        <v>0.0</v>
      </c>
      <c r="P40" s="21">
        <v>0.0</v>
      </c>
      <c r="Q40" s="21">
        <v>0.0</v>
      </c>
      <c r="R40" s="21">
        <v>0.0</v>
      </c>
      <c r="S40" s="21">
        <v>0.0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4.25" customHeight="1">
      <c r="A41" s="9">
        <f>DATE(2033,12,1)</f>
        <v>48914</v>
      </c>
      <c r="B41" s="21">
        <f t="shared" si="27"/>
        <v>1.75</v>
      </c>
      <c r="C41" s="21">
        <f t="shared" si="28"/>
        <v>1.75</v>
      </c>
      <c r="D41" s="21">
        <f t="shared" si="29"/>
        <v>1.75</v>
      </c>
      <c r="E41" s="21">
        <f t="shared" si="30"/>
        <v>1.75</v>
      </c>
      <c r="F41" s="21">
        <f t="shared" si="31"/>
        <v>1.75</v>
      </c>
      <c r="G41" s="21">
        <f t="shared" si="32"/>
        <v>1.75</v>
      </c>
      <c r="H41" s="21">
        <f t="shared" si="33"/>
        <v>1.75</v>
      </c>
      <c r="I41" s="21">
        <f t="shared" si="34"/>
        <v>1.75</v>
      </c>
      <c r="J41" s="21">
        <f t="shared" si="35"/>
        <v>1.75</v>
      </c>
      <c r="K41" s="21">
        <f t="shared" si="36"/>
        <v>1.75</v>
      </c>
      <c r="L41" s="21">
        <f t="shared" si="37"/>
        <v>1.75</v>
      </c>
      <c r="M41" s="21">
        <f t="shared" si="38"/>
        <v>1.75</v>
      </c>
      <c r="N41" s="21">
        <f t="shared" ref="N41:N45" si="39">100*I20</f>
        <v>1.75</v>
      </c>
      <c r="O41" s="21">
        <f>100*(1+I20)</f>
        <v>101.75</v>
      </c>
      <c r="P41" s="21">
        <v>0.0</v>
      </c>
      <c r="Q41" s="21">
        <v>0.0</v>
      </c>
      <c r="R41" s="21">
        <v>0.0</v>
      </c>
      <c r="S41" s="21">
        <v>0.0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4.25" customHeight="1">
      <c r="A42" s="9">
        <f>DATE(2038,12,1)</f>
        <v>50740</v>
      </c>
      <c r="B42" s="21">
        <f t="shared" si="27"/>
        <v>2</v>
      </c>
      <c r="C42" s="21">
        <f t="shared" si="28"/>
        <v>2</v>
      </c>
      <c r="D42" s="21">
        <f t="shared" si="29"/>
        <v>2</v>
      </c>
      <c r="E42" s="21">
        <f t="shared" si="30"/>
        <v>2</v>
      </c>
      <c r="F42" s="21">
        <f t="shared" si="31"/>
        <v>2</v>
      </c>
      <c r="G42" s="21">
        <f t="shared" si="32"/>
        <v>2</v>
      </c>
      <c r="H42" s="21">
        <f t="shared" si="33"/>
        <v>2</v>
      </c>
      <c r="I42" s="21">
        <f t="shared" si="34"/>
        <v>2</v>
      </c>
      <c r="J42" s="21">
        <f t="shared" si="35"/>
        <v>2</v>
      </c>
      <c r="K42" s="21">
        <f t="shared" si="36"/>
        <v>2</v>
      </c>
      <c r="L42" s="21">
        <f t="shared" si="37"/>
        <v>2</v>
      </c>
      <c r="M42" s="21">
        <f t="shared" si="38"/>
        <v>2</v>
      </c>
      <c r="N42" s="21">
        <f t="shared" si="39"/>
        <v>2</v>
      </c>
      <c r="O42" s="21">
        <f t="shared" ref="O42:O45" si="40">100*I21</f>
        <v>2</v>
      </c>
      <c r="P42" s="21">
        <f>100*(1+I21)</f>
        <v>102</v>
      </c>
      <c r="Q42" s="21">
        <v>0.0</v>
      </c>
      <c r="R42" s="21">
        <v>0.0</v>
      </c>
      <c r="S42" s="21">
        <v>0.0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4.25" customHeight="1">
      <c r="A43" s="9">
        <f>DATE(2043,12,1)</f>
        <v>52566</v>
      </c>
      <c r="B43" s="21">
        <f t="shared" si="27"/>
        <v>1.25</v>
      </c>
      <c r="C43" s="21">
        <f t="shared" si="28"/>
        <v>1.25</v>
      </c>
      <c r="D43" s="21">
        <f t="shared" si="29"/>
        <v>1.25</v>
      </c>
      <c r="E43" s="21">
        <f t="shared" si="30"/>
        <v>1.25</v>
      </c>
      <c r="F43" s="21">
        <f t="shared" si="31"/>
        <v>1.25</v>
      </c>
      <c r="G43" s="21">
        <f t="shared" si="32"/>
        <v>1.25</v>
      </c>
      <c r="H43" s="21">
        <f t="shared" si="33"/>
        <v>1.25</v>
      </c>
      <c r="I43" s="21">
        <f t="shared" si="34"/>
        <v>1.25</v>
      </c>
      <c r="J43" s="21">
        <f t="shared" si="35"/>
        <v>1.25</v>
      </c>
      <c r="K43" s="21">
        <f t="shared" si="36"/>
        <v>1.25</v>
      </c>
      <c r="L43" s="21">
        <f t="shared" si="37"/>
        <v>1.25</v>
      </c>
      <c r="M43" s="21">
        <f t="shared" si="38"/>
        <v>1.25</v>
      </c>
      <c r="N43" s="21">
        <f t="shared" si="39"/>
        <v>1.25</v>
      </c>
      <c r="O43" s="21">
        <f t="shared" si="40"/>
        <v>1.25</v>
      </c>
      <c r="P43" s="21">
        <f t="shared" ref="P43:P45" si="41">100*I22</f>
        <v>1.25</v>
      </c>
      <c r="Q43" s="21">
        <f>100*(1+I22)</f>
        <v>101.25</v>
      </c>
      <c r="R43" s="21">
        <v>0.0</v>
      </c>
      <c r="S43" s="21">
        <v>0.0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4.25" customHeight="1">
      <c r="A44" s="9">
        <f>DATE(2048,12,1)</f>
        <v>54393</v>
      </c>
      <c r="B44" s="21">
        <f t="shared" si="27"/>
        <v>1</v>
      </c>
      <c r="C44" s="21">
        <f t="shared" si="28"/>
        <v>1</v>
      </c>
      <c r="D44" s="21">
        <f t="shared" si="29"/>
        <v>1</v>
      </c>
      <c r="E44" s="21">
        <f t="shared" si="30"/>
        <v>1</v>
      </c>
      <c r="F44" s="21">
        <f t="shared" si="31"/>
        <v>1</v>
      </c>
      <c r="G44" s="21">
        <f t="shared" si="32"/>
        <v>1</v>
      </c>
      <c r="H44" s="21">
        <f t="shared" si="33"/>
        <v>1</v>
      </c>
      <c r="I44" s="21">
        <f t="shared" si="34"/>
        <v>1</v>
      </c>
      <c r="J44" s="21">
        <f t="shared" si="35"/>
        <v>1</v>
      </c>
      <c r="K44" s="21">
        <f t="shared" si="36"/>
        <v>1</v>
      </c>
      <c r="L44" s="21">
        <f t="shared" si="37"/>
        <v>1</v>
      </c>
      <c r="M44" s="21">
        <f t="shared" si="38"/>
        <v>1</v>
      </c>
      <c r="N44" s="21">
        <f t="shared" si="39"/>
        <v>1</v>
      </c>
      <c r="O44" s="21">
        <f t="shared" si="40"/>
        <v>1</v>
      </c>
      <c r="P44" s="21">
        <f t="shared" si="41"/>
        <v>1</v>
      </c>
      <c r="Q44" s="21">
        <f t="shared" ref="Q44:Q45" si="42">100*I23</f>
        <v>1</v>
      </c>
      <c r="R44" s="21">
        <f>100*(1+I23)</f>
        <v>101</v>
      </c>
      <c r="S44" s="21">
        <v>0.0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4.25" customHeight="1">
      <c r="A45" s="9">
        <f>DATE(2053,12,1)</f>
        <v>56219</v>
      </c>
      <c r="B45" s="21">
        <f t="shared" si="27"/>
        <v>1.5</v>
      </c>
      <c r="C45" s="21">
        <f t="shared" si="28"/>
        <v>1.5</v>
      </c>
      <c r="D45" s="21">
        <f t="shared" si="29"/>
        <v>1.5</v>
      </c>
      <c r="E45" s="21">
        <f t="shared" si="30"/>
        <v>1.5</v>
      </c>
      <c r="F45" s="21">
        <f t="shared" si="31"/>
        <v>1.5</v>
      </c>
      <c r="G45" s="21">
        <f t="shared" si="32"/>
        <v>1.5</v>
      </c>
      <c r="H45" s="21">
        <f t="shared" si="33"/>
        <v>1.5</v>
      </c>
      <c r="I45" s="21">
        <f t="shared" si="34"/>
        <v>1.5</v>
      </c>
      <c r="J45" s="21">
        <f t="shared" si="35"/>
        <v>1.5</v>
      </c>
      <c r="K45" s="21">
        <f t="shared" si="36"/>
        <v>1.5</v>
      </c>
      <c r="L45" s="21">
        <f t="shared" si="37"/>
        <v>1.5</v>
      </c>
      <c r="M45" s="21">
        <f t="shared" si="38"/>
        <v>1.5</v>
      </c>
      <c r="N45" s="21">
        <f t="shared" si="39"/>
        <v>1.5</v>
      </c>
      <c r="O45" s="21">
        <f t="shared" si="40"/>
        <v>1.5</v>
      </c>
      <c r="P45" s="21">
        <f t="shared" si="41"/>
        <v>1.5</v>
      </c>
      <c r="Q45" s="21">
        <f t="shared" si="42"/>
        <v>1.5</v>
      </c>
      <c r="R45" s="21">
        <f>100*I24</f>
        <v>1.5</v>
      </c>
      <c r="S45" s="21">
        <f>100*(1+I24)</f>
        <v>101.5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4.25" customHeight="1">
      <c r="A47" s="2" t="s">
        <v>18</v>
      </c>
      <c r="B47" s="3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4.25" customHeight="1">
      <c r="A48" s="10" t="s">
        <v>4</v>
      </c>
      <c r="B48" s="20">
        <f>DATE(2024,1,1)</f>
        <v>45292</v>
      </c>
      <c r="C48" s="20">
        <f>DATE(2024,3,1)</f>
        <v>45352</v>
      </c>
      <c r="D48" s="20">
        <f>DATE(2024,6,1)</f>
        <v>45444</v>
      </c>
      <c r="E48" s="20">
        <f>DATE(2024,9,1)</f>
        <v>45536</v>
      </c>
      <c r="F48" s="20">
        <f>DATE(2024,12,1)</f>
        <v>45627</v>
      </c>
      <c r="G48" s="20">
        <f>DATE(2025,12,1)</f>
        <v>45992</v>
      </c>
      <c r="H48" s="20">
        <f>DATE(2026,12,1)</f>
        <v>46357</v>
      </c>
      <c r="I48" s="20">
        <f>DATE(2027,12,1)</f>
        <v>46722</v>
      </c>
      <c r="J48" s="20">
        <f>DATE(2028,12,1)</f>
        <v>47088</v>
      </c>
      <c r="K48" s="20">
        <f>DATE(2029,12,1)</f>
        <v>47453</v>
      </c>
      <c r="L48" s="20">
        <f>DATE(2030,12,1)</f>
        <v>47818</v>
      </c>
      <c r="M48" s="20">
        <f>DATE(2031,12,1)</f>
        <v>48183</v>
      </c>
      <c r="N48" s="20">
        <f>DATE(2032,12,1)</f>
        <v>48549</v>
      </c>
      <c r="O48" s="20">
        <f>DATE(2033,12,1)</f>
        <v>48914</v>
      </c>
      <c r="P48" s="20">
        <f>DATE(2038,12,1)</f>
        <v>50740</v>
      </c>
      <c r="Q48" s="20">
        <f>DATE(2043,12,1)</f>
        <v>52566</v>
      </c>
      <c r="R48" s="20">
        <f>DATE(2048,12,1)</f>
        <v>54393</v>
      </c>
      <c r="S48" s="20">
        <f>DATE(2053,12,1)</f>
        <v>56219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4.25" customHeight="1">
      <c r="A49" s="9">
        <f>DATE(2024,1,1)</f>
        <v>45292</v>
      </c>
      <c r="B49" s="22">
        <f t="array" ref="B49:S66">MINVERSE(B28:S45)</f>
        <v>0.01</v>
      </c>
      <c r="C49" s="22">
        <v>0.0</v>
      </c>
      <c r="D49" s="22">
        <v>0.0</v>
      </c>
      <c r="E49" s="22">
        <v>0.0</v>
      </c>
      <c r="F49" s="22">
        <v>0.0</v>
      </c>
      <c r="G49" s="22">
        <v>0.0</v>
      </c>
      <c r="H49" s="22">
        <v>0.0</v>
      </c>
      <c r="I49" s="22">
        <v>0.0</v>
      </c>
      <c r="J49" s="22">
        <v>0.0</v>
      </c>
      <c r="K49" s="22">
        <v>0.0</v>
      </c>
      <c r="L49" s="22">
        <v>0.0</v>
      </c>
      <c r="M49" s="22">
        <v>0.0</v>
      </c>
      <c r="N49" s="22">
        <v>0.0</v>
      </c>
      <c r="O49" s="22">
        <v>0.0</v>
      </c>
      <c r="P49" s="22">
        <v>0.0</v>
      </c>
      <c r="Q49" s="22">
        <v>0.0</v>
      </c>
      <c r="R49" s="22">
        <v>0.0</v>
      </c>
      <c r="S49" s="22">
        <v>0.0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4.25" customHeight="1">
      <c r="A50" s="9">
        <f>DATE(2024,3,1)</f>
        <v>45352</v>
      </c>
      <c r="B50" s="22">
        <v>0.0</v>
      </c>
      <c r="C50" s="22">
        <v>0.01</v>
      </c>
      <c r="D50" s="22">
        <v>0.0</v>
      </c>
      <c r="E50" s="22">
        <v>0.0</v>
      </c>
      <c r="F50" s="22">
        <v>0.0</v>
      </c>
      <c r="G50" s="22">
        <v>0.0</v>
      </c>
      <c r="H50" s="22">
        <v>0.0</v>
      </c>
      <c r="I50" s="22">
        <v>0.0</v>
      </c>
      <c r="J50" s="22">
        <v>0.0</v>
      </c>
      <c r="K50" s="22">
        <v>0.0</v>
      </c>
      <c r="L50" s="22">
        <v>0.0</v>
      </c>
      <c r="M50" s="22">
        <v>0.0</v>
      </c>
      <c r="N50" s="22">
        <v>0.0</v>
      </c>
      <c r="O50" s="22">
        <v>0.0</v>
      </c>
      <c r="P50" s="22">
        <v>0.0</v>
      </c>
      <c r="Q50" s="22">
        <v>0.0</v>
      </c>
      <c r="R50" s="22">
        <v>0.0</v>
      </c>
      <c r="S50" s="22">
        <v>0.0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4.25" customHeight="1">
      <c r="A51" s="9">
        <f>DATE(2024,6,1)</f>
        <v>45444</v>
      </c>
      <c r="B51" s="22">
        <v>0.0</v>
      </c>
      <c r="C51" s="22">
        <v>0.0</v>
      </c>
      <c r="D51" s="22">
        <v>0.01</v>
      </c>
      <c r="E51" s="22">
        <v>0.0</v>
      </c>
      <c r="F51" s="22">
        <v>0.0</v>
      </c>
      <c r="G51" s="22">
        <v>0.0</v>
      </c>
      <c r="H51" s="22">
        <v>0.0</v>
      </c>
      <c r="I51" s="22">
        <v>0.0</v>
      </c>
      <c r="J51" s="22">
        <v>0.0</v>
      </c>
      <c r="K51" s="22">
        <v>0.0</v>
      </c>
      <c r="L51" s="22">
        <v>0.0</v>
      </c>
      <c r="M51" s="22">
        <v>0.0</v>
      </c>
      <c r="N51" s="22">
        <v>0.0</v>
      </c>
      <c r="O51" s="22">
        <v>0.0</v>
      </c>
      <c r="P51" s="22">
        <v>0.0</v>
      </c>
      <c r="Q51" s="22">
        <v>0.0</v>
      </c>
      <c r="R51" s="22">
        <v>0.0</v>
      </c>
      <c r="S51" s="22">
        <v>0.0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4.25" customHeight="1">
      <c r="A52" s="9">
        <f>DATE(2024,9,1)</f>
        <v>45536</v>
      </c>
      <c r="B52" s="22">
        <v>0.0</v>
      </c>
      <c r="C52" s="22">
        <v>0.0</v>
      </c>
      <c r="D52" s="22">
        <v>0.0</v>
      </c>
      <c r="E52" s="22">
        <v>0.01</v>
      </c>
      <c r="F52" s="22">
        <v>0.0</v>
      </c>
      <c r="G52" s="22">
        <v>0.0</v>
      </c>
      <c r="H52" s="22">
        <v>0.0</v>
      </c>
      <c r="I52" s="22">
        <v>0.0</v>
      </c>
      <c r="J52" s="22">
        <v>0.0</v>
      </c>
      <c r="K52" s="22">
        <v>0.0</v>
      </c>
      <c r="L52" s="22">
        <v>0.0</v>
      </c>
      <c r="M52" s="22">
        <v>0.0</v>
      </c>
      <c r="N52" s="22">
        <v>0.0</v>
      </c>
      <c r="O52" s="22">
        <v>0.0</v>
      </c>
      <c r="P52" s="22">
        <v>0.0</v>
      </c>
      <c r="Q52" s="22">
        <v>0.0</v>
      </c>
      <c r="R52" s="22">
        <v>0.0</v>
      </c>
      <c r="S52" s="22">
        <v>0.0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4.25" customHeight="1">
      <c r="A53" s="9">
        <f>DATE(2024,12,1)</f>
        <v>45627</v>
      </c>
      <c r="B53" s="22">
        <v>0.0</v>
      </c>
      <c r="C53" s="22">
        <v>0.0</v>
      </c>
      <c r="D53" s="22">
        <v>0.0</v>
      </c>
      <c r="E53" s="22">
        <v>0.0</v>
      </c>
      <c r="F53" s="22">
        <v>0.01</v>
      </c>
      <c r="G53" s="22">
        <v>0.0</v>
      </c>
      <c r="H53" s="22">
        <v>0.0</v>
      </c>
      <c r="I53" s="22">
        <v>0.0</v>
      </c>
      <c r="J53" s="22">
        <v>0.0</v>
      </c>
      <c r="K53" s="22">
        <v>0.0</v>
      </c>
      <c r="L53" s="22">
        <v>0.0</v>
      </c>
      <c r="M53" s="22">
        <v>0.0</v>
      </c>
      <c r="N53" s="22">
        <v>0.0</v>
      </c>
      <c r="O53" s="22">
        <v>0.0</v>
      </c>
      <c r="P53" s="22">
        <v>0.0</v>
      </c>
      <c r="Q53" s="22">
        <v>0.0</v>
      </c>
      <c r="R53" s="22">
        <v>0.0</v>
      </c>
      <c r="S53" s="22">
        <v>0.0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4.25" customHeight="1">
      <c r="A54" s="9">
        <f>DATE(2025,12,1)</f>
        <v>45992</v>
      </c>
      <c r="B54" s="22">
        <v>-4.975124378109453E-5</v>
      </c>
      <c r="C54" s="22">
        <v>-4.975124378109453E-5</v>
      </c>
      <c r="D54" s="22">
        <v>-4.975124378109453E-5</v>
      </c>
      <c r="E54" s="22">
        <v>-4.975124378109453E-5</v>
      </c>
      <c r="F54" s="22">
        <v>-4.975124378109453E-5</v>
      </c>
      <c r="G54" s="22">
        <v>0.009950248756218907</v>
      </c>
      <c r="H54" s="22">
        <v>0.0</v>
      </c>
      <c r="I54" s="22">
        <v>0.0</v>
      </c>
      <c r="J54" s="22">
        <v>0.0</v>
      </c>
      <c r="K54" s="22">
        <v>0.0</v>
      </c>
      <c r="L54" s="22">
        <v>0.0</v>
      </c>
      <c r="M54" s="22">
        <v>0.0</v>
      </c>
      <c r="N54" s="22">
        <v>0.0</v>
      </c>
      <c r="O54" s="22">
        <v>0.0</v>
      </c>
      <c r="P54" s="22">
        <v>0.0</v>
      </c>
      <c r="Q54" s="22">
        <v>0.0</v>
      </c>
      <c r="R54" s="22">
        <v>0.0</v>
      </c>
      <c r="S54" s="22">
        <v>0.0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4.25" customHeight="1">
      <c r="A55" s="9">
        <f>DATE(2026,12,1)</f>
        <v>46357</v>
      </c>
      <c r="B55" s="22">
        <v>-1.242228309140937E-5</v>
      </c>
      <c r="C55" s="22">
        <v>-1.242228309140937E-5</v>
      </c>
      <c r="D55" s="22">
        <v>-1.242228309140937E-5</v>
      </c>
      <c r="E55" s="22">
        <v>-1.242228309140937E-5</v>
      </c>
      <c r="F55" s="22">
        <v>-1.242228309140937E-5</v>
      </c>
      <c r="G55" s="22">
        <v>-1.2422283091409371E-5</v>
      </c>
      <c r="H55" s="22">
        <v>0.009987515605493134</v>
      </c>
      <c r="I55" s="22">
        <v>0.0</v>
      </c>
      <c r="J55" s="22">
        <v>0.0</v>
      </c>
      <c r="K55" s="22">
        <v>0.0</v>
      </c>
      <c r="L55" s="22">
        <v>0.0</v>
      </c>
      <c r="M55" s="22">
        <v>0.0</v>
      </c>
      <c r="N55" s="22">
        <v>0.0</v>
      </c>
      <c r="O55" s="22">
        <v>0.0</v>
      </c>
      <c r="P55" s="22">
        <v>0.0</v>
      </c>
      <c r="Q55" s="22">
        <v>0.0</v>
      </c>
      <c r="R55" s="22">
        <v>0.0</v>
      </c>
      <c r="S55" s="22">
        <v>0.0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4.25" customHeight="1">
      <c r="A56" s="9">
        <f>DATE(2027,12,1)</f>
        <v>46722</v>
      </c>
      <c r="B56" s="22">
        <v>-1.3479172774895495E-4</v>
      </c>
      <c r="C56" s="22">
        <v>-1.3479172774895495E-4</v>
      </c>
      <c r="D56" s="22">
        <v>-1.3479172774895495E-4</v>
      </c>
      <c r="E56" s="22">
        <v>-1.3479172774895495E-4</v>
      </c>
      <c r="F56" s="22">
        <v>-1.3479172774895495E-4</v>
      </c>
      <c r="G56" s="22">
        <v>-1.3479172774895495E-4</v>
      </c>
      <c r="H56" s="22">
        <v>-1.3546568638769972E-4</v>
      </c>
      <c r="I56" s="22">
        <v>0.009864364981504316</v>
      </c>
      <c r="J56" s="22">
        <v>0.0</v>
      </c>
      <c r="K56" s="22">
        <v>0.0</v>
      </c>
      <c r="L56" s="22">
        <v>0.0</v>
      </c>
      <c r="M56" s="22">
        <v>0.0</v>
      </c>
      <c r="N56" s="22">
        <v>0.0</v>
      </c>
      <c r="O56" s="22">
        <v>0.0</v>
      </c>
      <c r="P56" s="22">
        <v>0.0</v>
      </c>
      <c r="Q56" s="22">
        <v>0.0</v>
      </c>
      <c r="R56" s="22">
        <v>0.0</v>
      </c>
      <c r="S56" s="22">
        <v>0.0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4.25" customHeight="1">
      <c r="A57" s="9">
        <f>DATE(2028,12,1)</f>
        <v>47088</v>
      </c>
      <c r="B57" s="22">
        <v>-3.6624040144627186E-5</v>
      </c>
      <c r="C57" s="22">
        <v>-3.6624040144627186E-5</v>
      </c>
      <c r="D57" s="22">
        <v>-3.6624040144627186E-5</v>
      </c>
      <c r="E57" s="22">
        <v>-3.6624040144627186E-5</v>
      </c>
      <c r="F57" s="22">
        <v>-3.6624040144627186E-5</v>
      </c>
      <c r="G57" s="22">
        <v>-3.6624040144627186E-5</v>
      </c>
      <c r="H57" s="22">
        <v>-3.6807160345350314E-5</v>
      </c>
      <c r="I57" s="22">
        <v>-3.6853169295782004E-5</v>
      </c>
      <c r="J57" s="22">
        <v>0.009962640099626403</v>
      </c>
      <c r="K57" s="22">
        <v>0.0</v>
      </c>
      <c r="L57" s="22">
        <v>0.0</v>
      </c>
      <c r="M57" s="22">
        <v>0.0</v>
      </c>
      <c r="N57" s="22">
        <v>0.0</v>
      </c>
      <c r="O57" s="22">
        <v>0.0</v>
      </c>
      <c r="P57" s="22">
        <v>0.0</v>
      </c>
      <c r="Q57" s="22">
        <v>0.0</v>
      </c>
      <c r="R57" s="22">
        <v>0.0</v>
      </c>
      <c r="S57" s="22">
        <v>0.0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4.25" customHeight="1">
      <c r="A58" s="9">
        <f>DATE(2029,12,1)</f>
        <v>47453</v>
      </c>
      <c r="B58" s="22">
        <v>0.0</v>
      </c>
      <c r="C58" s="22">
        <v>0.0</v>
      </c>
      <c r="D58" s="22">
        <v>0.0</v>
      </c>
      <c r="E58" s="22">
        <v>0.0</v>
      </c>
      <c r="F58" s="22">
        <v>0.0</v>
      </c>
      <c r="G58" s="22">
        <v>0.0</v>
      </c>
      <c r="H58" s="22">
        <v>0.0</v>
      </c>
      <c r="I58" s="22">
        <v>0.0</v>
      </c>
      <c r="J58" s="22">
        <v>0.0</v>
      </c>
      <c r="K58" s="22">
        <v>0.01</v>
      </c>
      <c r="L58" s="22">
        <v>0.0</v>
      </c>
      <c r="M58" s="22">
        <v>0.0</v>
      </c>
      <c r="N58" s="22">
        <v>0.0</v>
      </c>
      <c r="O58" s="22">
        <v>0.0</v>
      </c>
      <c r="P58" s="22">
        <v>0.0</v>
      </c>
      <c r="Q58" s="22">
        <v>0.0</v>
      </c>
      <c r="R58" s="22">
        <v>0.0</v>
      </c>
      <c r="S58" s="22">
        <v>0.0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4.25" customHeight="1">
      <c r="A59" s="9">
        <f>DATE(2030,12,1)</f>
        <v>47818</v>
      </c>
      <c r="B59" s="22">
        <v>0.0</v>
      </c>
      <c r="C59" s="22">
        <v>0.0</v>
      </c>
      <c r="D59" s="22">
        <v>0.0</v>
      </c>
      <c r="E59" s="22">
        <v>0.0</v>
      </c>
      <c r="F59" s="22">
        <v>0.0</v>
      </c>
      <c r="G59" s="22">
        <v>0.0</v>
      </c>
      <c r="H59" s="22">
        <v>0.0</v>
      </c>
      <c r="I59" s="22">
        <v>0.0</v>
      </c>
      <c r="J59" s="22">
        <v>0.0</v>
      </c>
      <c r="K59" s="22">
        <v>0.0</v>
      </c>
      <c r="L59" s="22">
        <v>0.009962640099626403</v>
      </c>
      <c r="M59" s="22">
        <v>0.0</v>
      </c>
      <c r="N59" s="22">
        <v>0.0</v>
      </c>
      <c r="O59" s="22">
        <v>0.0</v>
      </c>
      <c r="P59" s="22">
        <v>0.0</v>
      </c>
      <c r="Q59" s="22">
        <v>0.0</v>
      </c>
      <c r="R59" s="22">
        <v>0.0</v>
      </c>
      <c r="S59" s="22">
        <v>0.0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4.25" customHeight="1">
      <c r="A60" s="9">
        <f>DATE(2031,12,1)</f>
        <v>48183</v>
      </c>
      <c r="B60" s="22">
        <v>0.0</v>
      </c>
      <c r="C60" s="22">
        <v>0.0</v>
      </c>
      <c r="D60" s="22">
        <v>0.0</v>
      </c>
      <c r="E60" s="22">
        <v>0.0</v>
      </c>
      <c r="F60" s="22">
        <v>0.0</v>
      </c>
      <c r="G60" s="22">
        <v>0.0</v>
      </c>
      <c r="H60" s="22">
        <v>0.0</v>
      </c>
      <c r="I60" s="22">
        <v>0.0</v>
      </c>
      <c r="J60" s="22">
        <v>0.0</v>
      </c>
      <c r="K60" s="22">
        <v>0.0</v>
      </c>
      <c r="L60" s="22">
        <v>0.0</v>
      </c>
      <c r="M60" s="22">
        <v>0.01</v>
      </c>
      <c r="N60" s="22">
        <v>0.0</v>
      </c>
      <c r="O60" s="22">
        <v>0.0</v>
      </c>
      <c r="P60" s="22">
        <v>0.0</v>
      </c>
      <c r="Q60" s="22">
        <v>0.0</v>
      </c>
      <c r="R60" s="22">
        <v>0.0</v>
      </c>
      <c r="S60" s="22">
        <v>0.0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4.25" customHeight="1">
      <c r="A61" s="9">
        <f>DATE(2032,12,1)</f>
        <v>48549</v>
      </c>
      <c r="B61" s="22">
        <v>-9.669713569538528E-5</v>
      </c>
      <c r="C61" s="22">
        <v>-9.669713569538528E-5</v>
      </c>
      <c r="D61" s="22">
        <v>-9.669713569538528E-5</v>
      </c>
      <c r="E61" s="22">
        <v>-9.669713569538528E-5</v>
      </c>
      <c r="F61" s="22">
        <v>-9.669713569538528E-5</v>
      </c>
      <c r="G61" s="22">
        <v>-9.669713569538529E-5</v>
      </c>
      <c r="H61" s="22">
        <v>-9.718062137386222E-5</v>
      </c>
      <c r="I61" s="22">
        <v>-9.730209715057954E-5</v>
      </c>
      <c r="J61" s="22">
        <v>-9.864000098640003E-5</v>
      </c>
      <c r="K61" s="22">
        <v>-9.900990099009902E-5</v>
      </c>
      <c r="L61" s="22">
        <v>-9.864000098640003E-5</v>
      </c>
      <c r="M61" s="22">
        <v>-9.900990099009902E-5</v>
      </c>
      <c r="N61" s="22">
        <v>0.009900990099009901</v>
      </c>
      <c r="O61" s="22">
        <v>0.0</v>
      </c>
      <c r="P61" s="22">
        <v>0.0</v>
      </c>
      <c r="Q61" s="22">
        <v>0.0</v>
      </c>
      <c r="R61" s="22">
        <v>0.0</v>
      </c>
      <c r="S61" s="22">
        <v>0.0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4.25" customHeight="1">
      <c r="A62" s="9">
        <f>DATE(2033,12,1)</f>
        <v>48914</v>
      </c>
      <c r="B62" s="22">
        <v>-1.6630956999206313E-4</v>
      </c>
      <c r="C62" s="22">
        <v>-1.6630956999206313E-4</v>
      </c>
      <c r="D62" s="22">
        <v>-1.6630956999206313E-4</v>
      </c>
      <c r="E62" s="22">
        <v>-1.6630956999206313E-4</v>
      </c>
      <c r="F62" s="22">
        <v>-1.6630956999206313E-4</v>
      </c>
      <c r="G62" s="22">
        <v>-1.6630956999206316E-4</v>
      </c>
      <c r="H62" s="22">
        <v>-1.6714111784202348E-4</v>
      </c>
      <c r="I62" s="22">
        <v>-1.6735004423932604E-4</v>
      </c>
      <c r="J62" s="22">
        <v>-1.6965110734761676E-4</v>
      </c>
      <c r="K62" s="22">
        <v>-1.702872990001703E-4</v>
      </c>
      <c r="L62" s="22">
        <v>-1.6965110734761676E-4</v>
      </c>
      <c r="M62" s="22">
        <v>-1.702872990001703E-4</v>
      </c>
      <c r="N62" s="22">
        <v>-1.702872990001703E-4</v>
      </c>
      <c r="O62" s="22">
        <v>0.009828009828009828</v>
      </c>
      <c r="P62" s="22">
        <v>0.0</v>
      </c>
      <c r="Q62" s="22">
        <v>0.0</v>
      </c>
      <c r="R62" s="22">
        <v>0.0</v>
      </c>
      <c r="S62" s="22">
        <v>0.0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4.25" customHeight="1">
      <c r="A63" s="9">
        <f>DATE(2038,12,1)</f>
        <v>50740</v>
      </c>
      <c r="B63" s="22">
        <v>-1.863412548930679E-4</v>
      </c>
      <c r="C63" s="22">
        <v>-1.863412548930679E-4</v>
      </c>
      <c r="D63" s="22">
        <v>-1.863412548930679E-4</v>
      </c>
      <c r="E63" s="22">
        <v>-1.863412548930679E-4</v>
      </c>
      <c r="F63" s="22">
        <v>-1.863412548930679E-4</v>
      </c>
      <c r="G63" s="22">
        <v>-1.8634125489306794E-4</v>
      </c>
      <c r="H63" s="22">
        <v>-1.872729611675333E-4</v>
      </c>
      <c r="I63" s="22">
        <v>-1.875070523689927E-4</v>
      </c>
      <c r="J63" s="22">
        <v>-1.9008527433906638E-4</v>
      </c>
      <c r="K63" s="22">
        <v>-1.9079809411783787E-4</v>
      </c>
      <c r="L63" s="22">
        <v>-1.9008527433906638E-4</v>
      </c>
      <c r="M63" s="22">
        <v>-1.9079809411783787E-4</v>
      </c>
      <c r="N63" s="22">
        <v>-1.9079809411783787E-4</v>
      </c>
      <c r="O63" s="22">
        <v>-1.9270607505901622E-4</v>
      </c>
      <c r="P63" s="22">
        <v>0.00980392156862745</v>
      </c>
      <c r="Q63" s="22">
        <v>0.0</v>
      </c>
      <c r="R63" s="22">
        <v>0.0</v>
      </c>
      <c r="S63" s="22">
        <v>0.0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4.25" customHeight="1">
      <c r="A64" s="9">
        <f>DATE(2043,12,1)</f>
        <v>52566</v>
      </c>
      <c r="B64" s="22">
        <v>-1.150254659833753E-4</v>
      </c>
      <c r="C64" s="22">
        <v>-1.150254659833753E-4</v>
      </c>
      <c r="D64" s="22">
        <v>-1.150254659833753E-4</v>
      </c>
      <c r="E64" s="22">
        <v>-1.150254659833753E-4</v>
      </c>
      <c r="F64" s="22">
        <v>-1.150254659833753E-4</v>
      </c>
      <c r="G64" s="22">
        <v>-1.1502546598337532E-4</v>
      </c>
      <c r="H64" s="22">
        <v>-1.1560059331329215E-4</v>
      </c>
      <c r="I64" s="22">
        <v>-1.1574509405493377E-4</v>
      </c>
      <c r="J64" s="22">
        <v>-1.1733658909818912E-4</v>
      </c>
      <c r="K64" s="22">
        <v>-1.1777660130730734E-4</v>
      </c>
      <c r="L64" s="22">
        <v>-1.1733658909818912E-4</v>
      </c>
      <c r="M64" s="22">
        <v>-1.1777660130730734E-4</v>
      </c>
      <c r="N64" s="22">
        <v>-1.1777660130730734E-4</v>
      </c>
      <c r="O64" s="22">
        <v>-1.1895436732038038E-4</v>
      </c>
      <c r="P64" s="22">
        <v>-1.2103606874848704E-4</v>
      </c>
      <c r="Q64" s="22">
        <v>0.009876543209876543</v>
      </c>
      <c r="R64" s="22">
        <v>0.0</v>
      </c>
      <c r="S64" s="22">
        <v>0.0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4.25" customHeight="1">
      <c r="A65" s="9">
        <f>DATE(2048,12,1)</f>
        <v>54393</v>
      </c>
      <c r="B65" s="22">
        <v>-9.11092799868319E-5</v>
      </c>
      <c r="C65" s="22">
        <v>-9.11092799868319E-5</v>
      </c>
      <c r="D65" s="22">
        <v>-9.11092799868319E-5</v>
      </c>
      <c r="E65" s="22">
        <v>-9.11092799868319E-5</v>
      </c>
      <c r="F65" s="22">
        <v>-9.11092799868319E-5</v>
      </c>
      <c r="G65" s="22">
        <v>-9.110927998683191E-5</v>
      </c>
      <c r="H65" s="22">
        <v>-9.156482638676606E-5</v>
      </c>
      <c r="I65" s="22">
        <v>-9.167928241974951E-5</v>
      </c>
      <c r="J65" s="22">
        <v>-9.293987255302107E-5</v>
      </c>
      <c r="K65" s="22">
        <v>-9.328839707509491E-5</v>
      </c>
      <c r="L65" s="22">
        <v>-9.293987255302107E-5</v>
      </c>
      <c r="M65" s="22">
        <v>-9.328839707509491E-5</v>
      </c>
      <c r="N65" s="22">
        <v>-9.328839707509491E-5</v>
      </c>
      <c r="O65" s="22">
        <v>-9.422128104584586E-5</v>
      </c>
      <c r="P65" s="22">
        <v>-9.587015346414816E-5</v>
      </c>
      <c r="Q65" s="22">
        <v>-9.778755653343112E-5</v>
      </c>
      <c r="R65" s="22">
        <v>0.009900990099009901</v>
      </c>
      <c r="S65" s="22">
        <v>0.0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4.25" customHeight="1">
      <c r="A66" s="9">
        <f>DATE(2053,12,1)</f>
        <v>56219</v>
      </c>
      <c r="B66" s="22">
        <v>-1.3464425613817524E-4</v>
      </c>
      <c r="C66" s="22">
        <v>-1.3464425613817524E-4</v>
      </c>
      <c r="D66" s="22">
        <v>-1.3464425613817524E-4</v>
      </c>
      <c r="E66" s="22">
        <v>-1.3464425613817524E-4</v>
      </c>
      <c r="F66" s="22">
        <v>-1.3464425613817524E-4</v>
      </c>
      <c r="G66" s="22">
        <v>-1.3464425613817524E-4</v>
      </c>
      <c r="H66" s="22">
        <v>-1.353174774188661E-4</v>
      </c>
      <c r="I66" s="22">
        <v>-1.354866242656397E-4</v>
      </c>
      <c r="J66" s="22">
        <v>-1.3734956534929227E-4</v>
      </c>
      <c r="K66" s="22">
        <v>-1.3786462621935208E-4</v>
      </c>
      <c r="L66" s="22">
        <v>-1.3734956534929227E-4</v>
      </c>
      <c r="M66" s="22">
        <v>-1.3786462621935208E-4</v>
      </c>
      <c r="N66" s="22">
        <v>-1.3786462621935208E-4</v>
      </c>
      <c r="O66" s="22">
        <v>-1.3924327248154562E-4</v>
      </c>
      <c r="P66" s="22">
        <v>-1.4168002974997265E-4</v>
      </c>
      <c r="Q66" s="22">
        <v>-1.4451363034497213E-4</v>
      </c>
      <c r="R66" s="22">
        <v>-1.4632005072428425E-4</v>
      </c>
      <c r="S66" s="22">
        <v>0.009852216748768475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4.25" customHeight="1">
      <c r="A69" s="1"/>
      <c r="B69" s="10" t="s">
        <v>4</v>
      </c>
      <c r="C69" s="10" t="s">
        <v>5</v>
      </c>
      <c r="D69" s="10" t="s">
        <v>19</v>
      </c>
      <c r="E69" s="10" t="s">
        <v>20</v>
      </c>
      <c r="G69" s="10" t="s">
        <v>5</v>
      </c>
      <c r="H69" s="10" t="s">
        <v>20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4.25" customHeight="1">
      <c r="A70" s="1"/>
      <c r="B70" s="9">
        <v>45301.0</v>
      </c>
      <c r="C70" s="21">
        <f t="shared" ref="C70:C87" si="43">(B70-$D$4)/H7</f>
        <v>0.01388888889</v>
      </c>
      <c r="D70" s="21">
        <f t="array" ref="D70:D87">MMULT(B49:S66,M7:M24)</f>
        <v>0.99725</v>
      </c>
      <c r="E70" s="15">
        <f t="shared" ref="E70:E87" si="44">(1/D70)^(1/C70)-1</f>
        <v>0.2192949114</v>
      </c>
      <c r="G70" s="14">
        <f t="shared" ref="G70:G87" si="45">C70</f>
        <v>0.01388888889</v>
      </c>
      <c r="H70" s="15">
        <f t="shared" ref="H70:H87" si="46">E70</f>
        <v>0.2192949114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4.25" customHeight="1">
      <c r="A71" s="1"/>
      <c r="B71" s="9">
        <v>45350.0</v>
      </c>
      <c r="C71" s="21">
        <f t="shared" si="43"/>
        <v>0.15</v>
      </c>
      <c r="D71" s="21">
        <v>0.99211</v>
      </c>
      <c r="E71" s="15">
        <f t="shared" si="44"/>
        <v>0.05422785186</v>
      </c>
      <c r="G71" s="14">
        <f t="shared" si="45"/>
        <v>0.15</v>
      </c>
      <c r="H71" s="15">
        <f t="shared" si="46"/>
        <v>0.05422785186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4.25" customHeight="1">
      <c r="A72" s="1"/>
      <c r="B72" s="9">
        <v>45414.0</v>
      </c>
      <c r="C72" s="21">
        <f t="shared" si="43"/>
        <v>0.3277777778</v>
      </c>
      <c r="D72" s="21">
        <v>0.98547</v>
      </c>
      <c r="E72" s="15">
        <f t="shared" si="44"/>
        <v>0.04566601399</v>
      </c>
      <c r="G72" s="14">
        <f t="shared" si="45"/>
        <v>0.3277777778</v>
      </c>
      <c r="H72" s="15">
        <f t="shared" si="46"/>
        <v>0.04566601399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4.25" customHeight="1">
      <c r="A73" s="1"/>
      <c r="B73" s="9">
        <v>45567.0</v>
      </c>
      <c r="C73" s="21">
        <f t="shared" si="43"/>
        <v>0.7527777778</v>
      </c>
      <c r="D73" s="21">
        <v>0.9722700000000001</v>
      </c>
      <c r="E73" s="15">
        <f t="shared" si="44"/>
        <v>0.03806384106</v>
      </c>
      <c r="G73" s="14">
        <f t="shared" si="45"/>
        <v>0.7527777778</v>
      </c>
      <c r="H73" s="15">
        <f t="shared" si="46"/>
        <v>0.03806384106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4.25" customHeight="1">
      <c r="A74" s="1"/>
      <c r="B74" s="9">
        <v>45623.0</v>
      </c>
      <c r="C74" s="21">
        <f t="shared" si="43"/>
        <v>0.9083333333</v>
      </c>
      <c r="D74" s="21">
        <v>0.9675900000000001</v>
      </c>
      <c r="E74" s="15">
        <f t="shared" si="44"/>
        <v>0.03693759094</v>
      </c>
      <c r="G74" s="14">
        <f t="shared" si="45"/>
        <v>0.9083333333</v>
      </c>
      <c r="H74" s="15">
        <f t="shared" si="46"/>
        <v>0.03693759094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4.25" customHeight="1">
      <c r="A75" s="1"/>
      <c r="B75" s="9">
        <v>45986.0</v>
      </c>
      <c r="C75" s="21">
        <f t="shared" si="43"/>
        <v>1.916666667</v>
      </c>
      <c r="D75" s="21">
        <v>0.9365698120508571</v>
      </c>
      <c r="E75" s="15">
        <f t="shared" si="44"/>
        <v>0.03478140209</v>
      </c>
      <c r="G75" s="14">
        <f t="shared" si="45"/>
        <v>1.916666667</v>
      </c>
      <c r="H75" s="15">
        <f t="shared" si="46"/>
        <v>0.03478140209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4.25" customHeight="1">
      <c r="A76" s="1"/>
      <c r="B76" s="9">
        <v>46351.0</v>
      </c>
      <c r="C76" s="21">
        <f t="shared" si="43"/>
        <v>2.930555556</v>
      </c>
      <c r="D76" s="21">
        <v>0.9237128119977169</v>
      </c>
      <c r="E76" s="15">
        <f t="shared" si="44"/>
        <v>0.02744810951</v>
      </c>
      <c r="G76" s="14">
        <f t="shared" si="45"/>
        <v>2.930555556</v>
      </c>
      <c r="H76" s="15">
        <f t="shared" si="46"/>
        <v>0.02744810951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4.25" customHeight="1">
      <c r="A77" s="1"/>
      <c r="B77" s="9">
        <v>46685.0</v>
      </c>
      <c r="C77" s="21">
        <f t="shared" si="43"/>
        <v>3.858333333</v>
      </c>
      <c r="D77" s="21">
        <v>0.9020280463377437</v>
      </c>
      <c r="E77" s="15">
        <f t="shared" si="44"/>
        <v>0.02708417282</v>
      </c>
      <c r="G77" s="14">
        <f t="shared" si="45"/>
        <v>3.858333333</v>
      </c>
      <c r="H77" s="15">
        <f t="shared" si="46"/>
        <v>0.02708417282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4.25" customHeight="1">
      <c r="A78" s="1"/>
      <c r="B78" s="9">
        <v>47082.0</v>
      </c>
      <c r="C78" s="21">
        <f t="shared" si="43"/>
        <v>4.961111111</v>
      </c>
      <c r="D78" s="21">
        <v>0.8859734304551778</v>
      </c>
      <c r="E78" s="15">
        <f t="shared" si="44"/>
        <v>0.0247036698</v>
      </c>
      <c r="G78" s="14">
        <f t="shared" si="45"/>
        <v>4.961111111</v>
      </c>
      <c r="H78" s="15">
        <f t="shared" si="46"/>
        <v>0.0247036698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4.25" customHeight="1">
      <c r="A79" s="1"/>
      <c r="B79" s="9">
        <v>47447.0</v>
      </c>
      <c r="C79" s="21">
        <f t="shared" si="43"/>
        <v>5.975</v>
      </c>
      <c r="D79" s="21">
        <v>0.86085</v>
      </c>
      <c r="E79" s="15">
        <f t="shared" si="44"/>
        <v>0.02539406095</v>
      </c>
      <c r="G79" s="14">
        <f t="shared" si="45"/>
        <v>5.975</v>
      </c>
      <c r="H79" s="15">
        <f t="shared" si="46"/>
        <v>0.02539406095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4.25" customHeight="1">
      <c r="A80" s="1"/>
      <c r="B80" s="9">
        <v>47812.0</v>
      </c>
      <c r="C80" s="21">
        <f t="shared" si="43"/>
        <v>6.988888889</v>
      </c>
      <c r="D80" s="21">
        <v>0.8342814445828146</v>
      </c>
      <c r="E80" s="15">
        <f t="shared" si="44"/>
        <v>0.02626361244</v>
      </c>
      <c r="G80" s="14">
        <f t="shared" si="45"/>
        <v>6.988888889</v>
      </c>
      <c r="H80" s="15">
        <f t="shared" si="46"/>
        <v>0.02626361244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4.25" customHeight="1">
      <c r="A81" s="1"/>
      <c r="B81" s="9">
        <v>48177.0</v>
      </c>
      <c r="C81" s="21">
        <f t="shared" si="43"/>
        <v>8.002777778</v>
      </c>
      <c r="D81" s="21">
        <v>0.81313</v>
      </c>
      <c r="E81" s="15">
        <f t="shared" si="44"/>
        <v>0.02618604396</v>
      </c>
      <c r="G81" s="14">
        <f t="shared" si="45"/>
        <v>8.002777778</v>
      </c>
      <c r="H81" s="15">
        <f t="shared" si="46"/>
        <v>0.02618604396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4.25" customHeight="1">
      <c r="A82" s="1"/>
      <c r="B82" s="9">
        <v>48543.0</v>
      </c>
      <c r="C82" s="21">
        <f t="shared" si="43"/>
        <v>9.019444444</v>
      </c>
      <c r="D82" s="21">
        <v>0.8266335314534446</v>
      </c>
      <c r="E82" s="15">
        <f t="shared" si="44"/>
        <v>0.02133363808</v>
      </c>
      <c r="G82" s="14">
        <f t="shared" si="45"/>
        <v>9.019444444</v>
      </c>
      <c r="H82" s="15">
        <f t="shared" si="46"/>
        <v>0.02133363808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4.25" customHeight="1">
      <c r="A83" s="1"/>
      <c r="B83" s="9">
        <v>48908.0</v>
      </c>
      <c r="C83" s="21">
        <f t="shared" si="43"/>
        <v>10.03333333</v>
      </c>
      <c r="D83" s="21">
        <v>0.8405588993056787</v>
      </c>
      <c r="E83" s="15">
        <f t="shared" si="44"/>
        <v>0.01746182731</v>
      </c>
      <c r="G83" s="14">
        <f t="shared" si="45"/>
        <v>10.03333333</v>
      </c>
      <c r="H83" s="15">
        <f t="shared" si="46"/>
        <v>0.01746182731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4.25" customHeight="1">
      <c r="A84" s="1"/>
      <c r="B84" s="9">
        <v>50703.0</v>
      </c>
      <c r="C84" s="21">
        <f t="shared" si="43"/>
        <v>15.01944444</v>
      </c>
      <c r="D84" s="21">
        <v>0.8475842009027214</v>
      </c>
      <c r="E84" s="15">
        <f t="shared" si="44"/>
        <v>0.01107090104</v>
      </c>
      <c r="G84" s="14">
        <f t="shared" si="45"/>
        <v>15.01944444</v>
      </c>
      <c r="H84" s="15">
        <f t="shared" si="46"/>
        <v>0.01107090104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4.25" customHeight="1">
      <c r="A85" s="1"/>
      <c r="B85" s="9">
        <v>52376.0</v>
      </c>
      <c r="C85" s="21">
        <f t="shared" si="43"/>
        <v>19.66666667</v>
      </c>
      <c r="D85" s="21">
        <v>0.7259161733967414</v>
      </c>
      <c r="E85" s="15">
        <f t="shared" si="44"/>
        <v>0.01642085929</v>
      </c>
      <c r="G85" s="14">
        <f t="shared" si="45"/>
        <v>19.66666667</v>
      </c>
      <c r="H85" s="15">
        <f t="shared" si="46"/>
        <v>0.01642085929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4.25" customHeight="1">
      <c r="A86" s="1"/>
      <c r="B86" s="9">
        <v>54203.0</v>
      </c>
      <c r="C86" s="21">
        <f t="shared" si="43"/>
        <v>24.74166667</v>
      </c>
      <c r="D86" s="21">
        <v>0.6525276620964291</v>
      </c>
      <c r="E86" s="15">
        <f t="shared" si="44"/>
        <v>0.01740408137</v>
      </c>
      <c r="G86" s="14">
        <f t="shared" si="45"/>
        <v>24.74166667</v>
      </c>
      <c r="H86" s="15">
        <f t="shared" si="46"/>
        <v>0.01740408137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4.25" customHeight="1">
      <c r="A87" s="1"/>
      <c r="B87" s="9">
        <v>56394.0</v>
      </c>
      <c r="C87" s="21">
        <f t="shared" si="43"/>
        <v>30.82777778</v>
      </c>
      <c r="D87" s="21">
        <v>0.7190458060538361</v>
      </c>
      <c r="E87" s="15">
        <f t="shared" si="44"/>
        <v>0.01075656424</v>
      </c>
      <c r="G87" s="14">
        <f t="shared" si="45"/>
        <v>30.82777778</v>
      </c>
      <c r="H87" s="15">
        <f t="shared" si="46"/>
        <v>0.01075656424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4.25" customHeight="1">
      <c r="A89" s="1"/>
      <c r="B89" s="1"/>
      <c r="C89" s="1"/>
      <c r="D89" s="2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</sheetData>
  <mergeCells count="3">
    <mergeCell ref="A2:F2"/>
    <mergeCell ref="A26:C26"/>
    <mergeCell ref="A47:C4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75"/>
    <col customWidth="1" min="3" max="4" width="9.13"/>
    <col customWidth="1" min="5" max="5" width="15.63"/>
    <col customWidth="1" min="6" max="6" width="12.75"/>
    <col customWidth="1" min="7" max="7" width="9.13"/>
    <col customWidth="1" min="8" max="8" width="21.25"/>
    <col customWidth="1" min="9" max="9" width="13.75"/>
    <col customWidth="1" min="10" max="10" width="16.25"/>
    <col customWidth="1" min="11" max="11" width="16.5"/>
    <col customWidth="1" min="12" max="15" width="9.13"/>
    <col customWidth="1" min="16" max="26" width="7.63"/>
  </cols>
  <sheetData>
    <row r="1" ht="14.25" customHeight="1">
      <c r="A1" s="24" t="s">
        <v>0</v>
      </c>
    </row>
    <row r="2" ht="14.25" customHeight="1">
      <c r="A2" s="24" t="s">
        <v>21</v>
      </c>
      <c r="B2" s="24" t="s">
        <v>3</v>
      </c>
      <c r="C2" s="25">
        <f>DATE(2023,12,12)</f>
        <v>45272</v>
      </c>
      <c r="D2" s="26">
        <f>DATE(2023,10,15)</f>
        <v>45214</v>
      </c>
      <c r="E2" s="27">
        <f>C2-D2</f>
        <v>58</v>
      </c>
    </row>
    <row r="3" ht="14.25" customHeight="1">
      <c r="A3" s="28" t="s">
        <v>4</v>
      </c>
      <c r="B3" s="29" t="s">
        <v>6</v>
      </c>
      <c r="C3" s="29" t="s">
        <v>7</v>
      </c>
      <c r="D3" s="30" t="s">
        <v>8</v>
      </c>
      <c r="E3" s="31" t="s">
        <v>9</v>
      </c>
      <c r="F3" s="32" t="s">
        <v>10</v>
      </c>
      <c r="G3" s="33" t="s">
        <v>11</v>
      </c>
      <c r="H3" s="34" t="s">
        <v>22</v>
      </c>
      <c r="I3" s="34" t="s">
        <v>13</v>
      </c>
      <c r="J3" s="33" t="s">
        <v>23</v>
      </c>
      <c r="K3" s="33" t="s">
        <v>24</v>
      </c>
      <c r="L3" s="35" t="s">
        <v>15</v>
      </c>
      <c r="M3" s="36" t="s">
        <v>16</v>
      </c>
    </row>
    <row r="4" ht="14.25" customHeight="1">
      <c r="A4" s="37">
        <f>DATE(2024,5,15)</f>
        <v>45427</v>
      </c>
      <c r="B4" s="38">
        <v>0.0</v>
      </c>
      <c r="C4" s="39">
        <v>98.445</v>
      </c>
      <c r="D4" s="40">
        <v>98.472</v>
      </c>
      <c r="E4" s="41">
        <f t="shared" ref="E4:E16" si="2">$E$2</f>
        <v>58</v>
      </c>
      <c r="F4" s="42">
        <f t="shared" ref="F4:F16" si="3">YIELD($C$2,A4,B4,C4,100,2,0)</f>
        <v>0.03716616923</v>
      </c>
      <c r="G4" s="43">
        <v>360.0</v>
      </c>
      <c r="H4" s="44">
        <f t="shared" ref="H4:H16" si="4">B4/2</f>
        <v>0</v>
      </c>
      <c r="I4" s="45">
        <f t="shared" ref="I4:I16" si="5">(100*H4)*E4/G4</f>
        <v>0</v>
      </c>
      <c r="J4" s="45">
        <f t="shared" ref="J4:K4" si="1">DOLLARDE(C4,32)</f>
        <v>99.390625</v>
      </c>
      <c r="K4" s="45">
        <f t="shared" si="1"/>
        <v>99.475</v>
      </c>
      <c r="L4" s="46">
        <f t="shared" ref="L4:L16" si="7">J4+I4</f>
        <v>99.390625</v>
      </c>
      <c r="M4" s="47">
        <f t="shared" ref="M4:M16" si="8">K4+I4</f>
        <v>99.475</v>
      </c>
    </row>
    <row r="5" ht="14.25" customHeight="1">
      <c r="A5" s="37">
        <f>DATE(2025,12,12)</f>
        <v>46003</v>
      </c>
      <c r="B5" s="38">
        <v>0.031</v>
      </c>
      <c r="C5" s="39">
        <v>100.785</v>
      </c>
      <c r="D5" s="40">
        <v>100.808</v>
      </c>
      <c r="E5" s="41">
        <f t="shared" si="2"/>
        <v>58</v>
      </c>
      <c r="F5" s="42">
        <f t="shared" si="3"/>
        <v>0.02694193181</v>
      </c>
      <c r="G5" s="43">
        <v>360.0</v>
      </c>
      <c r="H5" s="44">
        <f t="shared" si="4"/>
        <v>0.0155</v>
      </c>
      <c r="I5" s="45">
        <f t="shared" si="5"/>
        <v>0.2497222222</v>
      </c>
      <c r="J5" s="45">
        <f t="shared" ref="J5:K5" si="6">DOLLARDE(C5,32)</f>
        <v>102.453125</v>
      </c>
      <c r="K5" s="45">
        <f t="shared" si="6"/>
        <v>102.525</v>
      </c>
      <c r="L5" s="48">
        <f t="shared" si="7"/>
        <v>102.7028472</v>
      </c>
      <c r="M5" s="49">
        <f t="shared" si="8"/>
        <v>102.7747222</v>
      </c>
    </row>
    <row r="6" ht="14.25" customHeight="1">
      <c r="A6" s="37">
        <f>DATE(2026,2,15)</f>
        <v>46068</v>
      </c>
      <c r="B6" s="38">
        <v>0.005</v>
      </c>
      <c r="C6" s="39">
        <v>95.663</v>
      </c>
      <c r="D6" s="40">
        <v>95.706</v>
      </c>
      <c r="E6" s="41">
        <f t="shared" si="2"/>
        <v>58</v>
      </c>
      <c r="F6" s="42">
        <f t="shared" si="3"/>
        <v>0.02562683419</v>
      </c>
      <c r="G6" s="43">
        <v>360.0</v>
      </c>
      <c r="H6" s="44">
        <f t="shared" si="4"/>
        <v>0.0025</v>
      </c>
      <c r="I6" s="45">
        <f t="shared" si="5"/>
        <v>0.04027777778</v>
      </c>
      <c r="J6" s="45">
        <f t="shared" ref="J6:K6" si="9">DOLLARDE(C6,32)</f>
        <v>97.071875</v>
      </c>
      <c r="K6" s="45">
        <f t="shared" si="9"/>
        <v>97.20625</v>
      </c>
      <c r="L6" s="48">
        <f t="shared" si="7"/>
        <v>97.11215278</v>
      </c>
      <c r="M6" s="49">
        <f t="shared" si="8"/>
        <v>97.24652778</v>
      </c>
    </row>
    <row r="7" ht="14.25" customHeight="1">
      <c r="A7" s="37">
        <f>DATE(2027,2,15)</f>
        <v>46433</v>
      </c>
      <c r="B7" s="38">
        <v>0.0025</v>
      </c>
      <c r="C7" s="39">
        <v>93.728</v>
      </c>
      <c r="D7" s="40">
        <v>93.773</v>
      </c>
      <c r="E7" s="41">
        <f t="shared" si="2"/>
        <v>58</v>
      </c>
      <c r="F7" s="42">
        <f t="shared" si="3"/>
        <v>0.02310091053</v>
      </c>
      <c r="G7" s="43">
        <v>360.0</v>
      </c>
      <c r="H7" s="44">
        <f t="shared" si="4"/>
        <v>0.00125</v>
      </c>
      <c r="I7" s="45">
        <f t="shared" si="5"/>
        <v>0.02013888889</v>
      </c>
      <c r="J7" s="45">
        <f t="shared" ref="J7:K7" si="10">DOLLARDE(C7,32)</f>
        <v>95.275</v>
      </c>
      <c r="K7" s="45">
        <f t="shared" si="10"/>
        <v>95.415625</v>
      </c>
      <c r="L7" s="48">
        <f t="shared" si="7"/>
        <v>95.29513889</v>
      </c>
      <c r="M7" s="49">
        <f t="shared" si="8"/>
        <v>95.43576389</v>
      </c>
    </row>
    <row r="8" ht="14.25" customHeight="1">
      <c r="A8" s="37">
        <f>DATE(2027,10,15)</f>
        <v>46675</v>
      </c>
      <c r="B8" s="38">
        <v>0.013</v>
      </c>
      <c r="C8" s="39">
        <v>96.808</v>
      </c>
      <c r="D8" s="40">
        <v>96.861</v>
      </c>
      <c r="E8" s="41">
        <f t="shared" si="2"/>
        <v>58</v>
      </c>
      <c r="F8" s="42">
        <f t="shared" si="3"/>
        <v>0.02170299249</v>
      </c>
      <c r="G8" s="43">
        <v>360.0</v>
      </c>
      <c r="H8" s="44">
        <f t="shared" si="4"/>
        <v>0.0065</v>
      </c>
      <c r="I8" s="45">
        <f t="shared" si="5"/>
        <v>0.1047222222</v>
      </c>
      <c r="J8" s="45">
        <f t="shared" ref="J8:K8" si="11">DOLLARDE(C8,32)</f>
        <v>98.525</v>
      </c>
      <c r="K8" s="45">
        <f t="shared" si="11"/>
        <v>98.690625</v>
      </c>
      <c r="L8" s="48">
        <f t="shared" si="7"/>
        <v>98.62972222</v>
      </c>
      <c r="M8" s="49">
        <f t="shared" si="8"/>
        <v>98.79534722</v>
      </c>
    </row>
    <row r="9" ht="14.25" customHeight="1">
      <c r="A9" s="37">
        <f>DATE(2028,10,19)</f>
        <v>47045</v>
      </c>
      <c r="B9" s="38">
        <v>0.024</v>
      </c>
      <c r="C9" s="39">
        <v>100.942</v>
      </c>
      <c r="D9" s="40">
        <v>100.96</v>
      </c>
      <c r="E9" s="41">
        <f t="shared" si="2"/>
        <v>58</v>
      </c>
      <c r="F9" s="42">
        <f t="shared" si="3"/>
        <v>0.02194008723</v>
      </c>
      <c r="G9" s="43">
        <v>360.0</v>
      </c>
      <c r="H9" s="44">
        <f t="shared" si="4"/>
        <v>0.012</v>
      </c>
      <c r="I9" s="45">
        <f t="shared" si="5"/>
        <v>0.1933333333</v>
      </c>
      <c r="J9" s="45">
        <f t="shared" ref="J9:K9" si="12">DOLLARDE(C9,32)</f>
        <v>102.94375</v>
      </c>
      <c r="K9" s="45">
        <f t="shared" si="12"/>
        <v>103</v>
      </c>
      <c r="L9" s="48">
        <f t="shared" si="7"/>
        <v>103.1370833</v>
      </c>
      <c r="M9" s="49">
        <f t="shared" si="8"/>
        <v>103.1933333</v>
      </c>
    </row>
    <row r="10" ht="14.25" customHeight="1">
      <c r="A10" s="37">
        <f>DATE(2029,2,15)</f>
        <v>47164</v>
      </c>
      <c r="B10" s="38">
        <v>0.0025</v>
      </c>
      <c r="C10" s="39">
        <v>90.918</v>
      </c>
      <c r="D10" s="40">
        <v>90.936</v>
      </c>
      <c r="E10" s="41">
        <f t="shared" si="2"/>
        <v>58</v>
      </c>
      <c r="F10" s="42">
        <f t="shared" si="3"/>
        <v>0.02111829957</v>
      </c>
      <c r="G10" s="43">
        <v>360.0</v>
      </c>
      <c r="H10" s="44">
        <f t="shared" si="4"/>
        <v>0.00125</v>
      </c>
      <c r="I10" s="45">
        <f t="shared" si="5"/>
        <v>0.02013888889</v>
      </c>
      <c r="J10" s="45">
        <f t="shared" ref="J10:K10" si="13">DOLLARDE(C10,32)</f>
        <v>92.86875</v>
      </c>
      <c r="K10" s="45">
        <f t="shared" si="13"/>
        <v>92.925</v>
      </c>
      <c r="L10" s="48">
        <f t="shared" si="7"/>
        <v>92.88888889</v>
      </c>
      <c r="M10" s="49">
        <f t="shared" si="8"/>
        <v>92.94513889</v>
      </c>
    </row>
    <row r="11" ht="14.25" customHeight="1">
      <c r="A11" s="37">
        <f>DATE(2030,11,15)</f>
        <v>47802</v>
      </c>
      <c r="B11" s="38">
        <v>0.024</v>
      </c>
      <c r="C11" s="39">
        <v>101.544</v>
      </c>
      <c r="D11" s="40">
        <v>101.561</v>
      </c>
      <c r="E11" s="41">
        <f t="shared" si="2"/>
        <v>58</v>
      </c>
      <c r="F11" s="42">
        <f t="shared" si="3"/>
        <v>0.02158633028</v>
      </c>
      <c r="G11" s="43">
        <v>360.0</v>
      </c>
      <c r="H11" s="44">
        <f t="shared" si="4"/>
        <v>0.012</v>
      </c>
      <c r="I11" s="45">
        <f t="shared" si="5"/>
        <v>0.1933333333</v>
      </c>
      <c r="J11" s="45">
        <f t="shared" ref="J11:K11" si="14">DOLLARDE(C11,32)</f>
        <v>102.7</v>
      </c>
      <c r="K11" s="45">
        <f t="shared" si="14"/>
        <v>102.753125</v>
      </c>
      <c r="L11" s="48">
        <f t="shared" si="7"/>
        <v>102.8933333</v>
      </c>
      <c r="M11" s="49">
        <f t="shared" si="8"/>
        <v>102.9464583</v>
      </c>
    </row>
    <row r="12" ht="14.25" customHeight="1">
      <c r="A12" s="37">
        <f>DATE(2031,2,15)</f>
        <v>47894</v>
      </c>
      <c r="B12" s="38">
        <v>0.0</v>
      </c>
      <c r="C12" s="39">
        <v>86.06</v>
      </c>
      <c r="D12" s="40">
        <v>86.1</v>
      </c>
      <c r="E12" s="41">
        <f t="shared" si="2"/>
        <v>58</v>
      </c>
      <c r="F12" s="42">
        <f t="shared" si="3"/>
        <v>0.02103323879</v>
      </c>
      <c r="G12" s="43">
        <v>360.0</v>
      </c>
      <c r="H12" s="44">
        <f t="shared" si="4"/>
        <v>0</v>
      </c>
      <c r="I12" s="45">
        <f t="shared" si="5"/>
        <v>0</v>
      </c>
      <c r="J12" s="45">
        <f t="shared" ref="J12:K12" si="15">DOLLARDE(C12,32)</f>
        <v>86.1875</v>
      </c>
      <c r="K12" s="45">
        <f t="shared" si="15"/>
        <v>86.3125</v>
      </c>
      <c r="L12" s="48">
        <f t="shared" si="7"/>
        <v>86.1875</v>
      </c>
      <c r="M12" s="49">
        <f t="shared" si="8"/>
        <v>86.3125</v>
      </c>
    </row>
    <row r="13" ht="14.25" customHeight="1">
      <c r="A13" s="37">
        <f>DATE(2032,2,15)</f>
        <v>48259</v>
      </c>
      <c r="B13" s="38">
        <v>0.0</v>
      </c>
      <c r="C13" s="39">
        <v>84.095</v>
      </c>
      <c r="D13" s="40">
        <v>84.121</v>
      </c>
      <c r="E13" s="41">
        <f t="shared" si="2"/>
        <v>58</v>
      </c>
      <c r="F13" s="42">
        <f t="shared" si="3"/>
        <v>0.0213020116</v>
      </c>
      <c r="G13" s="43">
        <v>360.0</v>
      </c>
      <c r="H13" s="44">
        <f t="shared" si="4"/>
        <v>0</v>
      </c>
      <c r="I13" s="45">
        <f t="shared" si="5"/>
        <v>0</v>
      </c>
      <c r="J13" s="45">
        <f t="shared" ref="J13:K13" si="16">DOLLARDE(C13,32)</f>
        <v>84.296875</v>
      </c>
      <c r="K13" s="45">
        <f t="shared" si="16"/>
        <v>84.378125</v>
      </c>
      <c r="L13" s="48">
        <f t="shared" si="7"/>
        <v>84.296875</v>
      </c>
      <c r="M13" s="49">
        <f t="shared" si="8"/>
        <v>84.378125</v>
      </c>
    </row>
    <row r="14" ht="14.25" customHeight="1">
      <c r="A14" s="37">
        <f>DATE(2033,2,15)</f>
        <v>48625</v>
      </c>
      <c r="B14" s="38">
        <v>0.023</v>
      </c>
      <c r="C14" s="39">
        <v>101.015</v>
      </c>
      <c r="D14" s="40">
        <v>101.095</v>
      </c>
      <c r="E14" s="41">
        <f t="shared" si="2"/>
        <v>58</v>
      </c>
      <c r="F14" s="42">
        <f t="shared" si="3"/>
        <v>0.02177186168</v>
      </c>
      <c r="G14" s="43">
        <v>360.0</v>
      </c>
      <c r="H14" s="44">
        <f t="shared" si="4"/>
        <v>0.0115</v>
      </c>
      <c r="I14" s="45">
        <f t="shared" si="5"/>
        <v>0.1852777778</v>
      </c>
      <c r="J14" s="45">
        <f t="shared" ref="J14:K14" si="17">DOLLARDE(C14,32)</f>
        <v>101.046875</v>
      </c>
      <c r="K14" s="45">
        <f t="shared" si="17"/>
        <v>101.296875</v>
      </c>
      <c r="L14" s="48">
        <f t="shared" si="7"/>
        <v>101.2321528</v>
      </c>
      <c r="M14" s="49">
        <f t="shared" si="8"/>
        <v>101.4821528</v>
      </c>
    </row>
    <row r="15" ht="14.25" customHeight="1">
      <c r="A15" s="37">
        <f>DATE(2033,8,15)</f>
        <v>48806</v>
      </c>
      <c r="B15" s="38">
        <v>0.026</v>
      </c>
      <c r="C15" s="39">
        <v>103.356</v>
      </c>
      <c r="D15" s="40">
        <v>103.38</v>
      </c>
      <c r="E15" s="41">
        <f t="shared" si="2"/>
        <v>58</v>
      </c>
      <c r="F15" s="42">
        <f t="shared" si="3"/>
        <v>0.02212580144</v>
      </c>
      <c r="G15" s="43">
        <v>360.0</v>
      </c>
      <c r="H15" s="44">
        <f t="shared" si="4"/>
        <v>0.013</v>
      </c>
      <c r="I15" s="45">
        <f t="shared" si="5"/>
        <v>0.2094444444</v>
      </c>
      <c r="J15" s="45">
        <f t="shared" ref="J15:K15" si="18">DOLLARDE(C15,32)</f>
        <v>104.1125</v>
      </c>
      <c r="K15" s="45">
        <f t="shared" si="18"/>
        <v>104.1875</v>
      </c>
      <c r="L15" s="48">
        <f t="shared" si="7"/>
        <v>104.3219444</v>
      </c>
      <c r="M15" s="49">
        <f t="shared" si="8"/>
        <v>104.3969444</v>
      </c>
    </row>
    <row r="16" ht="14.25" customHeight="1">
      <c r="A16" s="50">
        <f>DATE(2038,5,15)</f>
        <v>50540</v>
      </c>
      <c r="B16" s="51">
        <v>0.01</v>
      </c>
      <c r="C16" s="52">
        <v>83.145</v>
      </c>
      <c r="D16" s="53">
        <v>83.224</v>
      </c>
      <c r="E16" s="54">
        <f t="shared" si="2"/>
        <v>58</v>
      </c>
      <c r="F16" s="55">
        <f t="shared" si="3"/>
        <v>0.02388110914</v>
      </c>
      <c r="G16" s="56">
        <v>360.0</v>
      </c>
      <c r="H16" s="57">
        <f t="shared" si="4"/>
        <v>0.005</v>
      </c>
      <c r="I16" s="58">
        <f t="shared" si="5"/>
        <v>0.08055555556</v>
      </c>
      <c r="J16" s="58">
        <f t="shared" ref="J16:K16" si="19">DOLLARDE(C16,32)</f>
        <v>83.453125</v>
      </c>
      <c r="K16" s="58">
        <f t="shared" si="19"/>
        <v>83.7</v>
      </c>
      <c r="L16" s="59">
        <f t="shared" si="7"/>
        <v>83.53368056</v>
      </c>
      <c r="M16" s="60">
        <f t="shared" si="8"/>
        <v>83.78055556</v>
      </c>
    </row>
    <row r="17" ht="14.25" customHeight="1"/>
    <row r="18" ht="14.25" customHeight="1">
      <c r="A18" s="61" t="s">
        <v>17</v>
      </c>
      <c r="B18" s="62"/>
      <c r="C18" s="62"/>
    </row>
    <row r="19" ht="14.25" customHeight="1">
      <c r="B19" s="63" t="s">
        <v>4</v>
      </c>
      <c r="C19" s="64">
        <f>B20</f>
        <v>45427</v>
      </c>
      <c r="D19" s="64">
        <f>B21</f>
        <v>46003</v>
      </c>
      <c r="E19" s="64">
        <f>B22</f>
        <v>46068</v>
      </c>
      <c r="F19" s="64">
        <f>B23</f>
        <v>46433</v>
      </c>
      <c r="G19" s="64">
        <f>B24</f>
        <v>46675</v>
      </c>
      <c r="H19" s="64">
        <f>B25</f>
        <v>47045</v>
      </c>
      <c r="I19" s="64">
        <f>B26</f>
        <v>47164</v>
      </c>
      <c r="J19" s="64">
        <f>B27</f>
        <v>47802</v>
      </c>
      <c r="K19" s="64">
        <f>B28</f>
        <v>47894</v>
      </c>
      <c r="L19" s="64">
        <f>B29</f>
        <v>48259</v>
      </c>
      <c r="M19" s="64">
        <f>B30</f>
        <v>48625</v>
      </c>
      <c r="N19" s="64">
        <f>B31</f>
        <v>48806</v>
      </c>
      <c r="O19" s="64">
        <f>B32</f>
        <v>50540</v>
      </c>
    </row>
    <row r="20" ht="14.25" customHeight="1">
      <c r="B20" s="64">
        <f t="shared" ref="B20:B32" si="20">A4</f>
        <v>45427</v>
      </c>
      <c r="C20" s="65">
        <f>100*(1+H4)</f>
        <v>100</v>
      </c>
      <c r="D20" s="65">
        <v>0.0</v>
      </c>
      <c r="E20" s="65">
        <v>0.0</v>
      </c>
      <c r="F20" s="65">
        <v>0.0</v>
      </c>
      <c r="G20" s="65">
        <v>0.0</v>
      </c>
      <c r="H20" s="65">
        <v>0.0</v>
      </c>
      <c r="I20" s="65">
        <v>0.0</v>
      </c>
      <c r="J20" s="65">
        <v>0.0</v>
      </c>
      <c r="K20" s="65">
        <v>0.0</v>
      </c>
      <c r="L20" s="65">
        <v>0.0</v>
      </c>
      <c r="M20" s="65">
        <v>0.0</v>
      </c>
      <c r="N20" s="65">
        <v>0.0</v>
      </c>
      <c r="O20" s="65">
        <v>0.0</v>
      </c>
    </row>
    <row r="21" ht="14.25" customHeight="1">
      <c r="B21" s="64">
        <f t="shared" si="20"/>
        <v>46003</v>
      </c>
      <c r="C21" s="65">
        <f>100*H5</f>
        <v>1.55</v>
      </c>
      <c r="D21" s="65">
        <f>100+C21</f>
        <v>101.55</v>
      </c>
      <c r="E21" s="65">
        <v>0.0</v>
      </c>
      <c r="F21" s="65">
        <v>0.0</v>
      </c>
      <c r="G21" s="65">
        <v>0.0</v>
      </c>
      <c r="H21" s="65">
        <v>0.0</v>
      </c>
      <c r="I21" s="65">
        <v>0.0</v>
      </c>
      <c r="J21" s="65">
        <v>0.0</v>
      </c>
      <c r="K21" s="65">
        <v>0.0</v>
      </c>
      <c r="L21" s="65">
        <v>0.0</v>
      </c>
      <c r="M21" s="65">
        <v>0.0</v>
      </c>
      <c r="N21" s="65">
        <v>0.0</v>
      </c>
      <c r="O21" s="65">
        <v>0.0</v>
      </c>
    </row>
    <row r="22" ht="14.25" customHeight="1">
      <c r="B22" s="64">
        <f t="shared" si="20"/>
        <v>46068</v>
      </c>
      <c r="C22" s="65">
        <f t="shared" ref="C22:D22" si="21">100*$H$6</f>
        <v>0.25</v>
      </c>
      <c r="D22" s="65">
        <f t="shared" si="21"/>
        <v>0.25</v>
      </c>
      <c r="E22" s="65">
        <f>100+D22</f>
        <v>100.25</v>
      </c>
      <c r="F22" s="65">
        <v>0.0</v>
      </c>
      <c r="G22" s="65">
        <v>0.0</v>
      </c>
      <c r="H22" s="65">
        <v>0.0</v>
      </c>
      <c r="I22" s="65">
        <v>0.0</v>
      </c>
      <c r="J22" s="65">
        <v>0.0</v>
      </c>
      <c r="K22" s="65">
        <v>0.0</v>
      </c>
      <c r="L22" s="65">
        <v>0.0</v>
      </c>
      <c r="M22" s="65">
        <v>0.0</v>
      </c>
      <c r="N22" s="65">
        <v>0.0</v>
      </c>
      <c r="O22" s="65">
        <v>0.0</v>
      </c>
    </row>
    <row r="23" ht="14.25" customHeight="1">
      <c r="B23" s="64">
        <f t="shared" si="20"/>
        <v>46433</v>
      </c>
      <c r="C23" s="65">
        <f t="shared" ref="C23:E23" si="22">100*$H$7</f>
        <v>0.125</v>
      </c>
      <c r="D23" s="65">
        <f t="shared" si="22"/>
        <v>0.125</v>
      </c>
      <c r="E23" s="65">
        <f t="shared" si="22"/>
        <v>0.125</v>
      </c>
      <c r="F23" s="65">
        <f>100+E23</f>
        <v>100.125</v>
      </c>
      <c r="G23" s="65">
        <v>0.0</v>
      </c>
      <c r="H23" s="65">
        <v>0.0</v>
      </c>
      <c r="I23" s="65">
        <v>0.0</v>
      </c>
      <c r="J23" s="65">
        <v>0.0</v>
      </c>
      <c r="K23" s="65">
        <v>0.0</v>
      </c>
      <c r="L23" s="65">
        <v>0.0</v>
      </c>
      <c r="M23" s="65">
        <v>0.0</v>
      </c>
      <c r="N23" s="65">
        <v>0.0</v>
      </c>
      <c r="O23" s="65">
        <v>0.0</v>
      </c>
    </row>
    <row r="24" ht="14.25" customHeight="1">
      <c r="B24" s="64">
        <f t="shared" si="20"/>
        <v>46675</v>
      </c>
      <c r="C24" s="65">
        <f t="shared" ref="C24:F24" si="23">100*$H$8</f>
        <v>0.65</v>
      </c>
      <c r="D24" s="65">
        <f t="shared" si="23"/>
        <v>0.65</v>
      </c>
      <c r="E24" s="65">
        <f t="shared" si="23"/>
        <v>0.65</v>
      </c>
      <c r="F24" s="65">
        <f t="shared" si="23"/>
        <v>0.65</v>
      </c>
      <c r="G24" s="65">
        <f>100+F24</f>
        <v>100.65</v>
      </c>
      <c r="H24" s="65">
        <v>0.0</v>
      </c>
      <c r="I24" s="65">
        <v>0.0</v>
      </c>
      <c r="J24" s="65">
        <v>0.0</v>
      </c>
      <c r="K24" s="65">
        <v>0.0</v>
      </c>
      <c r="L24" s="65">
        <v>0.0</v>
      </c>
      <c r="M24" s="65">
        <v>0.0</v>
      </c>
      <c r="N24" s="65">
        <v>0.0</v>
      </c>
      <c r="O24" s="65">
        <v>0.0</v>
      </c>
    </row>
    <row r="25" ht="14.25" customHeight="1">
      <c r="B25" s="64">
        <f t="shared" si="20"/>
        <v>47045</v>
      </c>
      <c r="C25" s="65">
        <f t="shared" ref="C25:G25" si="24">100*$H$9</f>
        <v>1.2</v>
      </c>
      <c r="D25" s="65">
        <f t="shared" si="24"/>
        <v>1.2</v>
      </c>
      <c r="E25" s="65">
        <f t="shared" si="24"/>
        <v>1.2</v>
      </c>
      <c r="F25" s="65">
        <f t="shared" si="24"/>
        <v>1.2</v>
      </c>
      <c r="G25" s="65">
        <f t="shared" si="24"/>
        <v>1.2</v>
      </c>
      <c r="H25" s="65">
        <f>100+G25</f>
        <v>101.2</v>
      </c>
      <c r="I25" s="65">
        <v>0.0</v>
      </c>
      <c r="J25" s="65">
        <v>0.0</v>
      </c>
      <c r="K25" s="65">
        <v>0.0</v>
      </c>
      <c r="L25" s="65">
        <v>0.0</v>
      </c>
      <c r="M25" s="65">
        <v>0.0</v>
      </c>
      <c r="N25" s="65">
        <v>0.0</v>
      </c>
      <c r="O25" s="65">
        <v>0.0</v>
      </c>
    </row>
    <row r="26" ht="14.25" customHeight="1">
      <c r="B26" s="64">
        <f t="shared" si="20"/>
        <v>47164</v>
      </c>
      <c r="C26" s="65">
        <f t="shared" ref="C26:H26" si="25">100*$H$10</f>
        <v>0.125</v>
      </c>
      <c r="D26" s="65">
        <f t="shared" si="25"/>
        <v>0.125</v>
      </c>
      <c r="E26" s="65">
        <f t="shared" si="25"/>
        <v>0.125</v>
      </c>
      <c r="F26" s="65">
        <f t="shared" si="25"/>
        <v>0.125</v>
      </c>
      <c r="G26" s="65">
        <f t="shared" si="25"/>
        <v>0.125</v>
      </c>
      <c r="H26" s="65">
        <f t="shared" si="25"/>
        <v>0.125</v>
      </c>
      <c r="I26" s="65">
        <f>100+H26</f>
        <v>100.125</v>
      </c>
      <c r="J26" s="65">
        <v>0.0</v>
      </c>
      <c r="K26" s="65">
        <v>0.0</v>
      </c>
      <c r="L26" s="65">
        <v>0.0</v>
      </c>
      <c r="M26" s="65">
        <v>0.0</v>
      </c>
      <c r="N26" s="65">
        <v>0.0</v>
      </c>
      <c r="O26" s="65">
        <v>0.0</v>
      </c>
    </row>
    <row r="27" ht="14.25" customHeight="1">
      <c r="B27" s="64">
        <f t="shared" si="20"/>
        <v>47802</v>
      </c>
      <c r="C27" s="65">
        <f t="shared" ref="C27:I27" si="26">100*$H$11</f>
        <v>1.2</v>
      </c>
      <c r="D27" s="65">
        <f t="shared" si="26"/>
        <v>1.2</v>
      </c>
      <c r="E27" s="65">
        <f t="shared" si="26"/>
        <v>1.2</v>
      </c>
      <c r="F27" s="65">
        <f t="shared" si="26"/>
        <v>1.2</v>
      </c>
      <c r="G27" s="65">
        <f t="shared" si="26"/>
        <v>1.2</v>
      </c>
      <c r="H27" s="65">
        <f t="shared" si="26"/>
        <v>1.2</v>
      </c>
      <c r="I27" s="65">
        <f t="shared" si="26"/>
        <v>1.2</v>
      </c>
      <c r="J27" s="65">
        <f>100+I27</f>
        <v>101.2</v>
      </c>
      <c r="K27" s="65">
        <v>0.0</v>
      </c>
      <c r="L27" s="65">
        <v>0.0</v>
      </c>
      <c r="M27" s="65">
        <v>0.0</v>
      </c>
      <c r="N27" s="65">
        <v>0.0</v>
      </c>
      <c r="O27" s="65">
        <v>0.0</v>
      </c>
    </row>
    <row r="28" ht="14.25" customHeight="1">
      <c r="B28" s="64">
        <f t="shared" si="20"/>
        <v>47894</v>
      </c>
      <c r="C28" s="65">
        <f t="shared" ref="C28:J28" si="27">100*$H$12</f>
        <v>0</v>
      </c>
      <c r="D28" s="65">
        <f t="shared" si="27"/>
        <v>0</v>
      </c>
      <c r="E28" s="65">
        <f t="shared" si="27"/>
        <v>0</v>
      </c>
      <c r="F28" s="65">
        <f t="shared" si="27"/>
        <v>0</v>
      </c>
      <c r="G28" s="65">
        <f t="shared" si="27"/>
        <v>0</v>
      </c>
      <c r="H28" s="65">
        <f t="shared" si="27"/>
        <v>0</v>
      </c>
      <c r="I28" s="65">
        <f t="shared" si="27"/>
        <v>0</v>
      </c>
      <c r="J28" s="65">
        <f t="shared" si="27"/>
        <v>0</v>
      </c>
      <c r="K28" s="65">
        <f>100+J28</f>
        <v>100</v>
      </c>
      <c r="L28" s="65">
        <v>0.0</v>
      </c>
      <c r="M28" s="65">
        <v>0.0</v>
      </c>
      <c r="N28" s="65">
        <v>0.0</v>
      </c>
      <c r="O28" s="65">
        <v>0.0</v>
      </c>
    </row>
    <row r="29" ht="14.25" customHeight="1">
      <c r="B29" s="64">
        <f t="shared" si="20"/>
        <v>48259</v>
      </c>
      <c r="C29" s="65">
        <f t="shared" ref="C29:K29" si="28">100*$H$13</f>
        <v>0</v>
      </c>
      <c r="D29" s="65">
        <f t="shared" si="28"/>
        <v>0</v>
      </c>
      <c r="E29" s="65">
        <f t="shared" si="28"/>
        <v>0</v>
      </c>
      <c r="F29" s="65">
        <f t="shared" si="28"/>
        <v>0</v>
      </c>
      <c r="G29" s="65">
        <f t="shared" si="28"/>
        <v>0</v>
      </c>
      <c r="H29" s="65">
        <f t="shared" si="28"/>
        <v>0</v>
      </c>
      <c r="I29" s="65">
        <f t="shared" si="28"/>
        <v>0</v>
      </c>
      <c r="J29" s="65">
        <f t="shared" si="28"/>
        <v>0</v>
      </c>
      <c r="K29" s="65">
        <f t="shared" si="28"/>
        <v>0</v>
      </c>
      <c r="L29" s="65">
        <f>100+K29</f>
        <v>100</v>
      </c>
      <c r="M29" s="65">
        <v>0.0</v>
      </c>
      <c r="N29" s="65">
        <v>0.0</v>
      </c>
      <c r="O29" s="65">
        <v>0.0</v>
      </c>
    </row>
    <row r="30" ht="14.25" customHeight="1">
      <c r="B30" s="64">
        <f t="shared" si="20"/>
        <v>48625</v>
      </c>
      <c r="C30" s="65">
        <f t="shared" ref="C30:L30" si="29">100*$H$14</f>
        <v>1.15</v>
      </c>
      <c r="D30" s="65">
        <f t="shared" si="29"/>
        <v>1.15</v>
      </c>
      <c r="E30" s="65">
        <f t="shared" si="29"/>
        <v>1.15</v>
      </c>
      <c r="F30" s="65">
        <f t="shared" si="29"/>
        <v>1.15</v>
      </c>
      <c r="G30" s="65">
        <f t="shared" si="29"/>
        <v>1.15</v>
      </c>
      <c r="H30" s="65">
        <f t="shared" si="29"/>
        <v>1.15</v>
      </c>
      <c r="I30" s="65">
        <f t="shared" si="29"/>
        <v>1.15</v>
      </c>
      <c r="J30" s="65">
        <f t="shared" si="29"/>
        <v>1.15</v>
      </c>
      <c r="K30" s="65">
        <f t="shared" si="29"/>
        <v>1.15</v>
      </c>
      <c r="L30" s="65">
        <f t="shared" si="29"/>
        <v>1.15</v>
      </c>
      <c r="M30" s="65">
        <f>100+L30</f>
        <v>101.15</v>
      </c>
      <c r="N30" s="65">
        <v>0.0</v>
      </c>
      <c r="O30" s="65">
        <v>0.0</v>
      </c>
    </row>
    <row r="31" ht="14.25" customHeight="1">
      <c r="B31" s="64">
        <f t="shared" si="20"/>
        <v>48806</v>
      </c>
      <c r="C31" s="65">
        <f t="shared" ref="C31:M31" si="30">100*$H$15</f>
        <v>1.3</v>
      </c>
      <c r="D31" s="65">
        <f t="shared" si="30"/>
        <v>1.3</v>
      </c>
      <c r="E31" s="65">
        <f t="shared" si="30"/>
        <v>1.3</v>
      </c>
      <c r="F31" s="65">
        <f t="shared" si="30"/>
        <v>1.3</v>
      </c>
      <c r="G31" s="65">
        <f t="shared" si="30"/>
        <v>1.3</v>
      </c>
      <c r="H31" s="65">
        <f t="shared" si="30"/>
        <v>1.3</v>
      </c>
      <c r="I31" s="65">
        <f t="shared" si="30"/>
        <v>1.3</v>
      </c>
      <c r="J31" s="65">
        <f t="shared" si="30"/>
        <v>1.3</v>
      </c>
      <c r="K31" s="65">
        <f t="shared" si="30"/>
        <v>1.3</v>
      </c>
      <c r="L31" s="65">
        <f t="shared" si="30"/>
        <v>1.3</v>
      </c>
      <c r="M31" s="65">
        <f t="shared" si="30"/>
        <v>1.3</v>
      </c>
      <c r="N31" s="65">
        <f>100+M31</f>
        <v>101.3</v>
      </c>
      <c r="O31" s="65">
        <v>0.0</v>
      </c>
    </row>
    <row r="32" ht="14.25" customHeight="1">
      <c r="B32" s="64">
        <f t="shared" si="20"/>
        <v>50540</v>
      </c>
      <c r="C32" s="65">
        <f t="shared" ref="C32:N32" si="31">100*$H$16</f>
        <v>0.5</v>
      </c>
      <c r="D32" s="65">
        <f t="shared" si="31"/>
        <v>0.5</v>
      </c>
      <c r="E32" s="65">
        <f t="shared" si="31"/>
        <v>0.5</v>
      </c>
      <c r="F32" s="65">
        <f t="shared" si="31"/>
        <v>0.5</v>
      </c>
      <c r="G32" s="65">
        <f t="shared" si="31"/>
        <v>0.5</v>
      </c>
      <c r="H32" s="65">
        <f t="shared" si="31"/>
        <v>0.5</v>
      </c>
      <c r="I32" s="65">
        <f t="shared" si="31"/>
        <v>0.5</v>
      </c>
      <c r="J32" s="65">
        <f t="shared" si="31"/>
        <v>0.5</v>
      </c>
      <c r="K32" s="65">
        <f t="shared" si="31"/>
        <v>0.5</v>
      </c>
      <c r="L32" s="65">
        <f t="shared" si="31"/>
        <v>0.5</v>
      </c>
      <c r="M32" s="65">
        <f t="shared" si="31"/>
        <v>0.5</v>
      </c>
      <c r="N32" s="65">
        <f t="shared" si="31"/>
        <v>0.5</v>
      </c>
      <c r="O32" s="65">
        <f>100+N32</f>
        <v>100.5</v>
      </c>
    </row>
    <row r="33" ht="14.25" customHeight="1">
      <c r="A33" s="61" t="s">
        <v>18</v>
      </c>
    </row>
    <row r="34" ht="14.25" customHeight="1">
      <c r="B34" s="63" t="s">
        <v>4</v>
      </c>
      <c r="C34" s="64">
        <f t="shared" ref="C34:O34" si="32">C19</f>
        <v>45427</v>
      </c>
      <c r="D34" s="64">
        <f t="shared" si="32"/>
        <v>46003</v>
      </c>
      <c r="E34" s="64">
        <f t="shared" si="32"/>
        <v>46068</v>
      </c>
      <c r="F34" s="64">
        <f t="shared" si="32"/>
        <v>46433</v>
      </c>
      <c r="G34" s="64">
        <f t="shared" si="32"/>
        <v>46675</v>
      </c>
      <c r="H34" s="64">
        <f t="shared" si="32"/>
        <v>47045</v>
      </c>
      <c r="I34" s="64">
        <f t="shared" si="32"/>
        <v>47164</v>
      </c>
      <c r="J34" s="64">
        <f t="shared" si="32"/>
        <v>47802</v>
      </c>
      <c r="K34" s="64">
        <f t="shared" si="32"/>
        <v>47894</v>
      </c>
      <c r="L34" s="64">
        <f t="shared" si="32"/>
        <v>48259</v>
      </c>
      <c r="M34" s="64">
        <f t="shared" si="32"/>
        <v>48625</v>
      </c>
      <c r="N34" s="64">
        <f t="shared" si="32"/>
        <v>48806</v>
      </c>
      <c r="O34" s="64">
        <f t="shared" si="32"/>
        <v>50540</v>
      </c>
    </row>
    <row r="35" ht="14.25" customHeight="1">
      <c r="B35" s="64">
        <f t="shared" ref="B35:B47" si="33">A4</f>
        <v>45427</v>
      </c>
      <c r="C35" s="65">
        <f t="array" ref="C35:O47">MINVERSE(C20:O32)</f>
        <v>0.01</v>
      </c>
      <c r="D35" s="65">
        <v>0.0</v>
      </c>
      <c r="E35" s="65">
        <v>0.0</v>
      </c>
      <c r="F35" s="65">
        <v>0.0</v>
      </c>
      <c r="G35" s="65">
        <v>0.0</v>
      </c>
      <c r="H35" s="65">
        <v>0.0</v>
      </c>
      <c r="I35" s="65">
        <v>0.0</v>
      </c>
      <c r="J35" s="65">
        <v>0.0</v>
      </c>
      <c r="K35" s="65">
        <v>0.0</v>
      </c>
      <c r="L35" s="65">
        <v>0.0</v>
      </c>
      <c r="M35" s="65">
        <v>0.0</v>
      </c>
      <c r="N35" s="65">
        <v>0.0</v>
      </c>
      <c r="O35" s="65">
        <v>0.0</v>
      </c>
    </row>
    <row r="36" ht="14.25" customHeight="1">
      <c r="B36" s="64">
        <f t="shared" si="33"/>
        <v>46003</v>
      </c>
      <c r="C36" s="65">
        <v>-1.5263417035942886E-4</v>
      </c>
      <c r="D36" s="65">
        <v>0.009847365829640572</v>
      </c>
      <c r="E36" s="65">
        <v>0.0</v>
      </c>
      <c r="F36" s="65">
        <v>0.0</v>
      </c>
      <c r="G36" s="65">
        <v>0.0</v>
      </c>
      <c r="H36" s="65">
        <v>0.0</v>
      </c>
      <c r="I36" s="65">
        <v>0.0</v>
      </c>
      <c r="J36" s="65">
        <v>0.0</v>
      </c>
      <c r="K36" s="65">
        <v>0.0</v>
      </c>
      <c r="L36" s="65">
        <v>0.0</v>
      </c>
      <c r="M36" s="65">
        <v>0.0</v>
      </c>
      <c r="N36" s="65">
        <v>0.0</v>
      </c>
      <c r="O36" s="65">
        <v>0.0</v>
      </c>
    </row>
    <row r="37" ht="14.25" customHeight="1">
      <c r="B37" s="64">
        <f t="shared" si="33"/>
        <v>46068</v>
      </c>
      <c r="C37" s="65">
        <v>-2.4557022019053795E-5</v>
      </c>
      <c r="D37" s="65">
        <v>-2.4557022019053795E-5</v>
      </c>
      <c r="E37" s="65">
        <v>0.00997506234413965</v>
      </c>
      <c r="F37" s="65">
        <v>0.0</v>
      </c>
      <c r="G37" s="65">
        <v>0.0</v>
      </c>
      <c r="H37" s="65">
        <v>0.0</v>
      </c>
      <c r="I37" s="65">
        <v>0.0</v>
      </c>
      <c r="J37" s="65">
        <v>0.0</v>
      </c>
      <c r="K37" s="65">
        <v>0.0</v>
      </c>
      <c r="L37" s="65">
        <v>0.0</v>
      </c>
      <c r="M37" s="65">
        <v>0.0</v>
      </c>
      <c r="N37" s="65">
        <v>0.0</v>
      </c>
      <c r="O37" s="65">
        <v>0.0</v>
      </c>
    </row>
    <row r="38" ht="14.25" customHeight="1">
      <c r="B38" s="64">
        <f t="shared" si="33"/>
        <v>46433</v>
      </c>
      <c r="C38" s="65">
        <v>-1.2263182031986916E-5</v>
      </c>
      <c r="D38" s="65">
        <v>-1.2263182031986916E-5</v>
      </c>
      <c r="E38" s="65">
        <v>-1.245326135348271E-5</v>
      </c>
      <c r="F38" s="65">
        <v>0.009987515605493134</v>
      </c>
      <c r="G38" s="65">
        <v>0.0</v>
      </c>
      <c r="H38" s="65">
        <v>0.0</v>
      </c>
      <c r="I38" s="65">
        <v>0.0</v>
      </c>
      <c r="J38" s="65">
        <v>0.0</v>
      </c>
      <c r="K38" s="65">
        <v>0.0</v>
      </c>
      <c r="L38" s="65">
        <v>0.0</v>
      </c>
      <c r="M38" s="65">
        <v>0.0</v>
      </c>
      <c r="N38" s="65">
        <v>0.0</v>
      </c>
      <c r="O38" s="65">
        <v>0.0</v>
      </c>
    </row>
    <row r="39" ht="14.25" customHeight="1">
      <c r="B39" s="64">
        <f t="shared" si="33"/>
        <v>46675</v>
      </c>
      <c r="C39" s="65">
        <v>-6.335672783540183E-5</v>
      </c>
      <c r="D39" s="65">
        <v>-6.335672783540183E-5</v>
      </c>
      <c r="E39" s="65">
        <v>-6.433875711685056E-5</v>
      </c>
      <c r="F39" s="65">
        <v>-6.449960400964268E-5</v>
      </c>
      <c r="G39" s="65">
        <v>0.009935419771485345</v>
      </c>
      <c r="H39" s="65">
        <v>0.0</v>
      </c>
      <c r="I39" s="65">
        <v>0.0</v>
      </c>
      <c r="J39" s="65">
        <v>0.0</v>
      </c>
      <c r="K39" s="65">
        <v>0.0</v>
      </c>
      <c r="L39" s="65">
        <v>0.0</v>
      </c>
      <c r="M39" s="65">
        <v>0.0</v>
      </c>
      <c r="N39" s="65">
        <v>0.0</v>
      </c>
      <c r="O39" s="65">
        <v>0.0</v>
      </c>
    </row>
    <row r="40" ht="14.25" customHeight="1">
      <c r="B40" s="64">
        <f t="shared" si="33"/>
        <v>47045</v>
      </c>
      <c r="C40" s="65">
        <v>-1.1557931499313195E-4</v>
      </c>
      <c r="D40" s="65">
        <v>-1.1557931499313193E-4</v>
      </c>
      <c r="E40" s="65">
        <v>-1.173707943755255E-4</v>
      </c>
      <c r="F40" s="65">
        <v>-1.176642213614643E-4</v>
      </c>
      <c r="G40" s="65">
        <v>-1.1781130163816613E-4</v>
      </c>
      <c r="H40" s="65">
        <v>0.009881422924901186</v>
      </c>
      <c r="I40" s="65">
        <v>0.0</v>
      </c>
      <c r="J40" s="65">
        <v>0.0</v>
      </c>
      <c r="K40" s="65">
        <v>0.0</v>
      </c>
      <c r="L40" s="65">
        <v>0.0</v>
      </c>
      <c r="M40" s="65">
        <v>0.0</v>
      </c>
      <c r="N40" s="65">
        <v>0.0</v>
      </c>
      <c r="O40" s="65">
        <v>0.0</v>
      </c>
    </row>
    <row r="41" ht="14.25" customHeight="1">
      <c r="B41" s="64">
        <f t="shared" si="33"/>
        <v>47164</v>
      </c>
      <c r="C41" s="65">
        <v>-1.2024481376730336E-5</v>
      </c>
      <c r="D41" s="65">
        <v>-1.2024481376730336E-5</v>
      </c>
      <c r="E41" s="65">
        <v>-1.2210860838069652E-5</v>
      </c>
      <c r="F41" s="65">
        <v>-1.2241387990164828E-5</v>
      </c>
      <c r="G41" s="65">
        <v>-1.2256689725152533E-5</v>
      </c>
      <c r="H41" s="65">
        <v>-1.2336358208366025E-5</v>
      </c>
      <c r="I41" s="65">
        <v>0.009987515605493134</v>
      </c>
      <c r="J41" s="65">
        <v>0.0</v>
      </c>
      <c r="K41" s="65">
        <v>0.0</v>
      </c>
      <c r="L41" s="65">
        <v>0.0</v>
      </c>
      <c r="M41" s="65">
        <v>0.0</v>
      </c>
      <c r="N41" s="65">
        <v>0.0</v>
      </c>
      <c r="O41" s="65">
        <v>0.0</v>
      </c>
    </row>
    <row r="42" ht="14.25" customHeight="1">
      <c r="B42" s="64">
        <f t="shared" si="33"/>
        <v>47802</v>
      </c>
      <c r="C42" s="65">
        <v>-1.1406622649862766E-4</v>
      </c>
      <c r="D42" s="65">
        <v>-1.1406622649862764E-4</v>
      </c>
      <c r="E42" s="65">
        <v>-1.158342530093564E-4</v>
      </c>
      <c r="F42" s="65">
        <v>-1.1612383864187976E-4</v>
      </c>
      <c r="G42" s="65">
        <v>-1.1626899344018212E-4</v>
      </c>
      <c r="H42" s="65">
        <v>-1.170247418975433E-4</v>
      </c>
      <c r="I42" s="65">
        <v>-1.1842903880031382E-4</v>
      </c>
      <c r="J42" s="65">
        <v>0.009881422924901186</v>
      </c>
      <c r="K42" s="65">
        <v>0.0</v>
      </c>
      <c r="L42" s="65">
        <v>0.0</v>
      </c>
      <c r="M42" s="65">
        <v>0.0</v>
      </c>
      <c r="N42" s="65">
        <v>0.0</v>
      </c>
      <c r="O42" s="65">
        <v>0.0</v>
      </c>
    </row>
    <row r="43" ht="14.25" customHeight="1">
      <c r="B43" s="64">
        <f t="shared" si="33"/>
        <v>47894</v>
      </c>
      <c r="C43" s="65">
        <v>0.0</v>
      </c>
      <c r="D43" s="65">
        <v>0.0</v>
      </c>
      <c r="E43" s="65">
        <v>0.0</v>
      </c>
      <c r="F43" s="65">
        <v>0.0</v>
      </c>
      <c r="G43" s="65">
        <v>0.0</v>
      </c>
      <c r="H43" s="65">
        <v>0.0</v>
      </c>
      <c r="I43" s="65">
        <v>0.0</v>
      </c>
      <c r="J43" s="65">
        <v>0.0</v>
      </c>
      <c r="K43" s="65">
        <v>0.01</v>
      </c>
      <c r="L43" s="65">
        <v>0.0</v>
      </c>
      <c r="M43" s="65">
        <v>0.0</v>
      </c>
      <c r="N43" s="65">
        <v>0.0</v>
      </c>
      <c r="O43" s="65">
        <v>0.0</v>
      </c>
    </row>
    <row r="44" ht="14.25" customHeight="1">
      <c r="B44" s="64">
        <f t="shared" si="33"/>
        <v>48259</v>
      </c>
      <c r="C44" s="65">
        <v>0.0</v>
      </c>
      <c r="D44" s="65">
        <v>0.0</v>
      </c>
      <c r="E44" s="65">
        <v>0.0</v>
      </c>
      <c r="F44" s="65">
        <v>0.0</v>
      </c>
      <c r="G44" s="65">
        <v>0.0</v>
      </c>
      <c r="H44" s="65">
        <v>0.0</v>
      </c>
      <c r="I44" s="65">
        <v>0.0</v>
      </c>
      <c r="J44" s="65">
        <v>0.0</v>
      </c>
      <c r="K44" s="65">
        <v>0.0</v>
      </c>
      <c r="L44" s="65">
        <v>0.01</v>
      </c>
      <c r="M44" s="65">
        <v>0.0</v>
      </c>
      <c r="N44" s="65">
        <v>0.0</v>
      </c>
      <c r="O44" s="65">
        <v>0.0</v>
      </c>
    </row>
    <row r="45" ht="14.25" customHeight="1">
      <c r="B45" s="64">
        <f t="shared" si="33"/>
        <v>48625</v>
      </c>
      <c r="C45" s="65">
        <v>-1.0807065453404334E-4</v>
      </c>
      <c r="D45" s="65">
        <v>-1.0807065453404334E-4</v>
      </c>
      <c r="E45" s="65">
        <v>-1.0974574967932101E-4</v>
      </c>
      <c r="F45" s="65">
        <v>-1.1002011405351932E-4</v>
      </c>
      <c r="G45" s="65">
        <v>-1.1015763919608619E-4</v>
      </c>
      <c r="H45" s="65">
        <v>-1.1087366385086075E-4</v>
      </c>
      <c r="I45" s="65">
        <v>-1.1220414781707111E-4</v>
      </c>
      <c r="J45" s="65">
        <v>-1.1234440300184242E-4</v>
      </c>
      <c r="K45" s="65">
        <v>-1.1369253583786455E-4</v>
      </c>
      <c r="L45" s="65">
        <v>-1.1369253583786455E-4</v>
      </c>
      <c r="M45" s="65">
        <v>0.009886307464162135</v>
      </c>
      <c r="N45" s="65">
        <v>0.0</v>
      </c>
      <c r="O45" s="65">
        <v>0.0</v>
      </c>
    </row>
    <row r="46" ht="14.25" customHeight="1">
      <c r="B46" s="64">
        <f t="shared" si="33"/>
        <v>48806</v>
      </c>
      <c r="C46" s="65">
        <v>-1.2059903935298199E-4</v>
      </c>
      <c r="D46" s="65">
        <v>-1.2059903935298199E-4</v>
      </c>
      <c r="E46" s="65">
        <v>-1.224683244629532E-4</v>
      </c>
      <c r="F46" s="65">
        <v>-1.227744952741106E-4</v>
      </c>
      <c r="G46" s="65">
        <v>-1.2292796339320324E-4</v>
      </c>
      <c r="H46" s="65">
        <v>-1.2372699515525906E-4</v>
      </c>
      <c r="I46" s="65">
        <v>-1.2521171909712214E-4</v>
      </c>
      <c r="J46" s="65">
        <v>-1.2536823374599356E-4</v>
      </c>
      <c r="K46" s="65">
        <v>-1.2687265255094548E-4</v>
      </c>
      <c r="L46" s="65">
        <v>-1.2687265255094548E-4</v>
      </c>
      <c r="M46" s="65">
        <v>-1.2687265255094548E-4</v>
      </c>
      <c r="N46" s="65">
        <v>0.009871668311944718</v>
      </c>
      <c r="O46" s="65">
        <v>0.0</v>
      </c>
    </row>
    <row r="47" ht="14.25" customHeight="1">
      <c r="B47" s="64">
        <f t="shared" si="33"/>
        <v>50540</v>
      </c>
      <c r="C47" s="65">
        <v>-4.615347851243092E-5</v>
      </c>
      <c r="D47" s="65">
        <v>-4.615347851243092E-5</v>
      </c>
      <c r="E47" s="65">
        <v>-4.686885742937358E-5</v>
      </c>
      <c r="F47" s="65">
        <v>-4.6986029572947024E-5</v>
      </c>
      <c r="G47" s="65">
        <v>-4.704476210991321E-5</v>
      </c>
      <c r="H47" s="65">
        <v>-4.735055306362764E-5</v>
      </c>
      <c r="I47" s="65">
        <v>-4.791875970039118E-5</v>
      </c>
      <c r="J47" s="65">
        <v>-4.7978658150016664E-5</v>
      </c>
      <c r="K47" s="65">
        <v>-4.855440204781687E-5</v>
      </c>
      <c r="L47" s="65">
        <v>-4.855440204781687E-5</v>
      </c>
      <c r="M47" s="65">
        <v>-4.855440204781686E-5</v>
      </c>
      <c r="N47" s="65">
        <v>-4.9112777671366756E-5</v>
      </c>
      <c r="O47" s="65">
        <v>0.009950248756218905</v>
      </c>
    </row>
    <row r="48" ht="14.25" customHeight="1"/>
    <row r="49" ht="14.25" customHeight="1"/>
    <row r="50" ht="14.25" customHeight="1">
      <c r="B50" s="63" t="s">
        <v>4</v>
      </c>
      <c r="C50" s="64" t="s">
        <v>5</v>
      </c>
      <c r="D50" s="64" t="s">
        <v>19</v>
      </c>
      <c r="E50" s="64" t="s">
        <v>20</v>
      </c>
      <c r="F50" s="66"/>
      <c r="G50" s="67" t="s">
        <v>5</v>
      </c>
      <c r="H50" s="68" t="s">
        <v>20</v>
      </c>
      <c r="I50" s="69"/>
      <c r="J50" s="70"/>
      <c r="K50" s="70"/>
      <c r="L50" s="70"/>
      <c r="M50" s="70"/>
      <c r="N50" s="70"/>
      <c r="O50" s="70"/>
    </row>
    <row r="51" ht="14.25" customHeight="1">
      <c r="B51" s="64">
        <f t="shared" ref="B51:B63" si="34">A4</f>
        <v>45427</v>
      </c>
      <c r="C51" s="71">
        <f t="shared" ref="C51:C63" si="35">(B51-$C$2)/360</f>
        <v>0.4305555556</v>
      </c>
      <c r="D51" s="45">
        <f t="array" ref="D51:D63">MMULT(C35:O47,L4:L16)</f>
        <v>0.99390625</v>
      </c>
      <c r="E51" s="72">
        <f t="shared" ref="E51:E63" si="36">(1/D51)^(1/C51) -1</f>
        <v>0.01429777413</v>
      </c>
      <c r="G51" s="73">
        <v>0.4305555555555556</v>
      </c>
      <c r="H51" s="74">
        <v>0.014297774129955032</v>
      </c>
    </row>
    <row r="52" ht="14.25" customHeight="1">
      <c r="B52" s="64">
        <f t="shared" si="34"/>
        <v>46003</v>
      </c>
      <c r="C52" s="71">
        <f t="shared" si="35"/>
        <v>2.030555556</v>
      </c>
      <c r="D52" s="45">
        <v>0.996182102754527</v>
      </c>
      <c r="E52" s="72">
        <f t="shared" si="36"/>
        <v>0.001885596911</v>
      </c>
      <c r="G52" s="73">
        <v>2.0305555555555554</v>
      </c>
      <c r="H52" s="74">
        <v>0.0018855969108688697</v>
      </c>
    </row>
    <row r="53" ht="14.25" customHeight="1">
      <c r="B53" s="64">
        <f t="shared" si="34"/>
        <v>46068</v>
      </c>
      <c r="C53" s="71">
        <f t="shared" si="35"/>
        <v>2.211111111</v>
      </c>
      <c r="D53" s="45">
        <v>0.9637369644846796</v>
      </c>
      <c r="E53" s="72">
        <f t="shared" si="36"/>
        <v>0.01684543238</v>
      </c>
      <c r="G53" s="73">
        <v>2.2111111111111112</v>
      </c>
      <c r="H53" s="74">
        <v>0.01684543237630698</v>
      </c>
    </row>
    <row r="54" ht="14.25" customHeight="1">
      <c r="B54" s="64">
        <f t="shared" si="34"/>
        <v>46433</v>
      </c>
      <c r="C54" s="71">
        <f t="shared" si="35"/>
        <v>3.225</v>
      </c>
      <c r="D54" s="45">
        <v>0.9480740147239347</v>
      </c>
      <c r="E54" s="72">
        <f t="shared" si="36"/>
        <v>0.01667161804</v>
      </c>
      <c r="G54" s="73">
        <v>3.225</v>
      </c>
      <c r="H54" s="74">
        <v>0.016671618043622383</v>
      </c>
    </row>
    <row r="55" ht="14.25" customHeight="1">
      <c r="B55" s="64">
        <f t="shared" si="34"/>
        <v>46675</v>
      </c>
      <c r="C55" s="71">
        <f t="shared" si="35"/>
        <v>3.897222222</v>
      </c>
      <c r="D55" s="45">
        <v>0.9547291371728386</v>
      </c>
      <c r="E55" s="72">
        <f t="shared" si="36"/>
        <v>0.011958275</v>
      </c>
      <c r="G55" s="73">
        <v>3.897222222222222</v>
      </c>
      <c r="H55" s="74">
        <v>0.011958274995185869</v>
      </c>
    </row>
    <row r="56" ht="14.25" customHeight="1">
      <c r="B56" s="64">
        <f t="shared" si="34"/>
        <v>47045</v>
      </c>
      <c r="C56" s="71">
        <f t="shared" si="35"/>
        <v>4.925</v>
      </c>
      <c r="D56" s="45">
        <v>0.961552659786266</v>
      </c>
      <c r="E56" s="72">
        <f t="shared" si="36"/>
        <v>0.007992368202</v>
      </c>
      <c r="G56" s="73">
        <v>4.925</v>
      </c>
      <c r="H56" s="74">
        <v>0.007992368202472289</v>
      </c>
    </row>
    <row r="57" ht="14.25" customHeight="1">
      <c r="B57" s="64">
        <f t="shared" si="34"/>
        <v>47164</v>
      </c>
      <c r="C57" s="71">
        <f t="shared" si="35"/>
        <v>5.255555556</v>
      </c>
      <c r="D57" s="45">
        <v>0.9204655805021087</v>
      </c>
      <c r="E57" s="72">
        <f t="shared" si="36"/>
        <v>0.01589414445</v>
      </c>
      <c r="G57" s="73">
        <v>5.2555555555555555</v>
      </c>
      <c r="H57" s="74">
        <v>0.01589414444872639</v>
      </c>
    </row>
    <row r="58" ht="14.25" customHeight="1">
      <c r="B58" s="64">
        <f t="shared" si="34"/>
        <v>47802</v>
      </c>
      <c r="C58" s="71">
        <f t="shared" si="35"/>
        <v>7.027777778</v>
      </c>
      <c r="D58" s="45">
        <v>0.9368276411267202</v>
      </c>
      <c r="E58" s="72">
        <f t="shared" si="36"/>
        <v>0.009328676595</v>
      </c>
      <c r="G58" s="73">
        <v>7.027777777777778</v>
      </c>
      <c r="H58" s="74">
        <v>0.009328676595011798</v>
      </c>
    </row>
    <row r="59" ht="14.25" customHeight="1">
      <c r="B59" s="64">
        <f t="shared" si="34"/>
        <v>47894</v>
      </c>
      <c r="C59" s="71">
        <f t="shared" si="35"/>
        <v>7.283333333</v>
      </c>
      <c r="D59" s="45">
        <v>0.8618750000000001</v>
      </c>
      <c r="E59" s="72">
        <f t="shared" si="36"/>
        <v>0.02061861491</v>
      </c>
      <c r="G59" s="73">
        <v>7.283333333333333</v>
      </c>
      <c r="H59" s="74">
        <v>0.020618614909540423</v>
      </c>
    </row>
    <row r="60" ht="14.25" customHeight="1">
      <c r="B60" s="64">
        <f t="shared" si="34"/>
        <v>48259</v>
      </c>
      <c r="C60" s="71">
        <f t="shared" si="35"/>
        <v>8.297222222</v>
      </c>
      <c r="D60" s="45">
        <v>0.84296875</v>
      </c>
      <c r="E60" s="72">
        <f t="shared" si="36"/>
        <v>0.02080166308</v>
      </c>
      <c r="G60" s="73">
        <v>8.297222222222222</v>
      </c>
      <c r="H60" s="74">
        <v>0.020801663084386135</v>
      </c>
    </row>
    <row r="61" ht="14.25" customHeight="1">
      <c r="B61" s="64">
        <f t="shared" si="34"/>
        <v>48625</v>
      </c>
      <c r="C61" s="71">
        <f t="shared" si="35"/>
        <v>9.313888889</v>
      </c>
      <c r="D61" s="45">
        <v>0.8941649724383989</v>
      </c>
      <c r="E61" s="72">
        <f t="shared" si="36"/>
        <v>0.01208297277</v>
      </c>
      <c r="G61" s="73">
        <v>9.313888888888888</v>
      </c>
      <c r="H61" s="74">
        <v>0.012082972773304501</v>
      </c>
    </row>
    <row r="62" ht="14.25" customHeight="1">
      <c r="B62" s="64">
        <f t="shared" si="34"/>
        <v>48806</v>
      </c>
      <c r="C62" s="71">
        <f t="shared" si="35"/>
        <v>9.816666667</v>
      </c>
      <c r="D62" s="45">
        <v>0.8979774575474639</v>
      </c>
      <c r="E62" s="72">
        <f t="shared" si="36"/>
        <v>0.0110223043</v>
      </c>
      <c r="G62" s="73">
        <v>9.816666666666666</v>
      </c>
      <c r="H62" s="74">
        <v>0.011022304303840436</v>
      </c>
    </row>
    <row r="63" ht="14.25" customHeight="1">
      <c r="B63" s="64">
        <f t="shared" si="34"/>
        <v>50540</v>
      </c>
      <c r="C63" s="75">
        <f t="shared" si="35"/>
        <v>14.63333333</v>
      </c>
      <c r="D63" s="76">
        <v>0.7755965203013638</v>
      </c>
      <c r="E63" s="77">
        <f t="shared" si="36"/>
        <v>0.01751769175</v>
      </c>
      <c r="G63" s="78">
        <v>14.633333333333333</v>
      </c>
      <c r="H63" s="79">
        <v>0.017517691752244158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2.75"/>
  </cols>
  <sheetData>
    <row r="1">
      <c r="A1" s="80" t="s">
        <v>25</v>
      </c>
      <c r="B1" s="80" t="s">
        <v>26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2">
      <c r="A2" s="82">
        <f>date(2023,12,13)</f>
        <v>45273</v>
      </c>
      <c r="B2" s="83">
        <f>date(2023,12,1)</f>
        <v>45261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>
      <c r="A3" s="85" t="s">
        <v>27</v>
      </c>
      <c r="B3" s="86" t="s">
        <v>28</v>
      </c>
      <c r="C3" s="86" t="s">
        <v>29</v>
      </c>
      <c r="D3" s="86" t="s">
        <v>30</v>
      </c>
      <c r="E3" s="86" t="s">
        <v>31</v>
      </c>
      <c r="F3" s="86" t="s">
        <v>32</v>
      </c>
      <c r="G3" s="86" t="s">
        <v>33</v>
      </c>
      <c r="H3" s="86" t="s">
        <v>34</v>
      </c>
      <c r="I3" s="86" t="s">
        <v>35</v>
      </c>
      <c r="J3" s="86" t="s">
        <v>36</v>
      </c>
      <c r="K3" s="86" t="s">
        <v>37</v>
      </c>
      <c r="L3" s="86" t="s">
        <v>38</v>
      </c>
      <c r="M3" s="86" t="s">
        <v>9</v>
      </c>
      <c r="N3" s="86" t="s">
        <v>39</v>
      </c>
      <c r="O3" s="87" t="s">
        <v>22</v>
      </c>
      <c r="P3" s="88" t="s">
        <v>11</v>
      </c>
      <c r="Q3" s="88" t="s">
        <v>13</v>
      </c>
      <c r="R3" s="88" t="s">
        <v>40</v>
      </c>
      <c r="S3" s="88" t="s">
        <v>41</v>
      </c>
      <c r="T3" s="88" t="s">
        <v>42</v>
      </c>
    </row>
    <row r="4">
      <c r="A4" s="89" t="s">
        <v>43</v>
      </c>
      <c r="B4" s="90">
        <v>0.0</v>
      </c>
      <c r="C4" s="91">
        <v>45303.0</v>
      </c>
      <c r="D4" s="90">
        <v>99.706</v>
      </c>
      <c r="E4" s="90">
        <v>99.708</v>
      </c>
      <c r="F4" s="90">
        <v>0.0</v>
      </c>
      <c r="G4" s="90">
        <v>3.655</v>
      </c>
      <c r="H4" s="90">
        <v>3.635</v>
      </c>
      <c r="I4" s="90">
        <v>-0.003</v>
      </c>
      <c r="J4" s="90">
        <v>-4.2</v>
      </c>
      <c r="K4" s="90">
        <v>-2.8</v>
      </c>
      <c r="L4" s="90">
        <v>-19.8</v>
      </c>
      <c r="M4" s="90">
        <v>12.0</v>
      </c>
      <c r="N4" s="92">
        <v>0.9520833333333333</v>
      </c>
      <c r="O4" s="93">
        <f t="shared" ref="O4:O21" si="1">B4/2</f>
        <v>0</v>
      </c>
      <c r="P4" s="94">
        <v>360.0</v>
      </c>
      <c r="Q4" s="93">
        <f t="shared" ref="Q4:Q21" si="2">(100*O4)*M4/P4</f>
        <v>0</v>
      </c>
      <c r="R4" s="93">
        <f t="shared" ref="R4:R21" si="3">(D4+Q4)</f>
        <v>99.706</v>
      </c>
      <c r="S4" s="93">
        <f t="shared" ref="S4:S21" si="4">(E4+Q4)</f>
        <v>99.708</v>
      </c>
      <c r="T4" s="93">
        <f>days(C4,A2)</f>
        <v>30</v>
      </c>
    </row>
    <row r="5">
      <c r="A5" s="89" t="s">
        <v>44</v>
      </c>
      <c r="B5" s="90">
        <v>0.0</v>
      </c>
      <c r="C5" s="95">
        <v>45359.0</v>
      </c>
      <c r="D5" s="90">
        <v>99.144</v>
      </c>
      <c r="E5" s="90">
        <v>99.148</v>
      </c>
      <c r="F5" s="90">
        <v>-0.002</v>
      </c>
      <c r="G5" s="90">
        <v>3.656</v>
      </c>
      <c r="H5" s="90">
        <v>3.636</v>
      </c>
      <c r="I5" s="90">
        <v>0.008</v>
      </c>
      <c r="J5" s="90">
        <v>-6.9</v>
      </c>
      <c r="K5" s="90">
        <v>-3.3</v>
      </c>
      <c r="L5" s="90">
        <v>-26.5</v>
      </c>
      <c r="M5" s="90">
        <v>12.0</v>
      </c>
      <c r="N5" s="92">
        <v>0.9583333333333334</v>
      </c>
      <c r="O5" s="93">
        <f t="shared" si="1"/>
        <v>0</v>
      </c>
      <c r="P5" s="94">
        <v>360.0</v>
      </c>
      <c r="Q5" s="93">
        <f t="shared" si="2"/>
        <v>0</v>
      </c>
      <c r="R5" s="93">
        <f t="shared" si="3"/>
        <v>99.144</v>
      </c>
      <c r="S5" s="93">
        <f t="shared" si="4"/>
        <v>99.148</v>
      </c>
      <c r="T5" s="93">
        <f>days(C5,A2)</f>
        <v>86</v>
      </c>
    </row>
    <row r="6">
      <c r="A6" s="89" t="s">
        <v>45</v>
      </c>
      <c r="B6" s="90">
        <v>0.0</v>
      </c>
      <c r="C6" s="95">
        <v>45450.0</v>
      </c>
      <c r="D6" s="90">
        <v>98.227</v>
      </c>
      <c r="E6" s="90">
        <v>98.265</v>
      </c>
      <c r="F6" s="90">
        <v>-0.011</v>
      </c>
      <c r="G6" s="90">
        <v>3.691</v>
      </c>
      <c r="H6" s="90">
        <v>3.611</v>
      </c>
      <c r="I6" s="90">
        <v>0.024</v>
      </c>
      <c r="J6" s="90">
        <v>-2.5</v>
      </c>
      <c r="K6" s="90">
        <v>0.6</v>
      </c>
      <c r="L6" s="90">
        <v>-27.1</v>
      </c>
      <c r="M6" s="90">
        <v>12.0</v>
      </c>
      <c r="N6" s="92">
        <v>0.9638888888888889</v>
      </c>
      <c r="O6" s="93">
        <f t="shared" si="1"/>
        <v>0</v>
      </c>
      <c r="P6" s="94">
        <v>360.0</v>
      </c>
      <c r="Q6" s="93">
        <f t="shared" si="2"/>
        <v>0</v>
      </c>
      <c r="R6" s="93">
        <f t="shared" si="3"/>
        <v>98.227</v>
      </c>
      <c r="S6" s="93">
        <f t="shared" si="4"/>
        <v>98.265</v>
      </c>
      <c r="T6" s="93">
        <f t="shared" ref="T6:T21" si="5">days(C6,$A$2)</f>
        <v>177</v>
      </c>
    </row>
    <row r="7">
      <c r="A7" s="89" t="s">
        <v>46</v>
      </c>
      <c r="B7" s="90">
        <v>0.0</v>
      </c>
      <c r="C7" s="95">
        <v>45541.0</v>
      </c>
      <c r="D7" s="90">
        <v>97.412</v>
      </c>
      <c r="E7" s="90">
        <v>97.454</v>
      </c>
      <c r="F7" s="90">
        <v>-0.021</v>
      </c>
      <c r="G7" s="90">
        <v>3.582</v>
      </c>
      <c r="H7" s="90">
        <v>3.522</v>
      </c>
      <c r="I7" s="90">
        <v>0.031</v>
      </c>
      <c r="J7" s="90">
        <v>12.8</v>
      </c>
      <c r="K7" s="90">
        <v>-10.3</v>
      </c>
      <c r="L7" s="90">
        <v>-20.6</v>
      </c>
      <c r="M7" s="90">
        <v>12.0</v>
      </c>
      <c r="N7" s="92">
        <v>0.9638888888888889</v>
      </c>
      <c r="O7" s="93">
        <f t="shared" si="1"/>
        <v>0</v>
      </c>
      <c r="P7" s="94">
        <v>360.0</v>
      </c>
      <c r="Q7" s="93">
        <f t="shared" si="2"/>
        <v>0</v>
      </c>
      <c r="R7" s="93">
        <f t="shared" si="3"/>
        <v>97.412</v>
      </c>
      <c r="S7" s="93">
        <f t="shared" si="4"/>
        <v>97.454</v>
      </c>
      <c r="T7" s="93">
        <f t="shared" si="5"/>
        <v>268</v>
      </c>
    </row>
    <row r="8">
      <c r="A8" s="89" t="s">
        <v>47</v>
      </c>
      <c r="B8" s="90">
        <v>0.0</v>
      </c>
      <c r="C8" s="95">
        <v>45604.0</v>
      </c>
      <c r="D8" s="90">
        <v>96.923</v>
      </c>
      <c r="E8" s="90">
        <v>97.0</v>
      </c>
      <c r="F8" s="90">
        <v>-0.039</v>
      </c>
      <c r="G8" s="90">
        <v>3.463</v>
      </c>
      <c r="H8" s="90">
        <v>3.373</v>
      </c>
      <c r="I8" s="90">
        <v>0.046</v>
      </c>
      <c r="J8" s="90">
        <v>12.5</v>
      </c>
      <c r="K8" s="90">
        <v>-22.2</v>
      </c>
      <c r="L8" s="90">
        <v>-19.4</v>
      </c>
      <c r="M8" s="90">
        <v>12.0</v>
      </c>
      <c r="N8" s="92">
        <v>0.9638888888888889</v>
      </c>
      <c r="O8" s="93">
        <f t="shared" si="1"/>
        <v>0</v>
      </c>
      <c r="P8" s="94">
        <v>360.0</v>
      </c>
      <c r="Q8" s="93">
        <f t="shared" si="2"/>
        <v>0</v>
      </c>
      <c r="R8" s="93">
        <f t="shared" si="3"/>
        <v>96.923</v>
      </c>
      <c r="S8" s="93">
        <f t="shared" si="4"/>
        <v>97</v>
      </c>
      <c r="T8" s="93">
        <f t="shared" si="5"/>
        <v>331</v>
      </c>
    </row>
    <row r="9">
      <c r="A9" s="89" t="s">
        <v>48</v>
      </c>
      <c r="B9" s="90">
        <v>0.0</v>
      </c>
      <c r="C9" s="96">
        <v>45808.0</v>
      </c>
      <c r="D9" s="90">
        <v>95.465</v>
      </c>
      <c r="E9" s="90">
        <v>95.646</v>
      </c>
      <c r="F9" s="90">
        <v>-0.077</v>
      </c>
      <c r="G9" s="90">
        <v>3.214</v>
      </c>
      <c r="H9" s="90">
        <v>3.081</v>
      </c>
      <c r="I9" s="90">
        <v>0.057</v>
      </c>
      <c r="J9" s="90">
        <v>-14.7</v>
      </c>
      <c r="K9" s="90">
        <v>-16.0</v>
      </c>
      <c r="L9" s="90">
        <v>-10.7</v>
      </c>
      <c r="M9" s="90">
        <v>12.0</v>
      </c>
      <c r="N9" s="92">
        <v>0.9652777777777778</v>
      </c>
      <c r="O9" s="93">
        <f t="shared" si="1"/>
        <v>0</v>
      </c>
      <c r="P9" s="94">
        <v>360.0</v>
      </c>
      <c r="Q9" s="93">
        <f t="shared" si="2"/>
        <v>0</v>
      </c>
      <c r="R9" s="93">
        <f t="shared" si="3"/>
        <v>95.465</v>
      </c>
      <c r="S9" s="93">
        <f t="shared" si="4"/>
        <v>95.646</v>
      </c>
      <c r="T9" s="93">
        <f t="shared" si="5"/>
        <v>535</v>
      </c>
    </row>
    <row r="10">
      <c r="A10" s="89" t="s">
        <v>49</v>
      </c>
      <c r="B10" s="90">
        <v>1.3</v>
      </c>
      <c r="C10" s="91">
        <v>46326.0</v>
      </c>
      <c r="D10" s="90">
        <v>95.565</v>
      </c>
      <c r="E10" s="90">
        <v>95.785</v>
      </c>
      <c r="F10" s="90">
        <v>-0.035</v>
      </c>
      <c r="G10" s="90">
        <v>2.922</v>
      </c>
      <c r="H10" s="90">
        <v>2.839</v>
      </c>
      <c r="I10" s="90">
        <v>0.013</v>
      </c>
      <c r="J10" s="90">
        <v>56.5</v>
      </c>
      <c r="K10" s="90">
        <v>0.1</v>
      </c>
      <c r="L10" s="90">
        <v>1.6</v>
      </c>
      <c r="M10" s="90">
        <v>12.0</v>
      </c>
      <c r="N10" s="92">
        <v>0.9652777777777778</v>
      </c>
      <c r="O10" s="93">
        <f t="shared" si="1"/>
        <v>0.65</v>
      </c>
      <c r="P10" s="94">
        <v>360.0</v>
      </c>
      <c r="Q10" s="93">
        <f t="shared" si="2"/>
        <v>2.166666667</v>
      </c>
      <c r="R10" s="93">
        <f t="shared" si="3"/>
        <v>97.73166667</v>
      </c>
      <c r="S10" s="93">
        <f t="shared" si="4"/>
        <v>97.95166667</v>
      </c>
      <c r="T10" s="93">
        <f t="shared" si="5"/>
        <v>1053</v>
      </c>
    </row>
    <row r="11">
      <c r="A11" s="89" t="s">
        <v>50</v>
      </c>
      <c r="B11" s="90">
        <v>1.45</v>
      </c>
      <c r="C11" s="91">
        <v>46691.0</v>
      </c>
      <c r="D11" s="90">
        <v>94.801</v>
      </c>
      <c r="E11" s="90">
        <v>95.081</v>
      </c>
      <c r="F11" s="90">
        <v>-0.066</v>
      </c>
      <c r="G11" s="90">
        <v>2.883</v>
      </c>
      <c r="H11" s="90">
        <v>2.803</v>
      </c>
      <c r="I11" s="90">
        <v>0.019</v>
      </c>
      <c r="J11" s="90">
        <v>52.5</v>
      </c>
      <c r="K11" s="90">
        <v>10.1</v>
      </c>
      <c r="L11" s="90">
        <v>10.8</v>
      </c>
      <c r="M11" s="90">
        <v>12.0</v>
      </c>
      <c r="N11" s="92">
        <v>0.9652777777777778</v>
      </c>
      <c r="O11" s="93">
        <f t="shared" si="1"/>
        <v>0.725</v>
      </c>
      <c r="P11" s="94">
        <v>360.0</v>
      </c>
      <c r="Q11" s="93">
        <f t="shared" si="2"/>
        <v>2.416666667</v>
      </c>
      <c r="R11" s="93">
        <f t="shared" si="3"/>
        <v>97.21766667</v>
      </c>
      <c r="S11" s="93">
        <f t="shared" si="4"/>
        <v>97.49766667</v>
      </c>
      <c r="T11" s="93">
        <f t="shared" si="5"/>
        <v>1418</v>
      </c>
    </row>
    <row r="12">
      <c r="A12" s="89" t="s">
        <v>51</v>
      </c>
      <c r="B12" s="90">
        <v>0.0</v>
      </c>
      <c r="C12" s="91">
        <v>46783.0</v>
      </c>
      <c r="D12" s="90">
        <v>88.872</v>
      </c>
      <c r="E12" s="90">
        <v>89.122</v>
      </c>
      <c r="F12" s="90">
        <v>-0.066</v>
      </c>
      <c r="G12" s="90">
        <v>2.897</v>
      </c>
      <c r="H12" s="90">
        <v>2.827</v>
      </c>
      <c r="I12" s="90">
        <v>0.019</v>
      </c>
      <c r="J12" s="90">
        <v>68.0</v>
      </c>
      <c r="K12" s="90">
        <v>13.6</v>
      </c>
      <c r="L12" s="90">
        <v>14.2</v>
      </c>
      <c r="M12" s="90">
        <v>12.0</v>
      </c>
      <c r="N12" s="92">
        <v>0.9652777777777778</v>
      </c>
      <c r="O12" s="93">
        <f t="shared" si="1"/>
        <v>0</v>
      </c>
      <c r="P12" s="94">
        <v>360.0</v>
      </c>
      <c r="Q12" s="93">
        <f t="shared" si="2"/>
        <v>0</v>
      </c>
      <c r="R12" s="93">
        <f t="shared" si="3"/>
        <v>88.872</v>
      </c>
      <c r="S12" s="93">
        <f t="shared" si="4"/>
        <v>89.122</v>
      </c>
      <c r="T12" s="93">
        <f t="shared" si="5"/>
        <v>1510</v>
      </c>
    </row>
    <row r="13">
      <c r="A13" s="89" t="s">
        <v>52</v>
      </c>
      <c r="B13" s="90">
        <v>0.6</v>
      </c>
      <c r="C13" s="91">
        <v>47422.0</v>
      </c>
      <c r="D13" s="90">
        <v>87.502</v>
      </c>
      <c r="E13" s="90">
        <v>87.777</v>
      </c>
      <c r="F13" s="90">
        <v>-0.107</v>
      </c>
      <c r="G13" s="90">
        <v>2.946</v>
      </c>
      <c r="H13" s="90">
        <v>2.89</v>
      </c>
      <c r="I13" s="90">
        <v>0.022</v>
      </c>
      <c r="J13" s="90">
        <v>79.7</v>
      </c>
      <c r="K13" s="90">
        <v>25.5</v>
      </c>
      <c r="L13" s="90">
        <v>24.6</v>
      </c>
      <c r="M13" s="90">
        <v>12.0</v>
      </c>
      <c r="N13" s="92">
        <v>0.9652777777777778</v>
      </c>
      <c r="O13" s="93">
        <f t="shared" si="1"/>
        <v>0.3</v>
      </c>
      <c r="P13" s="94">
        <v>360.0</v>
      </c>
      <c r="Q13" s="93">
        <f t="shared" si="2"/>
        <v>1</v>
      </c>
      <c r="R13" s="93">
        <f t="shared" si="3"/>
        <v>88.502</v>
      </c>
      <c r="S13" s="93">
        <f t="shared" si="4"/>
        <v>88.777</v>
      </c>
      <c r="T13" s="93">
        <f t="shared" si="5"/>
        <v>2149</v>
      </c>
    </row>
    <row r="14">
      <c r="A14" s="89" t="s">
        <v>53</v>
      </c>
      <c r="B14" s="90">
        <v>1.25</v>
      </c>
      <c r="C14" s="91">
        <v>47787.0</v>
      </c>
      <c r="D14" s="90">
        <v>89.166</v>
      </c>
      <c r="E14" s="90">
        <v>89.453</v>
      </c>
      <c r="F14" s="90">
        <v>-0.028</v>
      </c>
      <c r="G14" s="90">
        <v>3.017</v>
      </c>
      <c r="H14" s="90">
        <v>2.967</v>
      </c>
      <c r="I14" s="90">
        <v>0.005</v>
      </c>
      <c r="J14" s="90">
        <v>83.4</v>
      </c>
      <c r="K14" s="90">
        <v>33.5</v>
      </c>
      <c r="L14" s="90">
        <v>31.8</v>
      </c>
      <c r="M14" s="90">
        <v>12.0</v>
      </c>
      <c r="N14" s="92">
        <v>0.9652777777777778</v>
      </c>
      <c r="O14" s="93">
        <f t="shared" si="1"/>
        <v>0.625</v>
      </c>
      <c r="P14" s="94">
        <v>360.0</v>
      </c>
      <c r="Q14" s="93">
        <f t="shared" si="2"/>
        <v>2.083333333</v>
      </c>
      <c r="R14" s="93">
        <f t="shared" si="3"/>
        <v>91.24933333</v>
      </c>
      <c r="S14" s="93">
        <f t="shared" si="4"/>
        <v>91.53633333</v>
      </c>
      <c r="T14" s="93">
        <f t="shared" si="5"/>
        <v>2514</v>
      </c>
    </row>
    <row r="15">
      <c r="A15" s="89" t="s">
        <v>54</v>
      </c>
      <c r="B15" s="90">
        <v>0.5</v>
      </c>
      <c r="C15" s="91">
        <v>48152.0</v>
      </c>
      <c r="D15" s="90">
        <v>82.159</v>
      </c>
      <c r="E15" s="90">
        <v>82.496</v>
      </c>
      <c r="F15" s="90">
        <v>-0.089</v>
      </c>
      <c r="G15" s="90">
        <v>3.085</v>
      </c>
      <c r="H15" s="90">
        <v>3.03</v>
      </c>
      <c r="I15" s="90">
        <v>0.014</v>
      </c>
      <c r="J15" s="90">
        <v>91.5</v>
      </c>
      <c r="K15" s="90">
        <v>40.0</v>
      </c>
      <c r="L15" s="90">
        <v>36.3</v>
      </c>
      <c r="M15" s="90">
        <v>12.0</v>
      </c>
      <c r="N15" s="92">
        <v>0.9652777777777778</v>
      </c>
      <c r="O15" s="93">
        <f t="shared" si="1"/>
        <v>0.25</v>
      </c>
      <c r="P15" s="94">
        <v>360.0</v>
      </c>
      <c r="Q15" s="93">
        <f t="shared" si="2"/>
        <v>0.8333333333</v>
      </c>
      <c r="R15" s="93">
        <f t="shared" si="3"/>
        <v>82.99233333</v>
      </c>
      <c r="S15" s="93">
        <f t="shared" si="4"/>
        <v>83.32933333</v>
      </c>
      <c r="T15" s="93">
        <f t="shared" si="5"/>
        <v>2879</v>
      </c>
    </row>
    <row r="16">
      <c r="A16" s="89" t="s">
        <v>55</v>
      </c>
      <c r="B16" s="90">
        <v>2.55</v>
      </c>
      <c r="C16" s="91">
        <v>48518.0</v>
      </c>
      <c r="D16" s="90">
        <v>95.471</v>
      </c>
      <c r="E16" s="90">
        <v>95.562</v>
      </c>
      <c r="F16" s="90">
        <v>0.026</v>
      </c>
      <c r="G16" s="90">
        <v>3.141</v>
      </c>
      <c r="H16" s="90">
        <v>3.129</v>
      </c>
      <c r="I16" s="90">
        <v>-0.003</v>
      </c>
      <c r="J16" s="90">
        <v>97.9</v>
      </c>
      <c r="K16" s="90">
        <v>46.3</v>
      </c>
      <c r="L16" s="90">
        <v>43.5</v>
      </c>
      <c r="M16" s="90">
        <v>12.0</v>
      </c>
      <c r="N16" s="92">
        <v>0.9402777777777778</v>
      </c>
      <c r="O16" s="93">
        <f t="shared" si="1"/>
        <v>1.275</v>
      </c>
      <c r="P16" s="94">
        <v>360.0</v>
      </c>
      <c r="Q16" s="93">
        <f t="shared" si="2"/>
        <v>4.25</v>
      </c>
      <c r="R16" s="93">
        <f t="shared" si="3"/>
        <v>99.721</v>
      </c>
      <c r="S16" s="93">
        <f t="shared" si="4"/>
        <v>99.812</v>
      </c>
      <c r="T16" s="93">
        <f t="shared" si="5"/>
        <v>3245</v>
      </c>
    </row>
    <row r="17">
      <c r="A17" s="89" t="s">
        <v>56</v>
      </c>
      <c r="B17" s="90">
        <v>3.55</v>
      </c>
      <c r="C17" s="91">
        <v>48883.0</v>
      </c>
      <c r="D17" s="90">
        <v>102.485</v>
      </c>
      <c r="E17" s="90">
        <v>102.548</v>
      </c>
      <c r="F17" s="90">
        <v>-0.026</v>
      </c>
      <c r="G17" s="90">
        <v>3.251</v>
      </c>
      <c r="H17" s="90">
        <v>3.244</v>
      </c>
      <c r="I17" s="90">
        <v>0.003</v>
      </c>
      <c r="J17" s="90">
        <v>101.4</v>
      </c>
      <c r="K17" s="90">
        <v>56.5</v>
      </c>
      <c r="L17" s="90">
        <v>54.9</v>
      </c>
      <c r="M17" s="90">
        <v>12.0</v>
      </c>
      <c r="N17" s="92">
        <v>0.9652777777777778</v>
      </c>
      <c r="O17" s="93">
        <f t="shared" si="1"/>
        <v>1.775</v>
      </c>
      <c r="P17" s="94">
        <v>360.0</v>
      </c>
      <c r="Q17" s="93">
        <f t="shared" si="2"/>
        <v>5.916666667</v>
      </c>
      <c r="R17" s="93">
        <f t="shared" si="3"/>
        <v>108.4016667</v>
      </c>
      <c r="S17" s="93">
        <f t="shared" si="4"/>
        <v>108.4646667</v>
      </c>
      <c r="T17" s="93">
        <f t="shared" si="5"/>
        <v>3610</v>
      </c>
    </row>
    <row r="18">
      <c r="A18" s="89" t="s">
        <v>57</v>
      </c>
      <c r="B18" s="90">
        <v>0.85</v>
      </c>
      <c r="C18" s="91">
        <v>50251.0</v>
      </c>
      <c r="D18" s="90">
        <v>71.288</v>
      </c>
      <c r="E18" s="90">
        <v>71.5</v>
      </c>
      <c r="F18" s="90">
        <v>0.048</v>
      </c>
      <c r="G18" s="90">
        <v>3.543</v>
      </c>
      <c r="H18" s="90">
        <v>3.519</v>
      </c>
      <c r="I18" s="90">
        <v>-0.006</v>
      </c>
      <c r="J18" s="90">
        <v>112.9</v>
      </c>
      <c r="K18" s="90">
        <v>81.0</v>
      </c>
      <c r="L18" s="90">
        <v>64.7</v>
      </c>
      <c r="M18" s="90">
        <v>12.0</v>
      </c>
      <c r="N18" s="92">
        <v>0.9402777777777778</v>
      </c>
      <c r="O18" s="93">
        <f t="shared" si="1"/>
        <v>0.425</v>
      </c>
      <c r="P18" s="94">
        <v>360.0</v>
      </c>
      <c r="Q18" s="93">
        <f t="shared" si="2"/>
        <v>1.416666667</v>
      </c>
      <c r="R18" s="93">
        <f t="shared" si="3"/>
        <v>72.70466667</v>
      </c>
      <c r="S18" s="93">
        <f t="shared" si="4"/>
        <v>72.91666667</v>
      </c>
      <c r="T18" s="93">
        <f t="shared" si="5"/>
        <v>4978</v>
      </c>
    </row>
    <row r="19">
      <c r="A19" s="89" t="s">
        <v>58</v>
      </c>
      <c r="B19" s="90">
        <v>3.45</v>
      </c>
      <c r="C19" s="91">
        <v>52442.0</v>
      </c>
      <c r="D19" s="90">
        <v>95.833</v>
      </c>
      <c r="E19" s="90">
        <v>96.191</v>
      </c>
      <c r="F19" s="90">
        <v>-0.12</v>
      </c>
      <c r="G19" s="90">
        <v>3.753</v>
      </c>
      <c r="H19" s="90">
        <v>3.726</v>
      </c>
      <c r="I19" s="90">
        <v>0.009</v>
      </c>
      <c r="J19" s="90">
        <v>127.2</v>
      </c>
      <c r="K19" s="90">
        <v>108.1</v>
      </c>
      <c r="L19" s="90">
        <v>103.0</v>
      </c>
      <c r="M19" s="90">
        <v>12.0</v>
      </c>
      <c r="N19" s="92">
        <v>0.9652777777777778</v>
      </c>
      <c r="O19" s="93">
        <f t="shared" si="1"/>
        <v>1.725</v>
      </c>
      <c r="P19" s="94">
        <v>360.0</v>
      </c>
      <c r="Q19" s="93">
        <f t="shared" si="2"/>
        <v>5.75</v>
      </c>
      <c r="R19" s="93">
        <f t="shared" si="3"/>
        <v>101.583</v>
      </c>
      <c r="S19" s="93">
        <f t="shared" si="4"/>
        <v>101.941</v>
      </c>
      <c r="T19" s="93">
        <f t="shared" si="5"/>
        <v>7169</v>
      </c>
    </row>
    <row r="20">
      <c r="A20" s="89" t="s">
        <v>59</v>
      </c>
      <c r="B20" s="90">
        <v>2.7</v>
      </c>
      <c r="C20" s="91">
        <v>54362.0</v>
      </c>
      <c r="D20" s="90">
        <v>82.833</v>
      </c>
      <c r="E20" s="90">
        <v>83.098</v>
      </c>
      <c r="F20" s="90">
        <v>-0.034</v>
      </c>
      <c r="G20" s="90">
        <v>3.775</v>
      </c>
      <c r="H20" s="90">
        <v>3.757</v>
      </c>
      <c r="I20" s="90">
        <v>0.002</v>
      </c>
      <c r="J20" s="90">
        <v>132.6</v>
      </c>
      <c r="K20" s="90">
        <v>122.6</v>
      </c>
      <c r="L20" s="90">
        <v>107.3</v>
      </c>
      <c r="M20" s="90">
        <v>12.0</v>
      </c>
      <c r="N20" s="92">
        <v>0.9652777777777778</v>
      </c>
      <c r="O20" s="93">
        <f t="shared" si="1"/>
        <v>1.35</v>
      </c>
      <c r="P20" s="94">
        <v>360.0</v>
      </c>
      <c r="Q20" s="93">
        <f t="shared" si="2"/>
        <v>4.5</v>
      </c>
      <c r="R20" s="93">
        <f t="shared" si="3"/>
        <v>87.333</v>
      </c>
      <c r="S20" s="93">
        <f t="shared" si="4"/>
        <v>87.598</v>
      </c>
      <c r="T20" s="93">
        <f t="shared" si="5"/>
        <v>9089</v>
      </c>
    </row>
    <row r="21">
      <c r="A21" s="89" t="s">
        <v>60</v>
      </c>
      <c r="B21" s="90">
        <v>1.9</v>
      </c>
      <c r="C21" s="91">
        <v>55823.0</v>
      </c>
      <c r="D21" s="90">
        <v>66.559</v>
      </c>
      <c r="E21" s="90">
        <v>66.671</v>
      </c>
      <c r="F21" s="90">
        <v>0.038</v>
      </c>
      <c r="G21" s="90">
        <v>3.835</v>
      </c>
      <c r="H21" s="90">
        <v>3.826</v>
      </c>
      <c r="I21" s="90">
        <v>-0.003</v>
      </c>
      <c r="J21" s="90">
        <v>142.2</v>
      </c>
      <c r="K21" s="90">
        <v>137.3</v>
      </c>
      <c r="L21" s="90">
        <v>106.8</v>
      </c>
      <c r="M21" s="90">
        <v>12.0</v>
      </c>
      <c r="N21" s="92">
        <v>0.9645833333333333</v>
      </c>
      <c r="O21" s="93">
        <f t="shared" si="1"/>
        <v>0.95</v>
      </c>
      <c r="P21" s="94">
        <v>360.0</v>
      </c>
      <c r="Q21" s="93">
        <f t="shared" si="2"/>
        <v>3.166666667</v>
      </c>
      <c r="R21" s="93">
        <f t="shared" si="3"/>
        <v>69.72566667</v>
      </c>
      <c r="S21" s="93">
        <f t="shared" si="4"/>
        <v>69.83766667</v>
      </c>
      <c r="T21" s="93">
        <f t="shared" si="5"/>
        <v>10550</v>
      </c>
    </row>
    <row r="24">
      <c r="A24" s="97" t="s">
        <v>61</v>
      </c>
      <c r="B24" s="98"/>
      <c r="C24" s="98"/>
    </row>
    <row r="25">
      <c r="A25" s="99" t="s">
        <v>4</v>
      </c>
      <c r="B25" s="100">
        <f>A26</f>
        <v>45303</v>
      </c>
      <c r="C25" s="100">
        <f>A27</f>
        <v>45359</v>
      </c>
      <c r="D25" s="100">
        <f>A28</f>
        <v>45450</v>
      </c>
      <c r="E25" s="100">
        <f>A29</f>
        <v>45541</v>
      </c>
      <c r="F25" s="100">
        <f>A30</f>
        <v>45604</v>
      </c>
      <c r="G25" s="100">
        <f>A31</f>
        <v>45808</v>
      </c>
      <c r="H25" s="100">
        <f>A32</f>
        <v>46326</v>
      </c>
      <c r="I25" s="100">
        <f>A33</f>
        <v>46691</v>
      </c>
      <c r="J25" s="100">
        <f>A34</f>
        <v>47057</v>
      </c>
      <c r="K25" s="100">
        <f>A35</f>
        <v>47422</v>
      </c>
      <c r="L25" s="100">
        <f>A36</f>
        <v>47787</v>
      </c>
      <c r="M25" s="100">
        <f>A37</f>
        <v>48152</v>
      </c>
      <c r="N25" s="100">
        <f>A38</f>
        <v>48518</v>
      </c>
      <c r="O25" s="100">
        <f>A39</f>
        <v>48883</v>
      </c>
      <c r="P25" s="100">
        <f>A40</f>
        <v>50251</v>
      </c>
      <c r="Q25" s="100">
        <f>A41</f>
        <v>52442</v>
      </c>
      <c r="R25" s="100">
        <f>A42</f>
        <v>54362</v>
      </c>
      <c r="S25" s="100">
        <f>A43</f>
        <v>55823</v>
      </c>
    </row>
    <row r="26">
      <c r="A26" s="101">
        <f>DATE(2024,1,12)</f>
        <v>45303</v>
      </c>
      <c r="B26" s="102">
        <f>100+(100*O4)</f>
        <v>100</v>
      </c>
      <c r="C26" s="103">
        <v>0.0</v>
      </c>
      <c r="D26" s="103">
        <v>0.0</v>
      </c>
      <c r="E26" s="103">
        <v>0.0</v>
      </c>
      <c r="F26" s="103">
        <v>0.0</v>
      </c>
      <c r="G26" s="103">
        <v>0.0</v>
      </c>
      <c r="H26" s="103">
        <v>0.0</v>
      </c>
      <c r="I26" s="103">
        <v>0.0</v>
      </c>
      <c r="J26" s="103">
        <v>0.0</v>
      </c>
      <c r="K26" s="103">
        <v>0.0</v>
      </c>
      <c r="L26" s="103">
        <v>0.0</v>
      </c>
      <c r="M26" s="103">
        <v>0.0</v>
      </c>
      <c r="N26" s="103">
        <v>0.0</v>
      </c>
      <c r="O26" s="103">
        <v>0.0</v>
      </c>
      <c r="P26" s="103">
        <v>0.0</v>
      </c>
      <c r="Q26" s="103">
        <v>0.0</v>
      </c>
      <c r="R26" s="103">
        <v>0.0</v>
      </c>
      <c r="S26" s="103">
        <v>0.0</v>
      </c>
    </row>
    <row r="27">
      <c r="A27" s="101">
        <f>date(2024,3,8)</f>
        <v>45359</v>
      </c>
      <c r="B27" s="102">
        <f>100*O5</f>
        <v>0</v>
      </c>
      <c r="C27" s="103">
        <f>100+B27</f>
        <v>100</v>
      </c>
      <c r="D27" s="103">
        <v>0.0</v>
      </c>
      <c r="E27" s="103">
        <v>0.0</v>
      </c>
      <c r="F27" s="103">
        <v>0.0</v>
      </c>
      <c r="G27" s="103">
        <v>0.0</v>
      </c>
      <c r="H27" s="103">
        <v>0.0</v>
      </c>
      <c r="I27" s="103">
        <v>0.0</v>
      </c>
      <c r="J27" s="103">
        <v>0.0</v>
      </c>
      <c r="K27" s="103">
        <v>0.0</v>
      </c>
      <c r="L27" s="103">
        <v>0.0</v>
      </c>
      <c r="M27" s="103">
        <v>0.0</v>
      </c>
      <c r="N27" s="103">
        <v>0.0</v>
      </c>
      <c r="O27" s="103">
        <v>0.0</v>
      </c>
      <c r="P27" s="103">
        <v>0.0</v>
      </c>
      <c r="Q27" s="103">
        <v>0.0</v>
      </c>
      <c r="R27" s="103">
        <v>0.0</v>
      </c>
      <c r="S27" s="103">
        <v>0.0</v>
      </c>
    </row>
    <row r="28">
      <c r="A28" s="101">
        <f>date(2024,6,7)</f>
        <v>45450</v>
      </c>
      <c r="B28" s="103">
        <f>100*$O$7</f>
        <v>0</v>
      </c>
      <c r="C28" s="102">
        <f t="shared" ref="C28:C43" si="6">100*$O6</f>
        <v>0</v>
      </c>
      <c r="D28" s="102">
        <f>100+C28</f>
        <v>100</v>
      </c>
      <c r="E28" s="103">
        <v>0.0</v>
      </c>
      <c r="F28" s="103">
        <v>0.0</v>
      </c>
      <c r="G28" s="103">
        <v>0.0</v>
      </c>
      <c r="H28" s="103">
        <v>0.0</v>
      </c>
      <c r="I28" s="103">
        <v>0.0</v>
      </c>
      <c r="J28" s="103">
        <v>0.0</v>
      </c>
      <c r="K28" s="103">
        <v>0.0</v>
      </c>
      <c r="L28" s="103">
        <v>0.0</v>
      </c>
      <c r="M28" s="103">
        <v>0.0</v>
      </c>
      <c r="N28" s="103">
        <v>0.0</v>
      </c>
      <c r="O28" s="103">
        <v>0.0</v>
      </c>
      <c r="P28" s="103">
        <v>0.0</v>
      </c>
      <c r="Q28" s="103">
        <v>0.0</v>
      </c>
      <c r="R28" s="103">
        <v>0.0</v>
      </c>
      <c r="S28" s="103">
        <v>0.0</v>
      </c>
    </row>
    <row r="29">
      <c r="A29" s="101">
        <f>date(2024,9,6)</f>
        <v>45541</v>
      </c>
      <c r="B29" s="103">
        <f>100*$O$8</f>
        <v>0</v>
      </c>
      <c r="C29" s="102">
        <f t="shared" si="6"/>
        <v>0</v>
      </c>
      <c r="D29" s="102">
        <f t="shared" ref="D29:D43" si="7">100*$O7</f>
        <v>0</v>
      </c>
      <c r="E29" s="102">
        <f>100+D29</f>
        <v>100</v>
      </c>
      <c r="F29" s="103">
        <v>0.0</v>
      </c>
      <c r="G29" s="103">
        <v>0.0</v>
      </c>
      <c r="H29" s="103">
        <v>0.0</v>
      </c>
      <c r="I29" s="103">
        <v>0.0</v>
      </c>
      <c r="J29" s="103">
        <v>0.0</v>
      </c>
      <c r="K29" s="103">
        <v>0.0</v>
      </c>
      <c r="L29" s="103">
        <v>0.0</v>
      </c>
      <c r="M29" s="103">
        <v>0.0</v>
      </c>
      <c r="N29" s="103">
        <v>0.0</v>
      </c>
      <c r="O29" s="103">
        <v>0.0</v>
      </c>
      <c r="P29" s="103">
        <v>0.0</v>
      </c>
      <c r="Q29" s="103">
        <v>0.0</v>
      </c>
      <c r="R29" s="103">
        <v>0.0</v>
      </c>
      <c r="S29" s="103">
        <v>0.0</v>
      </c>
    </row>
    <row r="30">
      <c r="A30" s="101">
        <f>date(2024,11,8)</f>
        <v>45604</v>
      </c>
      <c r="B30" s="103">
        <f>100*$O$9</f>
        <v>0</v>
      </c>
      <c r="C30" s="102">
        <f t="shared" si="6"/>
        <v>0</v>
      </c>
      <c r="D30" s="102">
        <f t="shared" si="7"/>
        <v>0</v>
      </c>
      <c r="E30" s="102">
        <f t="shared" ref="E30:E43" si="8">100*$O8</f>
        <v>0</v>
      </c>
      <c r="F30" s="102">
        <f>100+E30</f>
        <v>100</v>
      </c>
      <c r="G30" s="103">
        <v>0.0</v>
      </c>
      <c r="H30" s="103">
        <v>0.0</v>
      </c>
      <c r="I30" s="103">
        <v>0.0</v>
      </c>
      <c r="J30" s="103">
        <v>0.0</v>
      </c>
      <c r="K30" s="103">
        <v>0.0</v>
      </c>
      <c r="L30" s="103">
        <v>0.0</v>
      </c>
      <c r="M30" s="103">
        <v>0.0</v>
      </c>
      <c r="N30" s="103">
        <v>0.0</v>
      </c>
      <c r="O30" s="103">
        <v>0.0</v>
      </c>
      <c r="P30" s="103">
        <v>0.0</v>
      </c>
      <c r="Q30" s="103">
        <v>0.0</v>
      </c>
      <c r="R30" s="103">
        <v>0.0</v>
      </c>
      <c r="S30" s="103">
        <v>0.0</v>
      </c>
    </row>
    <row r="31">
      <c r="A31" s="101">
        <f>date(2025,5,31)</f>
        <v>45808</v>
      </c>
      <c r="B31" s="103">
        <f>100*$O$10</f>
        <v>65</v>
      </c>
      <c r="C31" s="102">
        <f t="shared" si="6"/>
        <v>0</v>
      </c>
      <c r="D31" s="102">
        <f t="shared" si="7"/>
        <v>0</v>
      </c>
      <c r="E31" s="102">
        <f t="shared" si="8"/>
        <v>0</v>
      </c>
      <c r="F31" s="102">
        <f t="shared" ref="F31:F43" si="9">100*$O9</f>
        <v>0</v>
      </c>
      <c r="G31" s="103">
        <v>100.0</v>
      </c>
      <c r="H31" s="103">
        <v>0.0</v>
      </c>
      <c r="I31" s="103">
        <v>0.0</v>
      </c>
      <c r="J31" s="103">
        <v>0.0</v>
      </c>
      <c r="K31" s="103">
        <v>0.0</v>
      </c>
      <c r="L31" s="103">
        <v>0.0</v>
      </c>
      <c r="M31" s="103">
        <v>0.0</v>
      </c>
      <c r="N31" s="103">
        <v>0.0</v>
      </c>
      <c r="O31" s="103">
        <v>0.0</v>
      </c>
      <c r="P31" s="103">
        <v>0.0</v>
      </c>
      <c r="Q31" s="103">
        <v>0.0</v>
      </c>
      <c r="R31" s="103">
        <v>0.0</v>
      </c>
      <c r="S31" s="103">
        <v>0.0</v>
      </c>
    </row>
    <row r="32">
      <c r="A32" s="101">
        <f>date(2026,10,31)</f>
        <v>46326</v>
      </c>
      <c r="B32" s="103">
        <f>100*$O$11</f>
        <v>72.5</v>
      </c>
      <c r="C32" s="102">
        <f t="shared" si="6"/>
        <v>65</v>
      </c>
      <c r="D32" s="102">
        <f t="shared" si="7"/>
        <v>65</v>
      </c>
      <c r="E32" s="102">
        <f t="shared" si="8"/>
        <v>65</v>
      </c>
      <c r="F32" s="102">
        <f t="shared" si="9"/>
        <v>65</v>
      </c>
      <c r="G32" s="102">
        <f t="shared" ref="G32:G43" si="10">100*$O10</f>
        <v>65</v>
      </c>
      <c r="H32" s="102">
        <f>100+G32</f>
        <v>165</v>
      </c>
      <c r="I32" s="103">
        <v>0.0</v>
      </c>
      <c r="J32" s="103">
        <v>0.0</v>
      </c>
      <c r="K32" s="103">
        <v>0.0</v>
      </c>
      <c r="L32" s="103">
        <v>0.0</v>
      </c>
      <c r="M32" s="103">
        <v>0.0</v>
      </c>
      <c r="N32" s="103">
        <v>0.0</v>
      </c>
      <c r="O32" s="103">
        <v>0.0</v>
      </c>
      <c r="P32" s="103">
        <v>0.0</v>
      </c>
      <c r="Q32" s="103">
        <v>0.0</v>
      </c>
      <c r="R32" s="103">
        <v>0.0</v>
      </c>
      <c r="S32" s="103">
        <v>0.0</v>
      </c>
    </row>
    <row r="33">
      <c r="A33" s="101">
        <f>date(2027,10,31)</f>
        <v>46691</v>
      </c>
      <c r="B33" s="103">
        <f>100*$O$12</f>
        <v>0</v>
      </c>
      <c r="C33" s="102">
        <f t="shared" si="6"/>
        <v>72.5</v>
      </c>
      <c r="D33" s="102">
        <f t="shared" si="7"/>
        <v>72.5</v>
      </c>
      <c r="E33" s="102">
        <f t="shared" si="8"/>
        <v>72.5</v>
      </c>
      <c r="F33" s="102">
        <f t="shared" si="9"/>
        <v>72.5</v>
      </c>
      <c r="G33" s="102">
        <f t="shared" si="10"/>
        <v>72.5</v>
      </c>
      <c r="H33" s="102">
        <f t="shared" ref="H33:H43" si="11">100*$O11</f>
        <v>72.5</v>
      </c>
      <c r="I33" s="103">
        <v>172.5</v>
      </c>
      <c r="J33" s="103">
        <v>0.0</v>
      </c>
      <c r="K33" s="103">
        <v>0.0</v>
      </c>
      <c r="L33" s="103">
        <v>0.0</v>
      </c>
      <c r="M33" s="103">
        <v>0.0</v>
      </c>
      <c r="N33" s="103">
        <v>0.0</v>
      </c>
      <c r="O33" s="103">
        <v>0.0</v>
      </c>
      <c r="P33" s="103">
        <v>0.0</v>
      </c>
      <c r="Q33" s="103">
        <v>0.0</v>
      </c>
      <c r="R33" s="103">
        <v>0.0</v>
      </c>
      <c r="S33" s="103">
        <v>0.0</v>
      </c>
    </row>
    <row r="34">
      <c r="A34" s="101">
        <f>date(2028,10,31)</f>
        <v>47057</v>
      </c>
      <c r="B34" s="103">
        <f>100*$O$13</f>
        <v>30</v>
      </c>
      <c r="C34" s="102">
        <f t="shared" si="6"/>
        <v>0</v>
      </c>
      <c r="D34" s="102">
        <f t="shared" si="7"/>
        <v>0</v>
      </c>
      <c r="E34" s="102">
        <f t="shared" si="8"/>
        <v>0</v>
      </c>
      <c r="F34" s="102">
        <f t="shared" si="9"/>
        <v>0</v>
      </c>
      <c r="G34" s="102">
        <f t="shared" si="10"/>
        <v>0</v>
      </c>
      <c r="H34" s="102">
        <f t="shared" si="11"/>
        <v>0</v>
      </c>
      <c r="I34" s="102">
        <f t="shared" ref="I34:I43" si="12">100*$O12</f>
        <v>0</v>
      </c>
      <c r="J34" s="103">
        <v>100.0</v>
      </c>
      <c r="K34" s="103">
        <v>0.0</v>
      </c>
      <c r="L34" s="103">
        <v>0.0</v>
      </c>
      <c r="M34" s="103">
        <v>0.0</v>
      </c>
      <c r="N34" s="103">
        <v>0.0</v>
      </c>
      <c r="O34" s="103">
        <v>0.0</v>
      </c>
      <c r="P34" s="103">
        <v>0.0</v>
      </c>
      <c r="Q34" s="103">
        <v>0.0</v>
      </c>
      <c r="R34" s="103">
        <v>0.0</v>
      </c>
      <c r="S34" s="103">
        <v>0.0</v>
      </c>
    </row>
    <row r="35">
      <c r="A35" s="101">
        <f>date(2029,10,31)</f>
        <v>47422</v>
      </c>
      <c r="B35" s="103">
        <f>100*$O$14</f>
        <v>62.5</v>
      </c>
      <c r="C35" s="102">
        <f t="shared" si="6"/>
        <v>30</v>
      </c>
      <c r="D35" s="102">
        <f t="shared" si="7"/>
        <v>30</v>
      </c>
      <c r="E35" s="102">
        <f t="shared" si="8"/>
        <v>30</v>
      </c>
      <c r="F35" s="102">
        <f t="shared" si="9"/>
        <v>30</v>
      </c>
      <c r="G35" s="102">
        <f t="shared" si="10"/>
        <v>30</v>
      </c>
      <c r="H35" s="102">
        <f t="shared" si="11"/>
        <v>30</v>
      </c>
      <c r="I35" s="102">
        <f t="shared" si="12"/>
        <v>30</v>
      </c>
      <c r="J35" s="102">
        <f t="shared" ref="J35:J43" si="13">100*$O13</f>
        <v>30</v>
      </c>
      <c r="K35" s="103">
        <v>130.0</v>
      </c>
      <c r="L35" s="103">
        <v>0.0</v>
      </c>
      <c r="M35" s="103">
        <v>0.0</v>
      </c>
      <c r="N35" s="103">
        <v>0.0</v>
      </c>
      <c r="O35" s="103">
        <v>0.0</v>
      </c>
      <c r="P35" s="103">
        <v>0.0</v>
      </c>
      <c r="Q35" s="103">
        <v>0.0</v>
      </c>
      <c r="R35" s="103">
        <v>0.0</v>
      </c>
      <c r="S35" s="103">
        <v>0.0</v>
      </c>
    </row>
    <row r="36">
      <c r="A36" s="101">
        <f>date(2030,10,31)</f>
        <v>47787</v>
      </c>
      <c r="B36" s="103">
        <f>100*$O$15</f>
        <v>25</v>
      </c>
      <c r="C36" s="102">
        <f t="shared" si="6"/>
        <v>62.5</v>
      </c>
      <c r="D36" s="102">
        <f t="shared" si="7"/>
        <v>62.5</v>
      </c>
      <c r="E36" s="102">
        <f t="shared" si="8"/>
        <v>62.5</v>
      </c>
      <c r="F36" s="102">
        <f t="shared" si="9"/>
        <v>62.5</v>
      </c>
      <c r="G36" s="102">
        <f t="shared" si="10"/>
        <v>62.5</v>
      </c>
      <c r="H36" s="102">
        <f t="shared" si="11"/>
        <v>62.5</v>
      </c>
      <c r="I36" s="102">
        <f t="shared" si="12"/>
        <v>62.5</v>
      </c>
      <c r="J36" s="102">
        <f t="shared" si="13"/>
        <v>62.5</v>
      </c>
      <c r="K36" s="102">
        <f t="shared" ref="K36:K43" si="14">100*$O14</f>
        <v>62.5</v>
      </c>
      <c r="L36" s="103">
        <v>162.5</v>
      </c>
      <c r="M36" s="103">
        <v>0.0</v>
      </c>
      <c r="N36" s="103">
        <v>0.0</v>
      </c>
      <c r="O36" s="103">
        <v>0.0</v>
      </c>
      <c r="P36" s="103">
        <v>0.0</v>
      </c>
      <c r="Q36" s="103">
        <v>0.0</v>
      </c>
      <c r="R36" s="103">
        <v>0.0</v>
      </c>
      <c r="S36" s="103">
        <v>0.0</v>
      </c>
    </row>
    <row r="37">
      <c r="A37" s="101">
        <f>date(2031,10,31)</f>
        <v>48152</v>
      </c>
      <c r="B37" s="103">
        <f>100*$O$16</f>
        <v>127.5</v>
      </c>
      <c r="C37" s="102">
        <f t="shared" si="6"/>
        <v>25</v>
      </c>
      <c r="D37" s="102">
        <f t="shared" si="7"/>
        <v>25</v>
      </c>
      <c r="E37" s="102">
        <f t="shared" si="8"/>
        <v>25</v>
      </c>
      <c r="F37" s="102">
        <f t="shared" si="9"/>
        <v>25</v>
      </c>
      <c r="G37" s="102">
        <f t="shared" si="10"/>
        <v>25</v>
      </c>
      <c r="H37" s="102">
        <f t="shared" si="11"/>
        <v>25</v>
      </c>
      <c r="I37" s="102">
        <f t="shared" si="12"/>
        <v>25</v>
      </c>
      <c r="J37" s="102">
        <f t="shared" si="13"/>
        <v>25</v>
      </c>
      <c r="K37" s="102">
        <f t="shared" si="14"/>
        <v>25</v>
      </c>
      <c r="L37" s="102">
        <f t="shared" ref="L37:L43" si="15">100*$O15</f>
        <v>25</v>
      </c>
      <c r="M37" s="103">
        <v>125.0</v>
      </c>
      <c r="N37" s="103">
        <v>0.0</v>
      </c>
      <c r="O37" s="103">
        <v>0.0</v>
      </c>
      <c r="P37" s="103">
        <v>0.0</v>
      </c>
      <c r="Q37" s="103">
        <v>0.0</v>
      </c>
      <c r="R37" s="103">
        <v>0.0</v>
      </c>
      <c r="S37" s="103">
        <v>0.0</v>
      </c>
    </row>
    <row r="38">
      <c r="A38" s="101">
        <f>date(2032,10,31)</f>
        <v>48518</v>
      </c>
      <c r="B38" s="103">
        <f>100*$O$17</f>
        <v>177.5</v>
      </c>
      <c r="C38" s="102">
        <f t="shared" si="6"/>
        <v>127.5</v>
      </c>
      <c r="D38" s="102">
        <f t="shared" si="7"/>
        <v>127.5</v>
      </c>
      <c r="E38" s="102">
        <f t="shared" si="8"/>
        <v>127.5</v>
      </c>
      <c r="F38" s="102">
        <f t="shared" si="9"/>
        <v>127.5</v>
      </c>
      <c r="G38" s="102">
        <f t="shared" si="10"/>
        <v>127.5</v>
      </c>
      <c r="H38" s="102">
        <f t="shared" si="11"/>
        <v>127.5</v>
      </c>
      <c r="I38" s="102">
        <f t="shared" si="12"/>
        <v>127.5</v>
      </c>
      <c r="J38" s="102">
        <f t="shared" si="13"/>
        <v>127.5</v>
      </c>
      <c r="K38" s="102">
        <f t="shared" si="14"/>
        <v>127.5</v>
      </c>
      <c r="L38" s="102">
        <f t="shared" si="15"/>
        <v>127.5</v>
      </c>
      <c r="M38" s="102">
        <f t="shared" ref="M38:M43" si="16">100*$O16</f>
        <v>127.5</v>
      </c>
      <c r="N38" s="103">
        <v>227.5</v>
      </c>
      <c r="O38" s="103">
        <v>0.0</v>
      </c>
      <c r="P38" s="103">
        <v>0.0</v>
      </c>
      <c r="Q38" s="103">
        <v>0.0</v>
      </c>
      <c r="R38" s="103">
        <v>0.0</v>
      </c>
      <c r="S38" s="103">
        <v>0.0</v>
      </c>
    </row>
    <row r="39">
      <c r="A39" s="101">
        <f>date(2033,10,31)</f>
        <v>48883</v>
      </c>
      <c r="B39" s="103">
        <f>100*$O$18</f>
        <v>42.5</v>
      </c>
      <c r="C39" s="102">
        <f t="shared" si="6"/>
        <v>177.5</v>
      </c>
      <c r="D39" s="102">
        <f t="shared" si="7"/>
        <v>177.5</v>
      </c>
      <c r="E39" s="102">
        <f t="shared" si="8"/>
        <v>177.5</v>
      </c>
      <c r="F39" s="102">
        <f t="shared" si="9"/>
        <v>177.5</v>
      </c>
      <c r="G39" s="102">
        <f t="shared" si="10"/>
        <v>177.5</v>
      </c>
      <c r="H39" s="102">
        <f t="shared" si="11"/>
        <v>177.5</v>
      </c>
      <c r="I39" s="102">
        <f t="shared" si="12"/>
        <v>177.5</v>
      </c>
      <c r="J39" s="102">
        <f t="shared" si="13"/>
        <v>177.5</v>
      </c>
      <c r="K39" s="102">
        <f t="shared" si="14"/>
        <v>177.5</v>
      </c>
      <c r="L39" s="102">
        <f t="shared" si="15"/>
        <v>177.5</v>
      </c>
      <c r="M39" s="102">
        <f t="shared" si="16"/>
        <v>177.5</v>
      </c>
      <c r="N39" s="102">
        <f t="shared" ref="N39:N43" si="17">100*$O17</f>
        <v>177.5</v>
      </c>
      <c r="O39" s="103">
        <v>277.5</v>
      </c>
      <c r="P39" s="103">
        <v>0.0</v>
      </c>
      <c r="Q39" s="103">
        <v>0.0</v>
      </c>
      <c r="R39" s="103">
        <v>0.0</v>
      </c>
      <c r="S39" s="103">
        <v>0.0</v>
      </c>
    </row>
    <row r="40">
      <c r="A40" s="101">
        <f>date(2037,7,30)</f>
        <v>50251</v>
      </c>
      <c r="B40" s="103">
        <f>100*$O$19</f>
        <v>172.5</v>
      </c>
      <c r="C40" s="102">
        <f t="shared" si="6"/>
        <v>42.5</v>
      </c>
      <c r="D40" s="102">
        <f t="shared" si="7"/>
        <v>42.5</v>
      </c>
      <c r="E40" s="102">
        <f t="shared" si="8"/>
        <v>42.5</v>
      </c>
      <c r="F40" s="102">
        <f t="shared" si="9"/>
        <v>42.5</v>
      </c>
      <c r="G40" s="102">
        <f t="shared" si="10"/>
        <v>42.5</v>
      </c>
      <c r="H40" s="102">
        <f t="shared" si="11"/>
        <v>42.5</v>
      </c>
      <c r="I40" s="102">
        <f t="shared" si="12"/>
        <v>42.5</v>
      </c>
      <c r="J40" s="102">
        <f t="shared" si="13"/>
        <v>42.5</v>
      </c>
      <c r="K40" s="102">
        <f t="shared" si="14"/>
        <v>42.5</v>
      </c>
      <c r="L40" s="102">
        <f t="shared" si="15"/>
        <v>42.5</v>
      </c>
      <c r="M40" s="102">
        <f t="shared" si="16"/>
        <v>42.5</v>
      </c>
      <c r="N40" s="102">
        <f t="shared" si="17"/>
        <v>42.5</v>
      </c>
      <c r="O40" s="102">
        <f t="shared" ref="O40:O43" si="18">100*$O18</f>
        <v>42.5</v>
      </c>
      <c r="P40" s="103">
        <v>142.5</v>
      </c>
      <c r="Q40" s="103">
        <v>0.0</v>
      </c>
      <c r="R40" s="103">
        <v>0.0</v>
      </c>
      <c r="S40" s="103">
        <v>0.0</v>
      </c>
    </row>
    <row r="41">
      <c r="A41" s="101">
        <f>date(2043,7,30)</f>
        <v>52442</v>
      </c>
      <c r="B41" s="103">
        <f>100*$O$20</f>
        <v>135</v>
      </c>
      <c r="C41" s="102">
        <f t="shared" si="6"/>
        <v>172.5</v>
      </c>
      <c r="D41" s="102">
        <f t="shared" si="7"/>
        <v>172.5</v>
      </c>
      <c r="E41" s="102">
        <f t="shared" si="8"/>
        <v>172.5</v>
      </c>
      <c r="F41" s="102">
        <f t="shared" si="9"/>
        <v>172.5</v>
      </c>
      <c r="G41" s="102">
        <f t="shared" si="10"/>
        <v>172.5</v>
      </c>
      <c r="H41" s="102">
        <f t="shared" si="11"/>
        <v>172.5</v>
      </c>
      <c r="I41" s="102">
        <f t="shared" si="12"/>
        <v>172.5</v>
      </c>
      <c r="J41" s="102">
        <f t="shared" si="13"/>
        <v>172.5</v>
      </c>
      <c r="K41" s="102">
        <f t="shared" si="14"/>
        <v>172.5</v>
      </c>
      <c r="L41" s="102">
        <f t="shared" si="15"/>
        <v>172.5</v>
      </c>
      <c r="M41" s="102">
        <f t="shared" si="16"/>
        <v>172.5</v>
      </c>
      <c r="N41" s="102">
        <f t="shared" si="17"/>
        <v>172.5</v>
      </c>
      <c r="O41" s="102">
        <f t="shared" si="18"/>
        <v>172.5</v>
      </c>
      <c r="P41" s="102">
        <f t="shared" ref="P41:P43" si="19">100*$O19</f>
        <v>172.5</v>
      </c>
      <c r="Q41" s="103">
        <v>272.5</v>
      </c>
      <c r="R41" s="103">
        <v>0.0</v>
      </c>
      <c r="S41" s="103">
        <v>0.0</v>
      </c>
    </row>
    <row r="42">
      <c r="A42" s="101">
        <f>date(2048,10,31)</f>
        <v>54362</v>
      </c>
      <c r="B42" s="103">
        <f>100*$O$21</f>
        <v>95</v>
      </c>
      <c r="C42" s="102">
        <f t="shared" si="6"/>
        <v>135</v>
      </c>
      <c r="D42" s="102">
        <f t="shared" si="7"/>
        <v>135</v>
      </c>
      <c r="E42" s="102">
        <f t="shared" si="8"/>
        <v>135</v>
      </c>
      <c r="F42" s="102">
        <f t="shared" si="9"/>
        <v>135</v>
      </c>
      <c r="G42" s="102">
        <f t="shared" si="10"/>
        <v>135</v>
      </c>
      <c r="H42" s="102">
        <f t="shared" si="11"/>
        <v>135</v>
      </c>
      <c r="I42" s="102">
        <f t="shared" si="12"/>
        <v>135</v>
      </c>
      <c r="J42" s="102">
        <f t="shared" si="13"/>
        <v>135</v>
      </c>
      <c r="K42" s="102">
        <f t="shared" si="14"/>
        <v>135</v>
      </c>
      <c r="L42" s="102">
        <f t="shared" si="15"/>
        <v>135</v>
      </c>
      <c r="M42" s="102">
        <f t="shared" si="16"/>
        <v>135</v>
      </c>
      <c r="N42" s="102">
        <f t="shared" si="17"/>
        <v>135</v>
      </c>
      <c r="O42" s="102">
        <f t="shared" si="18"/>
        <v>135</v>
      </c>
      <c r="P42" s="102">
        <f t="shared" si="19"/>
        <v>135</v>
      </c>
      <c r="Q42" s="102">
        <f t="shared" ref="Q42:Q43" si="20">100*$O20</f>
        <v>135</v>
      </c>
      <c r="R42" s="103">
        <v>235.0</v>
      </c>
      <c r="S42" s="103">
        <v>0.0</v>
      </c>
    </row>
    <row r="43">
      <c r="A43" s="101">
        <f>date(2052,10,31)</f>
        <v>55823</v>
      </c>
      <c r="B43" s="103">
        <f>100*$O$22</f>
        <v>0</v>
      </c>
      <c r="C43" s="102">
        <f t="shared" si="6"/>
        <v>95</v>
      </c>
      <c r="D43" s="102">
        <f t="shared" si="7"/>
        <v>95</v>
      </c>
      <c r="E43" s="102">
        <f t="shared" si="8"/>
        <v>95</v>
      </c>
      <c r="F43" s="102">
        <f t="shared" si="9"/>
        <v>95</v>
      </c>
      <c r="G43" s="102">
        <f t="shared" si="10"/>
        <v>95</v>
      </c>
      <c r="H43" s="102">
        <f t="shared" si="11"/>
        <v>95</v>
      </c>
      <c r="I43" s="102">
        <f t="shared" si="12"/>
        <v>95</v>
      </c>
      <c r="J43" s="102">
        <f t="shared" si="13"/>
        <v>95</v>
      </c>
      <c r="K43" s="102">
        <f t="shared" si="14"/>
        <v>95</v>
      </c>
      <c r="L43" s="102">
        <f t="shared" si="15"/>
        <v>95</v>
      </c>
      <c r="M43" s="102">
        <f t="shared" si="16"/>
        <v>95</v>
      </c>
      <c r="N43" s="102">
        <f t="shared" si="17"/>
        <v>95</v>
      </c>
      <c r="O43" s="102">
        <f t="shared" si="18"/>
        <v>95</v>
      </c>
      <c r="P43" s="102">
        <f t="shared" si="19"/>
        <v>95</v>
      </c>
      <c r="Q43" s="102">
        <f t="shared" si="20"/>
        <v>95</v>
      </c>
      <c r="R43" s="102">
        <f>100*$O21</f>
        <v>95</v>
      </c>
      <c r="S43" s="103">
        <v>195.0</v>
      </c>
    </row>
    <row r="46">
      <c r="A46" s="97" t="s">
        <v>62</v>
      </c>
    </row>
    <row r="47">
      <c r="A47" s="104" t="s">
        <v>4</v>
      </c>
      <c r="B47" s="105">
        <v>45627.0</v>
      </c>
      <c r="C47" s="105">
        <v>45507.0</v>
      </c>
      <c r="D47" s="105">
        <v>45479.0</v>
      </c>
      <c r="E47" s="105">
        <v>45452.0</v>
      </c>
      <c r="F47" s="105">
        <v>45515.0</v>
      </c>
      <c r="G47" s="106" t="s">
        <v>63</v>
      </c>
      <c r="H47" s="106" t="s">
        <v>64</v>
      </c>
      <c r="I47" s="106" t="s">
        <v>65</v>
      </c>
      <c r="J47" s="106" t="s">
        <v>66</v>
      </c>
      <c r="K47" s="106" t="s">
        <v>67</v>
      </c>
      <c r="L47" s="106" t="s">
        <v>68</v>
      </c>
      <c r="M47" s="106" t="s">
        <v>69</v>
      </c>
      <c r="N47" s="106" t="s">
        <v>70</v>
      </c>
    </row>
    <row r="48">
      <c r="A48" s="107">
        <v>45627.0</v>
      </c>
      <c r="B48" s="108">
        <v>0.01</v>
      </c>
      <c r="C48" s="108">
        <v>0.0</v>
      </c>
      <c r="D48" s="108">
        <v>0.0</v>
      </c>
      <c r="E48" s="108">
        <v>0.0</v>
      </c>
      <c r="F48" s="108">
        <v>0.0</v>
      </c>
      <c r="G48" s="108">
        <v>0.0</v>
      </c>
      <c r="H48" s="108">
        <v>0.0</v>
      </c>
      <c r="I48" s="108">
        <v>0.0</v>
      </c>
      <c r="J48" s="108">
        <v>0.0</v>
      </c>
      <c r="K48" s="108">
        <v>0.0</v>
      </c>
      <c r="L48" s="108">
        <v>0.0</v>
      </c>
      <c r="M48" s="108">
        <v>0.0</v>
      </c>
      <c r="N48" s="108">
        <v>0.0</v>
      </c>
    </row>
    <row r="49">
      <c r="A49" s="107">
        <v>45507.0</v>
      </c>
      <c r="B49" s="108">
        <v>0.0</v>
      </c>
      <c r="C49" s="108">
        <v>0.01</v>
      </c>
      <c r="D49" s="108">
        <v>0.0</v>
      </c>
      <c r="E49" s="108">
        <v>0.0</v>
      </c>
      <c r="F49" s="108">
        <v>0.0</v>
      </c>
      <c r="G49" s="108">
        <v>0.0</v>
      </c>
      <c r="H49" s="108">
        <v>0.0</v>
      </c>
      <c r="I49" s="108">
        <v>0.0</v>
      </c>
      <c r="J49" s="108">
        <v>0.0</v>
      </c>
      <c r="K49" s="108">
        <v>0.0</v>
      </c>
      <c r="L49" s="108">
        <v>0.0</v>
      </c>
      <c r="M49" s="108">
        <v>0.0</v>
      </c>
      <c r="N49" s="108">
        <v>0.0</v>
      </c>
    </row>
    <row r="50">
      <c r="A50" s="107">
        <v>45479.0</v>
      </c>
      <c r="B50" s="108">
        <v>0.0</v>
      </c>
      <c r="C50" s="108">
        <v>0.0</v>
      </c>
      <c r="D50" s="108">
        <v>0.01</v>
      </c>
      <c r="E50" s="108">
        <v>0.0</v>
      </c>
      <c r="F50" s="108">
        <v>0.0</v>
      </c>
      <c r="G50" s="108">
        <v>0.0</v>
      </c>
      <c r="H50" s="108">
        <v>0.0</v>
      </c>
      <c r="I50" s="108">
        <v>0.0</v>
      </c>
      <c r="J50" s="108">
        <v>0.0</v>
      </c>
      <c r="K50" s="108">
        <v>0.0</v>
      </c>
      <c r="L50" s="108">
        <v>0.0</v>
      </c>
      <c r="M50" s="108">
        <v>0.0</v>
      </c>
      <c r="N50" s="108">
        <v>0.0</v>
      </c>
    </row>
    <row r="51">
      <c r="A51" s="107">
        <v>45452.0</v>
      </c>
      <c r="B51" s="108">
        <v>0.0</v>
      </c>
      <c r="C51" s="108">
        <v>0.0</v>
      </c>
      <c r="D51" s="108">
        <v>0.0</v>
      </c>
      <c r="E51" s="108">
        <v>0.01</v>
      </c>
      <c r="F51" s="108">
        <v>0.0</v>
      </c>
      <c r="G51" s="108">
        <v>0.0</v>
      </c>
      <c r="H51" s="108">
        <v>0.0</v>
      </c>
      <c r="I51" s="108">
        <v>0.0</v>
      </c>
      <c r="J51" s="108">
        <v>0.0</v>
      </c>
      <c r="K51" s="108">
        <v>0.0</v>
      </c>
      <c r="L51" s="108">
        <v>0.0</v>
      </c>
      <c r="M51" s="108">
        <v>0.0</v>
      </c>
      <c r="N51" s="108">
        <v>0.0</v>
      </c>
    </row>
    <row r="52">
      <c r="A52" s="107">
        <v>45515.0</v>
      </c>
      <c r="B52" s="108">
        <v>0.0</v>
      </c>
      <c r="C52" s="108">
        <v>0.0</v>
      </c>
      <c r="D52" s="108">
        <v>0.0</v>
      </c>
      <c r="E52" s="108">
        <v>0.0</v>
      </c>
      <c r="F52" s="108">
        <v>0.01</v>
      </c>
      <c r="G52" s="108">
        <v>0.0</v>
      </c>
      <c r="H52" s="108">
        <v>0.0</v>
      </c>
      <c r="I52" s="108">
        <v>0.0</v>
      </c>
      <c r="J52" s="108">
        <v>0.0</v>
      </c>
      <c r="K52" s="108">
        <v>0.0</v>
      </c>
      <c r="L52" s="108">
        <v>0.0</v>
      </c>
      <c r="M52" s="108">
        <v>0.0</v>
      </c>
      <c r="N52" s="108">
        <v>0.0</v>
      </c>
    </row>
    <row r="53">
      <c r="A53" s="109" t="s">
        <v>63</v>
      </c>
      <c r="B53" s="108">
        <v>-0.0065</v>
      </c>
      <c r="C53" s="108">
        <v>0.0</v>
      </c>
      <c r="D53" s="108">
        <v>0.0</v>
      </c>
      <c r="E53" s="108">
        <v>0.0</v>
      </c>
      <c r="F53" s="108">
        <v>0.0</v>
      </c>
      <c r="G53" s="108">
        <v>0.01</v>
      </c>
      <c r="H53" s="108">
        <v>0.0</v>
      </c>
      <c r="I53" s="108">
        <v>0.0</v>
      </c>
      <c r="J53" s="108">
        <v>0.0</v>
      </c>
      <c r="K53" s="108">
        <v>0.0</v>
      </c>
      <c r="L53" s="108">
        <v>0.0</v>
      </c>
      <c r="M53" s="108">
        <v>0.0</v>
      </c>
      <c r="N53" s="108">
        <v>0.0</v>
      </c>
    </row>
    <row r="54">
      <c r="A54" s="109" t="s">
        <v>64</v>
      </c>
      <c r="B54" s="108">
        <v>-0.0018</v>
      </c>
      <c r="C54" s="108">
        <v>-0.0039</v>
      </c>
      <c r="D54" s="108">
        <v>-0.0039</v>
      </c>
      <c r="E54" s="108">
        <v>-0.0039</v>
      </c>
      <c r="F54" s="108">
        <v>-0.0039</v>
      </c>
      <c r="G54" s="108">
        <v>-0.0039</v>
      </c>
      <c r="H54" s="108">
        <v>0.0061</v>
      </c>
      <c r="I54" s="108">
        <v>0.0</v>
      </c>
      <c r="J54" s="108">
        <v>0.0</v>
      </c>
      <c r="K54" s="108">
        <v>0.0</v>
      </c>
      <c r="L54" s="108">
        <v>0.0</v>
      </c>
      <c r="M54" s="108">
        <v>0.0</v>
      </c>
      <c r="N54" s="108">
        <v>0.0</v>
      </c>
    </row>
    <row r="55">
      <c r="A55" s="109" t="s">
        <v>65</v>
      </c>
      <c r="B55" s="108">
        <v>0.0035</v>
      </c>
      <c r="C55" s="108">
        <v>-0.0025</v>
      </c>
      <c r="D55" s="108">
        <v>-0.0025</v>
      </c>
      <c r="E55" s="108">
        <v>-0.0025</v>
      </c>
      <c r="F55" s="108">
        <v>-0.0025</v>
      </c>
      <c r="G55" s="108">
        <v>-0.0025</v>
      </c>
      <c r="H55" s="108">
        <v>-0.0025</v>
      </c>
      <c r="I55" s="108">
        <v>0.0058</v>
      </c>
      <c r="J55" s="108">
        <v>0.0</v>
      </c>
      <c r="K55" s="108">
        <v>0.0</v>
      </c>
      <c r="L55" s="108">
        <v>0.0</v>
      </c>
      <c r="M55" s="108">
        <v>0.0</v>
      </c>
      <c r="N55" s="108">
        <v>0.0</v>
      </c>
    </row>
    <row r="56">
      <c r="A56" s="109" t="s">
        <v>66</v>
      </c>
      <c r="B56" s="108">
        <v>-0.003</v>
      </c>
      <c r="C56" s="108">
        <v>0.0</v>
      </c>
      <c r="D56" s="108">
        <v>0.0</v>
      </c>
      <c r="E56" s="108">
        <v>0.0</v>
      </c>
      <c r="F56" s="108">
        <v>0.0</v>
      </c>
      <c r="G56" s="108">
        <v>0.0</v>
      </c>
      <c r="H56" s="108">
        <v>0.0</v>
      </c>
      <c r="I56" s="108">
        <v>0.0</v>
      </c>
      <c r="J56" s="108">
        <v>0.01</v>
      </c>
      <c r="K56" s="108">
        <v>0.0</v>
      </c>
      <c r="L56" s="108">
        <v>0.0</v>
      </c>
      <c r="M56" s="108">
        <v>0.0</v>
      </c>
      <c r="N56" s="108">
        <v>0.0</v>
      </c>
    </row>
    <row r="57">
      <c r="A57" s="109" t="s">
        <v>67</v>
      </c>
      <c r="B57" s="108">
        <v>-0.003</v>
      </c>
      <c r="C57" s="108">
        <v>-8.0E-4</v>
      </c>
      <c r="D57" s="108">
        <v>-8.0E-4</v>
      </c>
      <c r="E57" s="108">
        <v>-8.0E-4</v>
      </c>
      <c r="F57" s="108">
        <v>-8.0E-4</v>
      </c>
      <c r="G57" s="108">
        <v>-8.0E-4</v>
      </c>
      <c r="H57" s="108">
        <v>-8.0E-4</v>
      </c>
      <c r="I57" s="108">
        <v>-0.0013</v>
      </c>
      <c r="J57" s="108">
        <v>-0.0023</v>
      </c>
      <c r="K57" s="108">
        <v>0.0077</v>
      </c>
      <c r="L57" s="108">
        <v>0.0</v>
      </c>
      <c r="M57" s="108">
        <v>0.0</v>
      </c>
      <c r="N57" s="108">
        <v>0.0</v>
      </c>
    </row>
    <row r="58">
      <c r="A58" s="109" t="s">
        <v>68</v>
      </c>
      <c r="B58" s="108">
        <v>0.0026</v>
      </c>
      <c r="C58" s="108">
        <v>-0.001</v>
      </c>
      <c r="D58" s="108">
        <v>-0.001</v>
      </c>
      <c r="E58" s="108">
        <v>-0.001</v>
      </c>
      <c r="F58" s="108">
        <v>-0.001</v>
      </c>
      <c r="G58" s="108">
        <v>-0.001</v>
      </c>
      <c r="H58" s="108">
        <v>-0.001</v>
      </c>
      <c r="I58" s="108">
        <v>-0.0017</v>
      </c>
      <c r="J58" s="108">
        <v>-0.003</v>
      </c>
      <c r="K58" s="108">
        <v>-0.003</v>
      </c>
      <c r="L58" s="108">
        <v>0.0062</v>
      </c>
      <c r="M58" s="108">
        <v>0.0</v>
      </c>
      <c r="N58" s="108">
        <v>0.0</v>
      </c>
    </row>
    <row r="59">
      <c r="A59" s="109" t="s">
        <v>69</v>
      </c>
      <c r="B59" s="108">
        <v>-0.0086</v>
      </c>
      <c r="C59" s="108">
        <v>-3.0E-4</v>
      </c>
      <c r="D59" s="108">
        <v>-3.0E-4</v>
      </c>
      <c r="E59" s="108">
        <v>-3.0E-4</v>
      </c>
      <c r="F59" s="108">
        <v>-3.0E-4</v>
      </c>
      <c r="G59" s="108">
        <v>-3.0E-4</v>
      </c>
      <c r="H59" s="108">
        <v>-3.0E-4</v>
      </c>
      <c r="I59" s="108">
        <v>-5.0E-4</v>
      </c>
      <c r="J59" s="108">
        <v>-9.0E-4</v>
      </c>
      <c r="K59" s="108">
        <v>-9.0E-4</v>
      </c>
      <c r="L59" s="108">
        <v>-0.0012</v>
      </c>
      <c r="M59" s="108">
        <v>0.008</v>
      </c>
      <c r="N59" s="108">
        <v>0.0</v>
      </c>
    </row>
    <row r="60">
      <c r="A60" s="109" t="s">
        <v>70</v>
      </c>
      <c r="B60" s="108">
        <v>0.0016</v>
      </c>
      <c r="C60" s="108">
        <v>-7.0E-4</v>
      </c>
      <c r="D60" s="108">
        <v>-7.0E-4</v>
      </c>
      <c r="E60" s="108">
        <v>-7.0E-4</v>
      </c>
      <c r="F60" s="108">
        <v>-7.0E-4</v>
      </c>
      <c r="G60" s="108">
        <v>-7.0E-4</v>
      </c>
      <c r="H60" s="108">
        <v>-7.0E-4</v>
      </c>
      <c r="I60" s="108">
        <v>-0.0012</v>
      </c>
      <c r="J60" s="108">
        <v>-0.0021</v>
      </c>
      <c r="K60" s="108">
        <v>-0.0021</v>
      </c>
      <c r="L60" s="108">
        <v>-0.0028</v>
      </c>
      <c r="M60" s="108">
        <v>-0.0045</v>
      </c>
      <c r="N60" s="108">
        <v>0.0044</v>
      </c>
    </row>
    <row r="64">
      <c r="A64" s="110" t="s">
        <v>71</v>
      </c>
      <c r="B64" s="110" t="s">
        <v>19</v>
      </c>
      <c r="C64" s="110" t="s">
        <v>5</v>
      </c>
    </row>
    <row r="65">
      <c r="A65" s="111">
        <v>45627.0</v>
      </c>
      <c r="B65" s="112">
        <f t="array" ref="B65:B77">MMULT(B48:N60,R4:R16)</f>
        <v>0.99706</v>
      </c>
      <c r="C65" s="112">
        <f t="shared" ref="C65:C77" si="21">(A65-$B$2)/360</f>
        <v>1.016666667</v>
      </c>
    </row>
    <row r="66">
      <c r="A66" s="111">
        <v>45507.0</v>
      </c>
      <c r="B66" s="112">
        <v>0.9914400000000001</v>
      </c>
      <c r="C66" s="112">
        <f t="shared" si="21"/>
        <v>0.6833333333</v>
      </c>
    </row>
    <row r="67">
      <c r="A67" s="111">
        <v>45479.0</v>
      </c>
      <c r="B67" s="112">
        <v>0.9822700000000001</v>
      </c>
      <c r="C67" s="112">
        <f t="shared" si="21"/>
        <v>0.6055555556</v>
      </c>
    </row>
    <row r="68">
      <c r="A68" s="111">
        <v>45452.0</v>
      </c>
      <c r="B68" s="112">
        <v>0.9741200000000001</v>
      </c>
      <c r="C68" s="112">
        <f t="shared" si="21"/>
        <v>0.5305555556</v>
      </c>
    </row>
    <row r="69">
      <c r="A69" s="111">
        <v>45515.0</v>
      </c>
      <c r="B69" s="112">
        <v>0.96923</v>
      </c>
      <c r="C69" s="112">
        <f t="shared" si="21"/>
        <v>0.7055555556</v>
      </c>
    </row>
    <row r="70">
      <c r="A70" s="113">
        <f>date(2025,5,31)</f>
        <v>45808</v>
      </c>
      <c r="B70" s="112">
        <v>0.306561</v>
      </c>
      <c r="C70" s="112">
        <f t="shared" si="21"/>
        <v>1.519444444</v>
      </c>
    </row>
    <row r="71">
      <c r="A71" s="113">
        <f>date(2026,10,31)</f>
        <v>46326</v>
      </c>
      <c r="B71" s="112">
        <v>-1.483274533333333</v>
      </c>
      <c r="C71" s="112">
        <f t="shared" si="21"/>
        <v>2.958333333</v>
      </c>
    </row>
    <row r="72">
      <c r="A72" s="113">
        <f>date(2027,10,31)</f>
        <v>46691</v>
      </c>
      <c r="B72" s="112">
        <v>-0.5494232</v>
      </c>
      <c r="C72" s="112">
        <f t="shared" si="21"/>
        <v>3.972222222</v>
      </c>
    </row>
    <row r="73">
      <c r="A73" s="113">
        <f>date(2028,10,31)</f>
        <v>47057</v>
      </c>
      <c r="B73" s="112">
        <v>0.5896020000000001</v>
      </c>
      <c r="C73" s="112">
        <f t="shared" si="21"/>
        <v>4.988888889</v>
      </c>
    </row>
    <row r="74">
      <c r="A74" s="113">
        <f>date(2029,10,31)</f>
        <v>47422</v>
      </c>
      <c r="B74" s="112">
        <v>-0.4163633000000002</v>
      </c>
      <c r="C74" s="112">
        <f t="shared" si="21"/>
        <v>6.002777778</v>
      </c>
    </row>
    <row r="75">
      <c r="A75" s="113">
        <f>date(2030,10,31)</f>
        <v>47787</v>
      </c>
      <c r="B75" s="112">
        <v>-0.4573132333333334</v>
      </c>
      <c r="C75" s="112">
        <f t="shared" si="21"/>
        <v>7.016666667</v>
      </c>
    </row>
    <row r="76">
      <c r="A76" s="113">
        <f>date(2031,10,31)</f>
        <v>48152</v>
      </c>
      <c r="B76" s="112">
        <v>-0.6867483666666665</v>
      </c>
      <c r="C76" s="112">
        <f t="shared" si="21"/>
        <v>8.030555556</v>
      </c>
    </row>
    <row r="77">
      <c r="A77" s="113">
        <f>date(2032,10,31)</f>
        <v>48518</v>
      </c>
      <c r="B77" s="112">
        <v>-0.9292400999999998</v>
      </c>
      <c r="C77" s="112">
        <f t="shared" si="21"/>
        <v>9.047222222</v>
      </c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8" max="8" width="15.13"/>
    <col customWidth="1" min="9" max="9" width="23.75"/>
  </cols>
  <sheetData>
    <row r="2">
      <c r="A2" s="114" t="s">
        <v>3</v>
      </c>
      <c r="B2" s="115">
        <f>today()</f>
        <v>45296</v>
      </c>
      <c r="C2" s="115">
        <f>date(2023,12,1)</f>
        <v>45261</v>
      </c>
      <c r="D2" s="24">
        <f>B2-C2</f>
        <v>35</v>
      </c>
    </row>
    <row r="3">
      <c r="A3" s="116" t="s">
        <v>4</v>
      </c>
      <c r="B3" s="117" t="s">
        <v>72</v>
      </c>
      <c r="C3" s="117" t="s">
        <v>6</v>
      </c>
      <c r="D3" s="118" t="s">
        <v>7</v>
      </c>
      <c r="E3" s="118" t="s">
        <v>8</v>
      </c>
      <c r="F3" s="118" t="s">
        <v>9</v>
      </c>
      <c r="G3" s="118" t="s">
        <v>10</v>
      </c>
      <c r="H3" s="118" t="s">
        <v>11</v>
      </c>
      <c r="I3" s="118" t="s">
        <v>73</v>
      </c>
      <c r="J3" s="117" t="s">
        <v>13</v>
      </c>
      <c r="K3" s="117" t="s">
        <v>23</v>
      </c>
      <c r="L3" s="117" t="s">
        <v>24</v>
      </c>
      <c r="M3" s="119" t="s">
        <v>15</v>
      </c>
      <c r="N3" s="120" t="s">
        <v>16</v>
      </c>
    </row>
    <row r="4">
      <c r="A4" s="121">
        <f>date(2024,1,12)</f>
        <v>45303</v>
      </c>
      <c r="B4" s="122">
        <f t="shared" ref="B4:B22" si="2">DAYS(A4,$B$2)</f>
        <v>7</v>
      </c>
      <c r="C4" s="123">
        <v>0.0</v>
      </c>
      <c r="D4" s="122">
        <v>99.69</v>
      </c>
      <c r="E4" s="122">
        <v>99.7</v>
      </c>
      <c r="F4" s="24">
        <f t="shared" ref="F4:F22" si="3">$D$2</f>
        <v>35</v>
      </c>
      <c r="G4" s="124">
        <f t="shared" ref="G4:G22" si="4">yield($C$2,A4,C4,D4,100,2,0)</f>
        <v>0.02730415508</v>
      </c>
      <c r="H4" s="114">
        <v>184.0</v>
      </c>
      <c r="I4" s="123">
        <f t="shared" ref="I4:I22" si="5">C4/2</f>
        <v>0</v>
      </c>
      <c r="J4" s="24">
        <f t="shared" ref="J4:J22" si="6">(100*I4)*F4/H4</f>
        <v>0</v>
      </c>
      <c r="K4" s="24">
        <f t="shared" ref="K4:L4" si="1">D4</f>
        <v>99.69</v>
      </c>
      <c r="L4" s="24">
        <f t="shared" si="1"/>
        <v>99.7</v>
      </c>
      <c r="M4" s="24">
        <f t="shared" ref="M4:M22" si="8">J4+K4</f>
        <v>99.69</v>
      </c>
      <c r="N4" s="24">
        <f t="shared" ref="N4:N22" si="9">J4+L4</f>
        <v>99.7</v>
      </c>
    </row>
    <row r="5">
      <c r="A5" s="121">
        <f>date(2024,3,14)</f>
        <v>45365</v>
      </c>
      <c r="B5" s="122">
        <f t="shared" si="2"/>
        <v>69</v>
      </c>
      <c r="C5" s="123">
        <v>0.0</v>
      </c>
      <c r="D5" s="122">
        <v>99.047</v>
      </c>
      <c r="E5" s="122">
        <v>99.067</v>
      </c>
      <c r="F5" s="24">
        <f t="shared" si="3"/>
        <v>35</v>
      </c>
      <c r="G5" s="124">
        <f t="shared" si="4"/>
        <v>0.03362922437</v>
      </c>
      <c r="H5" s="114">
        <v>184.0</v>
      </c>
      <c r="I5" s="123">
        <f t="shared" si="5"/>
        <v>0</v>
      </c>
      <c r="J5" s="24">
        <f t="shared" si="6"/>
        <v>0</v>
      </c>
      <c r="K5" s="24">
        <f t="shared" ref="K5:L5" si="7">D5</f>
        <v>99.047</v>
      </c>
      <c r="L5" s="24">
        <f t="shared" si="7"/>
        <v>99.067</v>
      </c>
      <c r="M5" s="24">
        <f t="shared" si="8"/>
        <v>99.047</v>
      </c>
      <c r="N5" s="24">
        <f t="shared" si="9"/>
        <v>99.067</v>
      </c>
    </row>
    <row r="6">
      <c r="A6" s="121">
        <f>date(2024,5,31)</f>
        <v>45443</v>
      </c>
      <c r="B6" s="122">
        <f t="shared" si="2"/>
        <v>147</v>
      </c>
      <c r="C6" s="123">
        <v>0.0</v>
      </c>
      <c r="D6" s="122">
        <v>98.256</v>
      </c>
      <c r="E6" s="122">
        <v>98.381</v>
      </c>
      <c r="F6" s="24">
        <f t="shared" si="3"/>
        <v>35</v>
      </c>
      <c r="G6" s="124">
        <f t="shared" si="4"/>
        <v>0.03549910438</v>
      </c>
      <c r="H6" s="114">
        <v>184.0</v>
      </c>
      <c r="I6" s="123">
        <f t="shared" si="5"/>
        <v>0</v>
      </c>
      <c r="J6" s="24">
        <f t="shared" si="6"/>
        <v>0</v>
      </c>
      <c r="K6" s="24">
        <f t="shared" ref="K6:L6" si="10">D6</f>
        <v>98.256</v>
      </c>
      <c r="L6" s="24">
        <f t="shared" si="10"/>
        <v>98.381</v>
      </c>
      <c r="M6" s="24">
        <f t="shared" si="8"/>
        <v>98.256</v>
      </c>
      <c r="N6" s="24">
        <f t="shared" si="9"/>
        <v>98.381</v>
      </c>
    </row>
    <row r="7">
      <c r="A7" s="121">
        <f>date(2024,11,14)</f>
        <v>45610</v>
      </c>
      <c r="B7" s="122">
        <f t="shared" si="2"/>
        <v>314</v>
      </c>
      <c r="C7" s="123">
        <v>0.0</v>
      </c>
      <c r="D7" s="122">
        <v>97.368</v>
      </c>
      <c r="E7" s="122">
        <v>97.401</v>
      </c>
      <c r="F7" s="24">
        <f t="shared" si="3"/>
        <v>35</v>
      </c>
      <c r="G7" s="124">
        <f t="shared" si="4"/>
        <v>0.02819137644</v>
      </c>
      <c r="H7" s="114">
        <v>184.0</v>
      </c>
      <c r="I7" s="123">
        <f t="shared" si="5"/>
        <v>0</v>
      </c>
      <c r="J7" s="24">
        <f t="shared" si="6"/>
        <v>0</v>
      </c>
      <c r="K7" s="24">
        <f t="shared" ref="K7:L7" si="11">D7</f>
        <v>97.368</v>
      </c>
      <c r="L7" s="24">
        <f t="shared" si="11"/>
        <v>97.401</v>
      </c>
      <c r="M7" s="24">
        <f t="shared" si="8"/>
        <v>97.368</v>
      </c>
      <c r="N7" s="24">
        <f t="shared" si="9"/>
        <v>97.401</v>
      </c>
    </row>
    <row r="8">
      <c r="A8" s="121">
        <f>date(2024,9,13)</f>
        <v>45548</v>
      </c>
      <c r="B8" s="122">
        <f t="shared" si="2"/>
        <v>252</v>
      </c>
      <c r="C8" s="123">
        <v>0.0</v>
      </c>
      <c r="D8" s="122">
        <v>96.77</v>
      </c>
      <c r="E8" s="122">
        <v>96.81</v>
      </c>
      <c r="F8" s="24">
        <f t="shared" si="3"/>
        <v>35</v>
      </c>
      <c r="G8" s="124">
        <f t="shared" si="4"/>
        <v>0.04235696289</v>
      </c>
      <c r="H8" s="114">
        <v>184.0</v>
      </c>
      <c r="I8" s="123">
        <f t="shared" si="5"/>
        <v>0</v>
      </c>
      <c r="J8" s="24">
        <f t="shared" si="6"/>
        <v>0</v>
      </c>
      <c r="K8" s="24">
        <f t="shared" ref="K8:L8" si="12">D8</f>
        <v>96.77</v>
      </c>
      <c r="L8" s="24">
        <f t="shared" si="12"/>
        <v>96.81</v>
      </c>
      <c r="M8" s="24">
        <f t="shared" si="8"/>
        <v>96.77</v>
      </c>
      <c r="N8" s="24">
        <f t="shared" si="9"/>
        <v>96.81</v>
      </c>
    </row>
    <row r="9">
      <c r="A9" s="121">
        <f>date(2025,9,29)</f>
        <v>45929</v>
      </c>
      <c r="B9" s="122">
        <f t="shared" si="2"/>
        <v>633</v>
      </c>
      <c r="C9" s="123">
        <v>0.036</v>
      </c>
      <c r="D9" s="122">
        <v>100.52</v>
      </c>
      <c r="E9" s="122">
        <v>100.54</v>
      </c>
      <c r="F9" s="24">
        <f t="shared" si="3"/>
        <v>35</v>
      </c>
      <c r="G9" s="124">
        <f t="shared" si="4"/>
        <v>0.03302596646</v>
      </c>
      <c r="H9" s="114">
        <v>184.0</v>
      </c>
      <c r="I9" s="123">
        <f t="shared" si="5"/>
        <v>0.018</v>
      </c>
      <c r="J9" s="24">
        <f t="shared" si="6"/>
        <v>0.3423913043</v>
      </c>
      <c r="K9" s="24">
        <f t="shared" ref="K9:L9" si="13">D9</f>
        <v>100.52</v>
      </c>
      <c r="L9" s="24">
        <f t="shared" si="13"/>
        <v>100.54</v>
      </c>
      <c r="M9" s="24">
        <f t="shared" si="8"/>
        <v>100.8623913</v>
      </c>
      <c r="N9" s="24">
        <f t="shared" si="9"/>
        <v>100.8823913</v>
      </c>
    </row>
    <row r="10">
      <c r="A10" s="121">
        <f>date(2026,12,1)</f>
        <v>46357</v>
      </c>
      <c r="B10" s="122">
        <f t="shared" si="2"/>
        <v>1061</v>
      </c>
      <c r="C10" s="123">
        <v>0.0125</v>
      </c>
      <c r="D10" s="122">
        <v>94.55</v>
      </c>
      <c r="E10" s="122">
        <v>94.67</v>
      </c>
      <c r="F10" s="24">
        <f t="shared" si="3"/>
        <v>35</v>
      </c>
      <c r="G10" s="124">
        <f t="shared" si="4"/>
        <v>0.0316872517</v>
      </c>
      <c r="H10" s="114">
        <v>184.0</v>
      </c>
      <c r="I10" s="123">
        <f t="shared" si="5"/>
        <v>0.00625</v>
      </c>
      <c r="J10" s="24">
        <f t="shared" si="6"/>
        <v>0.1188858696</v>
      </c>
      <c r="K10" s="24">
        <f t="shared" ref="K10:L10" si="14">D10</f>
        <v>94.55</v>
      </c>
      <c r="L10" s="24">
        <f t="shared" si="14"/>
        <v>94.67</v>
      </c>
      <c r="M10" s="24">
        <f t="shared" si="8"/>
        <v>94.66888587</v>
      </c>
      <c r="N10" s="24">
        <f t="shared" si="9"/>
        <v>94.78888587</v>
      </c>
    </row>
    <row r="11">
      <c r="A11" s="121">
        <f>date(2027,12,1)</f>
        <v>46722</v>
      </c>
      <c r="B11" s="122">
        <f t="shared" si="2"/>
        <v>1426</v>
      </c>
      <c r="C11" s="123">
        <v>0.0265</v>
      </c>
      <c r="D11" s="122">
        <v>97.76</v>
      </c>
      <c r="E11" s="122">
        <v>97.81</v>
      </c>
      <c r="F11" s="24">
        <f t="shared" si="3"/>
        <v>35</v>
      </c>
      <c r="G11" s="124">
        <f t="shared" si="4"/>
        <v>0.03251742664</v>
      </c>
      <c r="H11" s="114">
        <v>184.0</v>
      </c>
      <c r="I11" s="123">
        <f t="shared" si="5"/>
        <v>0.01325</v>
      </c>
      <c r="J11" s="24">
        <f t="shared" si="6"/>
        <v>0.2520380435</v>
      </c>
      <c r="K11" s="24">
        <f t="shared" ref="K11:L11" si="15">D11</f>
        <v>97.76</v>
      </c>
      <c r="L11" s="24">
        <f t="shared" si="15"/>
        <v>97.81</v>
      </c>
      <c r="M11" s="24">
        <f t="shared" si="8"/>
        <v>98.01203804</v>
      </c>
      <c r="N11" s="24">
        <f t="shared" si="9"/>
        <v>98.06203804</v>
      </c>
    </row>
    <row r="12">
      <c r="A12" s="121">
        <f>date(2029,2,1)</f>
        <v>47150</v>
      </c>
      <c r="B12" s="122">
        <f t="shared" si="2"/>
        <v>1854</v>
      </c>
      <c r="C12" s="123">
        <v>0.041</v>
      </c>
      <c r="D12" s="122">
        <v>103.04</v>
      </c>
      <c r="E12" s="122">
        <v>103.11</v>
      </c>
      <c r="F12" s="24">
        <f t="shared" si="3"/>
        <v>35</v>
      </c>
      <c r="G12" s="124">
        <f t="shared" si="4"/>
        <v>0.03451707835</v>
      </c>
      <c r="H12" s="114">
        <v>184.0</v>
      </c>
      <c r="I12" s="123">
        <f t="shared" si="5"/>
        <v>0.0205</v>
      </c>
      <c r="J12" s="24">
        <f t="shared" si="6"/>
        <v>0.3899456522</v>
      </c>
      <c r="K12" s="24">
        <f t="shared" ref="K12:L12" si="16">D12</f>
        <v>103.04</v>
      </c>
      <c r="L12" s="24">
        <f t="shared" si="16"/>
        <v>103.11</v>
      </c>
      <c r="M12" s="24">
        <f t="shared" si="8"/>
        <v>103.4299457</v>
      </c>
      <c r="N12" s="24">
        <f t="shared" si="9"/>
        <v>103.4999457</v>
      </c>
    </row>
    <row r="13">
      <c r="A13" s="121">
        <f>date(2029,12,15)</f>
        <v>47467</v>
      </c>
      <c r="B13" s="122">
        <f t="shared" si="2"/>
        <v>2171</v>
      </c>
      <c r="C13" s="123">
        <v>0.0385</v>
      </c>
      <c r="D13" s="122">
        <v>101.67</v>
      </c>
      <c r="E13" s="122">
        <v>101.74</v>
      </c>
      <c r="F13" s="24">
        <f t="shared" si="3"/>
        <v>35</v>
      </c>
      <c r="G13" s="124">
        <f t="shared" si="4"/>
        <v>0.03540189707</v>
      </c>
      <c r="H13" s="114">
        <v>184.0</v>
      </c>
      <c r="I13" s="123">
        <f t="shared" si="5"/>
        <v>0.01925</v>
      </c>
      <c r="J13" s="24">
        <f t="shared" si="6"/>
        <v>0.3661684783</v>
      </c>
      <c r="K13" s="24">
        <f t="shared" ref="K13:L13" si="17">D13</f>
        <v>101.67</v>
      </c>
      <c r="L13" s="24">
        <f t="shared" si="17"/>
        <v>101.74</v>
      </c>
      <c r="M13" s="24">
        <f t="shared" si="8"/>
        <v>102.0361685</v>
      </c>
      <c r="N13" s="24">
        <f t="shared" si="9"/>
        <v>102.1061685</v>
      </c>
    </row>
    <row r="14">
      <c r="A14" s="125">
        <f>date(2030,12,1)</f>
        <v>47818</v>
      </c>
      <c r="B14" s="122">
        <f t="shared" si="2"/>
        <v>2522</v>
      </c>
      <c r="C14" s="123">
        <v>0.0165</v>
      </c>
      <c r="D14" s="122">
        <v>87.85</v>
      </c>
      <c r="E14" s="122">
        <v>87.911</v>
      </c>
      <c r="F14" s="24">
        <f t="shared" si="3"/>
        <v>35</v>
      </c>
      <c r="G14" s="124">
        <f t="shared" si="4"/>
        <v>0.03631276298</v>
      </c>
      <c r="H14" s="114">
        <v>184.0</v>
      </c>
      <c r="I14" s="123">
        <f t="shared" si="5"/>
        <v>0.00825</v>
      </c>
      <c r="J14" s="24">
        <f t="shared" si="6"/>
        <v>0.1569293478</v>
      </c>
      <c r="K14" s="24">
        <f t="shared" ref="K14:L14" si="18">D14</f>
        <v>87.85</v>
      </c>
      <c r="L14" s="24">
        <f t="shared" si="18"/>
        <v>87.911</v>
      </c>
      <c r="M14" s="24">
        <f t="shared" si="8"/>
        <v>88.00692935</v>
      </c>
      <c r="N14" s="24">
        <f t="shared" si="9"/>
        <v>88.06792935</v>
      </c>
    </row>
    <row r="15">
      <c r="A15" s="125">
        <f>date(2031,12,1)</f>
        <v>48183</v>
      </c>
      <c r="B15" s="122">
        <f t="shared" si="2"/>
        <v>2887</v>
      </c>
      <c r="C15" s="123">
        <v>0.0095</v>
      </c>
      <c r="D15" s="122">
        <v>81.098</v>
      </c>
      <c r="E15" s="122">
        <v>81.165</v>
      </c>
      <c r="F15" s="24">
        <f t="shared" si="3"/>
        <v>35</v>
      </c>
      <c r="G15" s="124">
        <f t="shared" si="4"/>
        <v>0.03701454098</v>
      </c>
      <c r="H15" s="114">
        <v>184.0</v>
      </c>
      <c r="I15" s="123">
        <f t="shared" si="5"/>
        <v>0.00475</v>
      </c>
      <c r="J15" s="24">
        <f t="shared" si="6"/>
        <v>0.09035326087</v>
      </c>
      <c r="K15" s="24">
        <f t="shared" ref="K15:L15" si="19">D15</f>
        <v>81.098</v>
      </c>
      <c r="L15" s="24">
        <f t="shared" si="19"/>
        <v>81.165</v>
      </c>
      <c r="M15" s="24">
        <f t="shared" si="8"/>
        <v>81.18835326</v>
      </c>
      <c r="N15" s="24">
        <f t="shared" si="9"/>
        <v>81.25535326</v>
      </c>
    </row>
    <row r="16">
      <c r="A16" s="125">
        <f>date(2032,12,1)</f>
        <v>48549</v>
      </c>
      <c r="B16" s="122">
        <f t="shared" si="2"/>
        <v>3253</v>
      </c>
      <c r="C16" s="123">
        <v>0.025</v>
      </c>
      <c r="D16" s="122">
        <v>90.107</v>
      </c>
      <c r="E16" s="122">
        <v>90.153</v>
      </c>
      <c r="F16" s="24">
        <f t="shared" si="3"/>
        <v>35</v>
      </c>
      <c r="G16" s="124">
        <f t="shared" si="4"/>
        <v>0.03808694459</v>
      </c>
      <c r="H16" s="114">
        <v>184.0</v>
      </c>
      <c r="I16" s="123">
        <f t="shared" si="5"/>
        <v>0.0125</v>
      </c>
      <c r="J16" s="24">
        <f t="shared" si="6"/>
        <v>0.2377717391</v>
      </c>
      <c r="K16" s="24">
        <f t="shared" ref="K16:L16" si="20">D16</f>
        <v>90.107</v>
      </c>
      <c r="L16" s="24">
        <f t="shared" si="20"/>
        <v>90.153</v>
      </c>
      <c r="M16" s="24">
        <f t="shared" si="8"/>
        <v>90.34477174</v>
      </c>
      <c r="N16" s="24">
        <f t="shared" si="9"/>
        <v>90.39077174</v>
      </c>
    </row>
    <row r="17">
      <c r="A17" s="125">
        <f>date(2034,3,1)</f>
        <v>49004</v>
      </c>
      <c r="B17" s="122">
        <f t="shared" si="2"/>
        <v>3708</v>
      </c>
      <c r="C17" s="123">
        <v>0.042</v>
      </c>
      <c r="D17" s="122">
        <v>101.8</v>
      </c>
      <c r="E17" s="122">
        <v>101.91</v>
      </c>
      <c r="F17" s="24">
        <f t="shared" si="3"/>
        <v>35</v>
      </c>
      <c r="G17" s="124">
        <f t="shared" si="4"/>
        <v>0.03983763447</v>
      </c>
      <c r="H17" s="114">
        <v>184.0</v>
      </c>
      <c r="I17" s="123">
        <f t="shared" si="5"/>
        <v>0.021</v>
      </c>
      <c r="J17" s="24">
        <f t="shared" si="6"/>
        <v>0.3994565217</v>
      </c>
      <c r="K17" s="24">
        <f t="shared" ref="K17:L17" si="21">D17</f>
        <v>101.8</v>
      </c>
      <c r="L17" s="24">
        <f t="shared" si="21"/>
        <v>101.91</v>
      </c>
      <c r="M17" s="24">
        <f t="shared" si="8"/>
        <v>102.1994565</v>
      </c>
      <c r="N17" s="24">
        <f t="shared" si="9"/>
        <v>102.3094565</v>
      </c>
    </row>
    <row r="18">
      <c r="A18" s="125">
        <f>date(2038,9,1)</f>
        <v>50649</v>
      </c>
      <c r="B18" s="122">
        <f t="shared" si="2"/>
        <v>5353</v>
      </c>
      <c r="C18" s="123">
        <v>0.0295</v>
      </c>
      <c r="D18" s="122">
        <v>85.83</v>
      </c>
      <c r="E18" s="122">
        <v>86.052</v>
      </c>
      <c r="F18" s="24">
        <f t="shared" si="3"/>
        <v>35</v>
      </c>
      <c r="G18" s="124">
        <f t="shared" si="4"/>
        <v>0.04252781412</v>
      </c>
      <c r="H18" s="114">
        <v>184.0</v>
      </c>
      <c r="I18" s="123">
        <f t="shared" si="5"/>
        <v>0.01475</v>
      </c>
      <c r="J18" s="24">
        <f t="shared" si="6"/>
        <v>0.2805706522</v>
      </c>
      <c r="K18" s="24">
        <f t="shared" ref="K18:L18" si="22">D18</f>
        <v>85.83</v>
      </c>
      <c r="L18" s="24">
        <f t="shared" si="22"/>
        <v>86.052</v>
      </c>
      <c r="M18" s="24">
        <f t="shared" si="8"/>
        <v>86.11057065</v>
      </c>
      <c r="N18" s="24">
        <f t="shared" si="9"/>
        <v>86.33257065</v>
      </c>
    </row>
    <row r="19">
      <c r="A19" s="125">
        <f>date(2043,9,1)</f>
        <v>52475</v>
      </c>
      <c r="B19" s="122">
        <f t="shared" si="2"/>
        <v>7179</v>
      </c>
      <c r="C19" s="123">
        <v>0.0445</v>
      </c>
      <c r="D19" s="122">
        <v>100.15</v>
      </c>
      <c r="E19" s="122">
        <v>100.49</v>
      </c>
      <c r="F19" s="24">
        <f t="shared" si="3"/>
        <v>35</v>
      </c>
      <c r="G19" s="124">
        <f t="shared" si="4"/>
        <v>0.0443805028</v>
      </c>
      <c r="H19" s="114">
        <v>184.0</v>
      </c>
      <c r="I19" s="123">
        <f t="shared" si="5"/>
        <v>0.02225</v>
      </c>
      <c r="J19" s="24">
        <f t="shared" si="6"/>
        <v>0.4232336957</v>
      </c>
      <c r="K19" s="24">
        <f t="shared" ref="K19:L19" si="23">D19</f>
        <v>100.15</v>
      </c>
      <c r="L19" s="24">
        <f t="shared" si="23"/>
        <v>100.49</v>
      </c>
      <c r="M19" s="24">
        <f t="shared" si="8"/>
        <v>100.5732337</v>
      </c>
      <c r="N19" s="24">
        <f t="shared" si="9"/>
        <v>100.9132337</v>
      </c>
    </row>
    <row r="20">
      <c r="A20" s="125">
        <f>date(2048,3,1)</f>
        <v>54118</v>
      </c>
      <c r="B20" s="122">
        <f t="shared" si="2"/>
        <v>8822</v>
      </c>
      <c r="C20" s="123">
        <v>0.0345</v>
      </c>
      <c r="D20" s="122">
        <v>86.144</v>
      </c>
      <c r="E20" s="122">
        <v>86.662</v>
      </c>
      <c r="F20" s="24">
        <f t="shared" si="3"/>
        <v>35</v>
      </c>
      <c r="G20" s="124">
        <f t="shared" si="4"/>
        <v>0.04383236252</v>
      </c>
      <c r="H20" s="114">
        <v>184.0</v>
      </c>
      <c r="I20" s="123">
        <f t="shared" si="5"/>
        <v>0.01725</v>
      </c>
      <c r="J20" s="24">
        <f t="shared" si="6"/>
        <v>0.328125</v>
      </c>
      <c r="K20" s="24">
        <f t="shared" ref="K20:L20" si="24">D20</f>
        <v>86.144</v>
      </c>
      <c r="L20" s="24">
        <f t="shared" si="24"/>
        <v>86.662</v>
      </c>
      <c r="M20" s="24">
        <f t="shared" si="8"/>
        <v>86.472125</v>
      </c>
      <c r="N20" s="24">
        <f t="shared" si="9"/>
        <v>86.990125</v>
      </c>
    </row>
    <row r="21">
      <c r="A21" s="125">
        <f>date(2053,10,1)</f>
        <v>56158</v>
      </c>
      <c r="B21" s="122">
        <f t="shared" si="2"/>
        <v>10862</v>
      </c>
      <c r="C21" s="123">
        <v>0.045</v>
      </c>
      <c r="D21" s="122">
        <v>99.6</v>
      </c>
      <c r="E21" s="122">
        <v>100.432</v>
      </c>
      <c r="F21" s="24">
        <f t="shared" si="3"/>
        <v>35</v>
      </c>
      <c r="G21" s="124">
        <f t="shared" si="4"/>
        <v>0.04524219844</v>
      </c>
      <c r="H21" s="114">
        <v>184.0</v>
      </c>
      <c r="I21" s="123">
        <f t="shared" si="5"/>
        <v>0.0225</v>
      </c>
      <c r="J21" s="24">
        <f t="shared" si="6"/>
        <v>0.4279891304</v>
      </c>
      <c r="K21" s="24">
        <f t="shared" ref="K21:L21" si="25">D21</f>
        <v>99.6</v>
      </c>
      <c r="L21" s="24">
        <f t="shared" si="25"/>
        <v>100.432</v>
      </c>
      <c r="M21" s="24">
        <f t="shared" si="8"/>
        <v>100.0279891</v>
      </c>
      <c r="N21" s="24">
        <f t="shared" si="9"/>
        <v>100.8599891</v>
      </c>
    </row>
    <row r="22">
      <c r="A22" s="125">
        <f>date(2072,3,1)</f>
        <v>62884</v>
      </c>
      <c r="B22" s="122">
        <f t="shared" si="2"/>
        <v>17588</v>
      </c>
      <c r="C22" s="123">
        <v>0.0215</v>
      </c>
      <c r="D22" s="122">
        <v>58.6</v>
      </c>
      <c r="E22" s="122">
        <v>58.9</v>
      </c>
      <c r="F22" s="24">
        <f t="shared" si="3"/>
        <v>35</v>
      </c>
      <c r="G22" s="124">
        <f t="shared" si="4"/>
        <v>0.04138937779</v>
      </c>
      <c r="H22" s="114">
        <v>184.0</v>
      </c>
      <c r="I22" s="123">
        <f t="shared" si="5"/>
        <v>0.01075</v>
      </c>
      <c r="J22" s="24">
        <f t="shared" si="6"/>
        <v>0.2044836957</v>
      </c>
      <c r="K22" s="24">
        <f t="shared" ref="K22:L22" si="26">D22</f>
        <v>58.6</v>
      </c>
      <c r="L22" s="24">
        <f t="shared" si="26"/>
        <v>58.9</v>
      </c>
      <c r="M22" s="24">
        <f t="shared" si="8"/>
        <v>58.8044837</v>
      </c>
      <c r="N22" s="24">
        <f t="shared" si="9"/>
        <v>59.1044837</v>
      </c>
    </row>
    <row r="24">
      <c r="A24" s="126" t="s">
        <v>74</v>
      </c>
      <c r="B24" s="127"/>
      <c r="C24" s="127"/>
    </row>
    <row r="26">
      <c r="B26" s="116" t="s">
        <v>4</v>
      </c>
      <c r="C26" s="121">
        <f>date(2024,1,12)</f>
        <v>45303</v>
      </c>
      <c r="D26" s="121">
        <f>date(2024,3,14)</f>
        <v>45365</v>
      </c>
      <c r="E26" s="121">
        <f>date(2024,5,31)</f>
        <v>45443</v>
      </c>
      <c r="F26" s="121">
        <f>date(2024,11,14)</f>
        <v>45610</v>
      </c>
      <c r="G26" s="121">
        <f>date(2024,9,13)</f>
        <v>45548</v>
      </c>
      <c r="H26" s="121">
        <f>date(2025,9,29)</f>
        <v>45929</v>
      </c>
      <c r="I26" s="121">
        <f>date(2026,12,1)</f>
        <v>46357</v>
      </c>
      <c r="J26" s="121">
        <f>date(2027,12,1)</f>
        <v>46722</v>
      </c>
      <c r="K26" s="121">
        <f>date(2029,2,1)</f>
        <v>47150</v>
      </c>
      <c r="L26" s="121">
        <f>date(2029,12,15)</f>
        <v>47467</v>
      </c>
      <c r="M26" s="125">
        <f>date(2030,12,1)</f>
        <v>47818</v>
      </c>
      <c r="N26" s="125">
        <f>date(2031,12,1)</f>
        <v>48183</v>
      </c>
      <c r="O26" s="125">
        <f>date(2032,12,1)</f>
        <v>48549</v>
      </c>
      <c r="P26" s="125">
        <f>date(2034,3,1)</f>
        <v>49004</v>
      </c>
      <c r="Q26" s="125">
        <f>date(2038,9,1)</f>
        <v>50649</v>
      </c>
      <c r="R26" s="125">
        <f>date(2043,9,1)</f>
        <v>52475</v>
      </c>
      <c r="S26" s="125">
        <f>date(2048,3,1)</f>
        <v>54118</v>
      </c>
      <c r="T26" s="125">
        <f>date(2053,10,1)</f>
        <v>56158</v>
      </c>
      <c r="U26" s="125">
        <f>date(2072,3,1)</f>
        <v>62884</v>
      </c>
    </row>
    <row r="27">
      <c r="B27" s="121">
        <f>date(2024,1,12)</f>
        <v>45303</v>
      </c>
      <c r="C27" s="128">
        <f>100+(100*I4)</f>
        <v>100</v>
      </c>
      <c r="D27" s="129">
        <v>0.0</v>
      </c>
      <c r="E27" s="129">
        <v>0.0</v>
      </c>
      <c r="F27" s="129">
        <v>0.0</v>
      </c>
      <c r="G27" s="129">
        <v>0.0</v>
      </c>
      <c r="H27" s="129">
        <v>0.0</v>
      </c>
      <c r="I27" s="129">
        <v>0.0</v>
      </c>
      <c r="J27" s="129">
        <v>0.0</v>
      </c>
      <c r="K27" s="129">
        <v>0.0</v>
      </c>
      <c r="L27" s="129">
        <v>0.0</v>
      </c>
      <c r="M27" s="129">
        <v>0.0</v>
      </c>
      <c r="N27" s="129">
        <v>0.0</v>
      </c>
      <c r="O27" s="129">
        <v>0.0</v>
      </c>
      <c r="P27" s="129">
        <v>0.0</v>
      </c>
      <c r="Q27" s="129">
        <v>0.0</v>
      </c>
      <c r="R27" s="129">
        <v>0.0</v>
      </c>
      <c r="S27" s="129">
        <v>0.0</v>
      </c>
      <c r="T27" s="129">
        <v>0.0</v>
      </c>
      <c r="U27" s="129">
        <v>0.0</v>
      </c>
    </row>
    <row r="28">
      <c r="B28" s="121">
        <f>date(2024,3,14)</f>
        <v>45365</v>
      </c>
      <c r="C28" s="128">
        <f>100*I5</f>
        <v>0</v>
      </c>
      <c r="D28" s="128">
        <f>100+C28</f>
        <v>100</v>
      </c>
      <c r="E28" s="129">
        <v>0.0</v>
      </c>
      <c r="F28" s="129">
        <v>0.0</v>
      </c>
      <c r="G28" s="129">
        <v>0.0</v>
      </c>
      <c r="H28" s="129">
        <v>0.0</v>
      </c>
      <c r="I28" s="129">
        <v>0.0</v>
      </c>
      <c r="J28" s="129">
        <v>0.0</v>
      </c>
      <c r="K28" s="129">
        <v>0.0</v>
      </c>
      <c r="L28" s="129">
        <v>0.0</v>
      </c>
      <c r="M28" s="129">
        <v>0.0</v>
      </c>
      <c r="N28" s="129">
        <v>0.0</v>
      </c>
      <c r="O28" s="129">
        <v>0.0</v>
      </c>
      <c r="P28" s="129">
        <v>0.0</v>
      </c>
      <c r="Q28" s="129">
        <v>0.0</v>
      </c>
      <c r="R28" s="129">
        <v>0.0</v>
      </c>
      <c r="S28" s="129">
        <v>0.0</v>
      </c>
      <c r="T28" s="129">
        <v>0.0</v>
      </c>
      <c r="U28" s="129">
        <v>0.0</v>
      </c>
    </row>
    <row r="29">
      <c r="B29" s="121">
        <f>date(2024,5,31)</f>
        <v>45443</v>
      </c>
      <c r="C29" s="128">
        <f t="shared" ref="C29:D29" si="27">100*$I$6</f>
        <v>0</v>
      </c>
      <c r="D29" s="128">
        <f t="shared" si="27"/>
        <v>0</v>
      </c>
      <c r="E29" s="128">
        <f>100+D29</f>
        <v>100</v>
      </c>
      <c r="F29" s="129">
        <v>0.0</v>
      </c>
      <c r="G29" s="129">
        <v>0.0</v>
      </c>
      <c r="H29" s="129">
        <v>0.0</v>
      </c>
      <c r="I29" s="129">
        <v>0.0</v>
      </c>
      <c r="J29" s="129">
        <v>0.0</v>
      </c>
      <c r="K29" s="129">
        <v>0.0</v>
      </c>
      <c r="L29" s="129">
        <v>0.0</v>
      </c>
      <c r="M29" s="129">
        <v>0.0</v>
      </c>
      <c r="N29" s="129">
        <v>0.0</v>
      </c>
      <c r="O29" s="129">
        <v>0.0</v>
      </c>
      <c r="P29" s="129">
        <v>0.0</v>
      </c>
      <c r="Q29" s="129">
        <v>0.0</v>
      </c>
      <c r="R29" s="129">
        <v>0.0</v>
      </c>
      <c r="S29" s="129">
        <v>0.0</v>
      </c>
      <c r="T29" s="129">
        <v>0.0</v>
      </c>
      <c r="U29" s="129">
        <v>0.0</v>
      </c>
    </row>
    <row r="30">
      <c r="B30" s="121">
        <f>date(2024,11,14)</f>
        <v>45610</v>
      </c>
      <c r="C30" s="129">
        <f t="shared" ref="C30:E30" si="28">100*$I$7</f>
        <v>0</v>
      </c>
      <c r="D30" s="129">
        <f t="shared" si="28"/>
        <v>0</v>
      </c>
      <c r="E30" s="129">
        <f t="shared" si="28"/>
        <v>0</v>
      </c>
      <c r="F30" s="128">
        <f>100+E30</f>
        <v>100</v>
      </c>
      <c r="G30" s="129">
        <v>0.0</v>
      </c>
      <c r="H30" s="129">
        <v>0.0</v>
      </c>
      <c r="I30" s="129">
        <v>0.0</v>
      </c>
      <c r="J30" s="129">
        <v>0.0</v>
      </c>
      <c r="K30" s="129">
        <v>0.0</v>
      </c>
      <c r="L30" s="129">
        <v>0.0</v>
      </c>
      <c r="M30" s="129">
        <v>0.0</v>
      </c>
      <c r="N30" s="129">
        <v>0.0</v>
      </c>
      <c r="O30" s="129">
        <v>0.0</v>
      </c>
      <c r="P30" s="129">
        <v>0.0</v>
      </c>
      <c r="Q30" s="129">
        <v>0.0</v>
      </c>
      <c r="R30" s="129">
        <v>0.0</v>
      </c>
      <c r="S30" s="129">
        <v>0.0</v>
      </c>
      <c r="T30" s="129">
        <v>0.0</v>
      </c>
      <c r="U30" s="129">
        <v>0.0</v>
      </c>
    </row>
    <row r="31">
      <c r="B31" s="121">
        <f>date(2024,9,13)</f>
        <v>45548</v>
      </c>
      <c r="C31" s="128">
        <f t="shared" ref="C31:F31" si="29">100*$I$8</f>
        <v>0</v>
      </c>
      <c r="D31" s="128">
        <f t="shared" si="29"/>
        <v>0</v>
      </c>
      <c r="E31" s="128">
        <f t="shared" si="29"/>
        <v>0</v>
      </c>
      <c r="F31" s="128">
        <f t="shared" si="29"/>
        <v>0</v>
      </c>
      <c r="G31" s="128">
        <f>100+F31</f>
        <v>100</v>
      </c>
      <c r="H31" s="129">
        <v>0.0</v>
      </c>
      <c r="I31" s="129">
        <v>0.0</v>
      </c>
      <c r="J31" s="129">
        <v>0.0</v>
      </c>
      <c r="K31" s="129">
        <v>0.0</v>
      </c>
      <c r="L31" s="129">
        <v>0.0</v>
      </c>
      <c r="M31" s="129">
        <v>0.0</v>
      </c>
      <c r="N31" s="129">
        <v>0.0</v>
      </c>
      <c r="O31" s="129">
        <v>0.0</v>
      </c>
      <c r="P31" s="129">
        <v>0.0</v>
      </c>
      <c r="Q31" s="129">
        <v>0.0</v>
      </c>
      <c r="R31" s="129">
        <v>0.0</v>
      </c>
      <c r="S31" s="129">
        <v>0.0</v>
      </c>
      <c r="T31" s="129">
        <v>0.0</v>
      </c>
      <c r="U31" s="129">
        <v>0.0</v>
      </c>
    </row>
    <row r="32">
      <c r="B32" s="121">
        <f>date(2025,9,29)</f>
        <v>45929</v>
      </c>
      <c r="C32" s="128">
        <f t="shared" ref="C32:G32" si="30">100*$I$9</f>
        <v>1.8</v>
      </c>
      <c r="D32" s="128">
        <f t="shared" si="30"/>
        <v>1.8</v>
      </c>
      <c r="E32" s="128">
        <f t="shared" si="30"/>
        <v>1.8</v>
      </c>
      <c r="F32" s="128">
        <f t="shared" si="30"/>
        <v>1.8</v>
      </c>
      <c r="G32" s="128">
        <f t="shared" si="30"/>
        <v>1.8</v>
      </c>
      <c r="H32" s="128">
        <f>100+G32</f>
        <v>101.8</v>
      </c>
      <c r="I32" s="129">
        <v>0.0</v>
      </c>
      <c r="J32" s="129">
        <v>0.0</v>
      </c>
      <c r="K32" s="129">
        <v>0.0</v>
      </c>
      <c r="L32" s="129">
        <v>0.0</v>
      </c>
      <c r="M32" s="129">
        <v>0.0</v>
      </c>
      <c r="N32" s="129">
        <v>0.0</v>
      </c>
      <c r="O32" s="129">
        <v>0.0</v>
      </c>
      <c r="P32" s="129">
        <v>0.0</v>
      </c>
      <c r="Q32" s="129">
        <v>0.0</v>
      </c>
      <c r="R32" s="129">
        <v>0.0</v>
      </c>
      <c r="S32" s="129">
        <v>0.0</v>
      </c>
      <c r="T32" s="129">
        <v>0.0</v>
      </c>
      <c r="U32" s="129">
        <v>0.0</v>
      </c>
    </row>
    <row r="33">
      <c r="B33" s="121">
        <f>date(2026,12,1)</f>
        <v>46357</v>
      </c>
      <c r="C33" s="128">
        <f t="shared" ref="C33:H33" si="31">100*$I$10</f>
        <v>0.625</v>
      </c>
      <c r="D33" s="128">
        <f t="shared" si="31"/>
        <v>0.625</v>
      </c>
      <c r="E33" s="128">
        <f t="shared" si="31"/>
        <v>0.625</v>
      </c>
      <c r="F33" s="128">
        <f t="shared" si="31"/>
        <v>0.625</v>
      </c>
      <c r="G33" s="128">
        <f t="shared" si="31"/>
        <v>0.625</v>
      </c>
      <c r="H33" s="128">
        <f t="shared" si="31"/>
        <v>0.625</v>
      </c>
      <c r="I33" s="128">
        <f>100+H33</f>
        <v>100.625</v>
      </c>
      <c r="J33" s="129">
        <v>0.0</v>
      </c>
      <c r="K33" s="129">
        <v>0.0</v>
      </c>
      <c r="L33" s="129">
        <v>0.0</v>
      </c>
      <c r="M33" s="129">
        <v>0.0</v>
      </c>
      <c r="N33" s="129">
        <v>0.0</v>
      </c>
      <c r="O33" s="129">
        <v>0.0</v>
      </c>
      <c r="P33" s="129">
        <v>0.0</v>
      </c>
      <c r="Q33" s="129">
        <v>0.0</v>
      </c>
      <c r="R33" s="129">
        <v>0.0</v>
      </c>
      <c r="S33" s="129">
        <v>0.0</v>
      </c>
      <c r="T33" s="129">
        <v>0.0</v>
      </c>
      <c r="U33" s="129">
        <v>0.0</v>
      </c>
    </row>
    <row r="34">
      <c r="B34" s="121">
        <f>date(2027,12,1)</f>
        <v>46722</v>
      </c>
      <c r="C34" s="128">
        <f t="shared" ref="C34:I34" si="32">100*$I$11</f>
        <v>1.325</v>
      </c>
      <c r="D34" s="128">
        <f t="shared" si="32"/>
        <v>1.325</v>
      </c>
      <c r="E34" s="128">
        <f t="shared" si="32"/>
        <v>1.325</v>
      </c>
      <c r="F34" s="128">
        <f t="shared" si="32"/>
        <v>1.325</v>
      </c>
      <c r="G34" s="128">
        <f t="shared" si="32"/>
        <v>1.325</v>
      </c>
      <c r="H34" s="128">
        <f t="shared" si="32"/>
        <v>1.325</v>
      </c>
      <c r="I34" s="128">
        <f t="shared" si="32"/>
        <v>1.325</v>
      </c>
      <c r="J34" s="128">
        <f>100+I34</f>
        <v>101.325</v>
      </c>
      <c r="K34" s="129">
        <v>0.0</v>
      </c>
      <c r="L34" s="129">
        <v>0.0</v>
      </c>
      <c r="M34" s="129">
        <v>0.0</v>
      </c>
      <c r="N34" s="129">
        <v>0.0</v>
      </c>
      <c r="O34" s="129">
        <v>0.0</v>
      </c>
      <c r="P34" s="129">
        <v>0.0</v>
      </c>
      <c r="Q34" s="129">
        <v>0.0</v>
      </c>
      <c r="R34" s="129">
        <v>0.0</v>
      </c>
      <c r="S34" s="129">
        <v>0.0</v>
      </c>
      <c r="T34" s="129">
        <v>0.0</v>
      </c>
      <c r="U34" s="129">
        <v>0.0</v>
      </c>
    </row>
    <row r="35">
      <c r="B35" s="121">
        <f>date(2029,2,1)</f>
        <v>47150</v>
      </c>
      <c r="C35" s="128">
        <f t="shared" ref="C35:J35" si="33">100*$I$12</f>
        <v>2.05</v>
      </c>
      <c r="D35" s="128">
        <f t="shared" si="33"/>
        <v>2.05</v>
      </c>
      <c r="E35" s="128">
        <f t="shared" si="33"/>
        <v>2.05</v>
      </c>
      <c r="F35" s="128">
        <f t="shared" si="33"/>
        <v>2.05</v>
      </c>
      <c r="G35" s="128">
        <f t="shared" si="33"/>
        <v>2.05</v>
      </c>
      <c r="H35" s="128">
        <f t="shared" si="33"/>
        <v>2.05</v>
      </c>
      <c r="I35" s="128">
        <f t="shared" si="33"/>
        <v>2.05</v>
      </c>
      <c r="J35" s="128">
        <f t="shared" si="33"/>
        <v>2.05</v>
      </c>
      <c r="K35" s="128">
        <f>100+J35</f>
        <v>102.05</v>
      </c>
      <c r="L35" s="129">
        <v>0.0</v>
      </c>
      <c r="M35" s="129">
        <v>0.0</v>
      </c>
      <c r="N35" s="129">
        <v>0.0</v>
      </c>
      <c r="O35" s="129">
        <v>0.0</v>
      </c>
      <c r="P35" s="129">
        <v>0.0</v>
      </c>
      <c r="Q35" s="129">
        <v>0.0</v>
      </c>
      <c r="R35" s="129">
        <v>0.0</v>
      </c>
      <c r="S35" s="129">
        <v>0.0</v>
      </c>
      <c r="T35" s="129">
        <v>0.0</v>
      </c>
      <c r="U35" s="129">
        <v>0.0</v>
      </c>
    </row>
    <row r="36">
      <c r="B36" s="121">
        <f>date(2029,12,15)</f>
        <v>47467</v>
      </c>
      <c r="C36" s="128">
        <f t="shared" ref="C36:K36" si="34">100*$I$13</f>
        <v>1.925</v>
      </c>
      <c r="D36" s="128">
        <f t="shared" si="34"/>
        <v>1.925</v>
      </c>
      <c r="E36" s="128">
        <f t="shared" si="34"/>
        <v>1.925</v>
      </c>
      <c r="F36" s="128">
        <f t="shared" si="34"/>
        <v>1.925</v>
      </c>
      <c r="G36" s="128">
        <f t="shared" si="34"/>
        <v>1.925</v>
      </c>
      <c r="H36" s="128">
        <f t="shared" si="34"/>
        <v>1.925</v>
      </c>
      <c r="I36" s="128">
        <f t="shared" si="34"/>
        <v>1.925</v>
      </c>
      <c r="J36" s="128">
        <f t="shared" si="34"/>
        <v>1.925</v>
      </c>
      <c r="K36" s="128">
        <f t="shared" si="34"/>
        <v>1.925</v>
      </c>
      <c r="L36" s="128">
        <f>100+K36</f>
        <v>101.925</v>
      </c>
      <c r="M36" s="129">
        <v>0.0</v>
      </c>
      <c r="N36" s="129">
        <v>0.0</v>
      </c>
      <c r="O36" s="129">
        <v>0.0</v>
      </c>
      <c r="P36" s="129">
        <v>0.0</v>
      </c>
      <c r="Q36" s="129">
        <v>0.0</v>
      </c>
      <c r="R36" s="129">
        <v>0.0</v>
      </c>
      <c r="S36" s="129">
        <v>0.0</v>
      </c>
      <c r="T36" s="129">
        <v>0.0</v>
      </c>
      <c r="U36" s="129">
        <v>0.0</v>
      </c>
    </row>
    <row r="37">
      <c r="B37" s="125">
        <f>date(2030,12,1)</f>
        <v>47818</v>
      </c>
      <c r="C37" s="128">
        <f t="shared" ref="C37:L37" si="35">100*$I$14</f>
        <v>0.825</v>
      </c>
      <c r="D37" s="128">
        <f t="shared" si="35"/>
        <v>0.825</v>
      </c>
      <c r="E37" s="128">
        <f t="shared" si="35"/>
        <v>0.825</v>
      </c>
      <c r="F37" s="128">
        <f t="shared" si="35"/>
        <v>0.825</v>
      </c>
      <c r="G37" s="128">
        <f t="shared" si="35"/>
        <v>0.825</v>
      </c>
      <c r="H37" s="128">
        <f t="shared" si="35"/>
        <v>0.825</v>
      </c>
      <c r="I37" s="128">
        <f t="shared" si="35"/>
        <v>0.825</v>
      </c>
      <c r="J37" s="128">
        <f t="shared" si="35"/>
        <v>0.825</v>
      </c>
      <c r="K37" s="128">
        <f t="shared" si="35"/>
        <v>0.825</v>
      </c>
      <c r="L37" s="128">
        <f t="shared" si="35"/>
        <v>0.825</v>
      </c>
      <c r="M37" s="128">
        <f>100+L37</f>
        <v>100.825</v>
      </c>
      <c r="N37" s="129">
        <v>0.0</v>
      </c>
      <c r="O37" s="129">
        <v>0.0</v>
      </c>
      <c r="P37" s="129">
        <v>0.0</v>
      </c>
      <c r="Q37" s="129">
        <v>0.0</v>
      </c>
      <c r="R37" s="129">
        <v>0.0</v>
      </c>
      <c r="S37" s="129">
        <v>0.0</v>
      </c>
      <c r="T37" s="129">
        <v>0.0</v>
      </c>
      <c r="U37" s="129">
        <v>0.0</v>
      </c>
    </row>
    <row r="38">
      <c r="B38" s="125">
        <f>date(2031,12,1)</f>
        <v>48183</v>
      </c>
      <c r="C38" s="128">
        <f t="shared" ref="C38:M38" si="36">100*$I$15</f>
        <v>0.475</v>
      </c>
      <c r="D38" s="128">
        <f t="shared" si="36"/>
        <v>0.475</v>
      </c>
      <c r="E38" s="128">
        <f t="shared" si="36"/>
        <v>0.475</v>
      </c>
      <c r="F38" s="128">
        <f t="shared" si="36"/>
        <v>0.475</v>
      </c>
      <c r="G38" s="128">
        <f t="shared" si="36"/>
        <v>0.475</v>
      </c>
      <c r="H38" s="128">
        <f t="shared" si="36"/>
        <v>0.475</v>
      </c>
      <c r="I38" s="128">
        <f t="shared" si="36"/>
        <v>0.475</v>
      </c>
      <c r="J38" s="128">
        <f t="shared" si="36"/>
        <v>0.475</v>
      </c>
      <c r="K38" s="128">
        <f t="shared" si="36"/>
        <v>0.475</v>
      </c>
      <c r="L38" s="128">
        <f t="shared" si="36"/>
        <v>0.475</v>
      </c>
      <c r="M38" s="128">
        <f t="shared" si="36"/>
        <v>0.475</v>
      </c>
      <c r="N38" s="128">
        <f>100+M38</f>
        <v>100.475</v>
      </c>
      <c r="O38" s="129">
        <v>0.0</v>
      </c>
      <c r="P38" s="129">
        <v>0.0</v>
      </c>
      <c r="Q38" s="129">
        <v>0.0</v>
      </c>
      <c r="R38" s="129">
        <v>0.0</v>
      </c>
      <c r="S38" s="129">
        <v>0.0</v>
      </c>
      <c r="T38" s="129">
        <v>0.0</v>
      </c>
      <c r="U38" s="129">
        <v>0.0</v>
      </c>
    </row>
    <row r="39">
      <c r="B39" s="125">
        <f>date(2032,12,1)</f>
        <v>48549</v>
      </c>
      <c r="C39" s="128">
        <f t="shared" ref="C39:N39" si="37">100*$I$16</f>
        <v>1.25</v>
      </c>
      <c r="D39" s="128">
        <f t="shared" si="37"/>
        <v>1.25</v>
      </c>
      <c r="E39" s="128">
        <f t="shared" si="37"/>
        <v>1.25</v>
      </c>
      <c r="F39" s="128">
        <f t="shared" si="37"/>
        <v>1.25</v>
      </c>
      <c r="G39" s="128">
        <f t="shared" si="37"/>
        <v>1.25</v>
      </c>
      <c r="H39" s="128">
        <f t="shared" si="37"/>
        <v>1.25</v>
      </c>
      <c r="I39" s="128">
        <f t="shared" si="37"/>
        <v>1.25</v>
      </c>
      <c r="J39" s="128">
        <f t="shared" si="37"/>
        <v>1.25</v>
      </c>
      <c r="K39" s="128">
        <f t="shared" si="37"/>
        <v>1.25</v>
      </c>
      <c r="L39" s="128">
        <f t="shared" si="37"/>
        <v>1.25</v>
      </c>
      <c r="M39" s="128">
        <f t="shared" si="37"/>
        <v>1.25</v>
      </c>
      <c r="N39" s="128">
        <f t="shared" si="37"/>
        <v>1.25</v>
      </c>
      <c r="O39" s="128">
        <f>100+N39</f>
        <v>101.25</v>
      </c>
      <c r="P39" s="129">
        <v>0.0</v>
      </c>
      <c r="Q39" s="129">
        <v>0.0</v>
      </c>
      <c r="R39" s="129">
        <v>0.0</v>
      </c>
      <c r="S39" s="129">
        <v>0.0</v>
      </c>
      <c r="T39" s="129">
        <v>0.0</v>
      </c>
      <c r="U39" s="129">
        <v>0.0</v>
      </c>
    </row>
    <row r="40">
      <c r="B40" s="125">
        <f>date(2034,3,1)</f>
        <v>49004</v>
      </c>
      <c r="C40" s="128">
        <f t="shared" ref="C40:O40" si="38">100*$I$17</f>
        <v>2.1</v>
      </c>
      <c r="D40" s="128">
        <f t="shared" si="38"/>
        <v>2.1</v>
      </c>
      <c r="E40" s="128">
        <f t="shared" si="38"/>
        <v>2.1</v>
      </c>
      <c r="F40" s="128">
        <f t="shared" si="38"/>
        <v>2.1</v>
      </c>
      <c r="G40" s="128">
        <f t="shared" si="38"/>
        <v>2.1</v>
      </c>
      <c r="H40" s="128">
        <f t="shared" si="38"/>
        <v>2.1</v>
      </c>
      <c r="I40" s="128">
        <f t="shared" si="38"/>
        <v>2.1</v>
      </c>
      <c r="J40" s="128">
        <f t="shared" si="38"/>
        <v>2.1</v>
      </c>
      <c r="K40" s="128">
        <f t="shared" si="38"/>
        <v>2.1</v>
      </c>
      <c r="L40" s="128">
        <f t="shared" si="38"/>
        <v>2.1</v>
      </c>
      <c r="M40" s="128">
        <f t="shared" si="38"/>
        <v>2.1</v>
      </c>
      <c r="N40" s="128">
        <f t="shared" si="38"/>
        <v>2.1</v>
      </c>
      <c r="O40" s="128">
        <f t="shared" si="38"/>
        <v>2.1</v>
      </c>
      <c r="P40" s="128">
        <f>100+O40</f>
        <v>102.1</v>
      </c>
      <c r="Q40" s="129">
        <v>0.0</v>
      </c>
      <c r="R40" s="129">
        <v>0.0</v>
      </c>
      <c r="S40" s="129">
        <v>0.0</v>
      </c>
      <c r="T40" s="129">
        <v>0.0</v>
      </c>
      <c r="U40" s="129">
        <v>0.0</v>
      </c>
    </row>
    <row r="41">
      <c r="B41" s="125">
        <f>date(2038,9,1)</f>
        <v>50649</v>
      </c>
      <c r="C41" s="128">
        <f t="shared" ref="C41:P41" si="39">100*$I$18</f>
        <v>1.475</v>
      </c>
      <c r="D41" s="128">
        <f t="shared" si="39"/>
        <v>1.475</v>
      </c>
      <c r="E41" s="128">
        <f t="shared" si="39"/>
        <v>1.475</v>
      </c>
      <c r="F41" s="128">
        <f t="shared" si="39"/>
        <v>1.475</v>
      </c>
      <c r="G41" s="128">
        <f t="shared" si="39"/>
        <v>1.475</v>
      </c>
      <c r="H41" s="128">
        <f t="shared" si="39"/>
        <v>1.475</v>
      </c>
      <c r="I41" s="128">
        <f t="shared" si="39"/>
        <v>1.475</v>
      </c>
      <c r="J41" s="128">
        <f t="shared" si="39"/>
        <v>1.475</v>
      </c>
      <c r="K41" s="128">
        <f t="shared" si="39"/>
        <v>1.475</v>
      </c>
      <c r="L41" s="128">
        <f t="shared" si="39"/>
        <v>1.475</v>
      </c>
      <c r="M41" s="128">
        <f t="shared" si="39"/>
        <v>1.475</v>
      </c>
      <c r="N41" s="128">
        <f t="shared" si="39"/>
        <v>1.475</v>
      </c>
      <c r="O41" s="128">
        <f t="shared" si="39"/>
        <v>1.475</v>
      </c>
      <c r="P41" s="128">
        <f t="shared" si="39"/>
        <v>1.475</v>
      </c>
      <c r="Q41" s="128">
        <f>100+P41</f>
        <v>101.475</v>
      </c>
      <c r="R41" s="129">
        <v>0.0</v>
      </c>
      <c r="S41" s="129">
        <v>0.0</v>
      </c>
      <c r="T41" s="129">
        <v>0.0</v>
      </c>
      <c r="U41" s="129">
        <v>0.0</v>
      </c>
    </row>
    <row r="42">
      <c r="B42" s="125">
        <f>date(2043,9,1)</f>
        <v>52475</v>
      </c>
      <c r="C42" s="128">
        <f t="shared" ref="C42:Q42" si="40">100*$I$19</f>
        <v>2.225</v>
      </c>
      <c r="D42" s="128">
        <f t="shared" si="40"/>
        <v>2.225</v>
      </c>
      <c r="E42" s="128">
        <f t="shared" si="40"/>
        <v>2.225</v>
      </c>
      <c r="F42" s="128">
        <f t="shared" si="40"/>
        <v>2.225</v>
      </c>
      <c r="G42" s="128">
        <f t="shared" si="40"/>
        <v>2.225</v>
      </c>
      <c r="H42" s="128">
        <f t="shared" si="40"/>
        <v>2.225</v>
      </c>
      <c r="I42" s="128">
        <f t="shared" si="40"/>
        <v>2.225</v>
      </c>
      <c r="J42" s="128">
        <f t="shared" si="40"/>
        <v>2.225</v>
      </c>
      <c r="K42" s="128">
        <f t="shared" si="40"/>
        <v>2.225</v>
      </c>
      <c r="L42" s="128">
        <f t="shared" si="40"/>
        <v>2.225</v>
      </c>
      <c r="M42" s="128">
        <f t="shared" si="40"/>
        <v>2.225</v>
      </c>
      <c r="N42" s="128">
        <f t="shared" si="40"/>
        <v>2.225</v>
      </c>
      <c r="O42" s="128">
        <f t="shared" si="40"/>
        <v>2.225</v>
      </c>
      <c r="P42" s="128">
        <f t="shared" si="40"/>
        <v>2.225</v>
      </c>
      <c r="Q42" s="128">
        <f t="shared" si="40"/>
        <v>2.225</v>
      </c>
      <c r="R42" s="128">
        <f>100+Q42</f>
        <v>102.225</v>
      </c>
      <c r="S42" s="129">
        <v>0.0</v>
      </c>
      <c r="T42" s="129">
        <v>0.0</v>
      </c>
      <c r="U42" s="129">
        <v>0.0</v>
      </c>
    </row>
    <row r="43">
      <c r="B43" s="125">
        <f>date(2048,3,1)</f>
        <v>54118</v>
      </c>
      <c r="C43" s="128">
        <f t="shared" ref="C43:R43" si="41">100*$I$20</f>
        <v>1.725</v>
      </c>
      <c r="D43" s="128">
        <f t="shared" si="41"/>
        <v>1.725</v>
      </c>
      <c r="E43" s="128">
        <f t="shared" si="41"/>
        <v>1.725</v>
      </c>
      <c r="F43" s="128">
        <f t="shared" si="41"/>
        <v>1.725</v>
      </c>
      <c r="G43" s="128">
        <f t="shared" si="41"/>
        <v>1.725</v>
      </c>
      <c r="H43" s="128">
        <f t="shared" si="41"/>
        <v>1.725</v>
      </c>
      <c r="I43" s="128">
        <f t="shared" si="41"/>
        <v>1.725</v>
      </c>
      <c r="J43" s="128">
        <f t="shared" si="41"/>
        <v>1.725</v>
      </c>
      <c r="K43" s="128">
        <f t="shared" si="41"/>
        <v>1.725</v>
      </c>
      <c r="L43" s="128">
        <f t="shared" si="41"/>
        <v>1.725</v>
      </c>
      <c r="M43" s="128">
        <f t="shared" si="41"/>
        <v>1.725</v>
      </c>
      <c r="N43" s="128">
        <f t="shared" si="41"/>
        <v>1.725</v>
      </c>
      <c r="O43" s="128">
        <f t="shared" si="41"/>
        <v>1.725</v>
      </c>
      <c r="P43" s="128">
        <f t="shared" si="41"/>
        <v>1.725</v>
      </c>
      <c r="Q43" s="128">
        <f t="shared" si="41"/>
        <v>1.725</v>
      </c>
      <c r="R43" s="128">
        <f t="shared" si="41"/>
        <v>1.725</v>
      </c>
      <c r="S43" s="128">
        <f>100+R43</f>
        <v>101.725</v>
      </c>
      <c r="T43" s="129">
        <v>0.0</v>
      </c>
      <c r="U43" s="129">
        <v>0.0</v>
      </c>
    </row>
    <row r="44">
      <c r="B44" s="125">
        <f>date(2053,10,1)</f>
        <v>56158</v>
      </c>
      <c r="C44" s="128">
        <f t="shared" ref="C44:S44" si="42">100*$I$21</f>
        <v>2.25</v>
      </c>
      <c r="D44" s="128">
        <f t="shared" si="42"/>
        <v>2.25</v>
      </c>
      <c r="E44" s="128">
        <f t="shared" si="42"/>
        <v>2.25</v>
      </c>
      <c r="F44" s="128">
        <f t="shared" si="42"/>
        <v>2.25</v>
      </c>
      <c r="G44" s="128">
        <f t="shared" si="42"/>
        <v>2.25</v>
      </c>
      <c r="H44" s="128">
        <f t="shared" si="42"/>
        <v>2.25</v>
      </c>
      <c r="I44" s="128">
        <f t="shared" si="42"/>
        <v>2.25</v>
      </c>
      <c r="J44" s="128">
        <f t="shared" si="42"/>
        <v>2.25</v>
      </c>
      <c r="K44" s="128">
        <f t="shared" si="42"/>
        <v>2.25</v>
      </c>
      <c r="L44" s="128">
        <f t="shared" si="42"/>
        <v>2.25</v>
      </c>
      <c r="M44" s="128">
        <f t="shared" si="42"/>
        <v>2.25</v>
      </c>
      <c r="N44" s="128">
        <f t="shared" si="42"/>
        <v>2.25</v>
      </c>
      <c r="O44" s="128">
        <f t="shared" si="42"/>
        <v>2.25</v>
      </c>
      <c r="P44" s="128">
        <f t="shared" si="42"/>
        <v>2.25</v>
      </c>
      <c r="Q44" s="128">
        <f t="shared" si="42"/>
        <v>2.25</v>
      </c>
      <c r="R44" s="128">
        <f t="shared" si="42"/>
        <v>2.25</v>
      </c>
      <c r="S44" s="128">
        <f t="shared" si="42"/>
        <v>2.25</v>
      </c>
      <c r="T44" s="128">
        <f>100+S44</f>
        <v>102.25</v>
      </c>
      <c r="U44" s="129">
        <v>0.0</v>
      </c>
    </row>
    <row r="45">
      <c r="B45" s="125">
        <f>date(2072,3,1)</f>
        <v>62884</v>
      </c>
      <c r="C45" s="128">
        <f t="shared" ref="C45:T45" si="43">100*$I$22</f>
        <v>1.075</v>
      </c>
      <c r="D45" s="128">
        <f t="shared" si="43"/>
        <v>1.075</v>
      </c>
      <c r="E45" s="128">
        <f t="shared" si="43"/>
        <v>1.075</v>
      </c>
      <c r="F45" s="128">
        <f t="shared" si="43"/>
        <v>1.075</v>
      </c>
      <c r="G45" s="128">
        <f t="shared" si="43"/>
        <v>1.075</v>
      </c>
      <c r="H45" s="128">
        <f t="shared" si="43"/>
        <v>1.075</v>
      </c>
      <c r="I45" s="128">
        <f t="shared" si="43"/>
        <v>1.075</v>
      </c>
      <c r="J45" s="128">
        <f t="shared" si="43"/>
        <v>1.075</v>
      </c>
      <c r="K45" s="128">
        <f t="shared" si="43"/>
        <v>1.075</v>
      </c>
      <c r="L45" s="128">
        <f t="shared" si="43"/>
        <v>1.075</v>
      </c>
      <c r="M45" s="128">
        <f t="shared" si="43"/>
        <v>1.075</v>
      </c>
      <c r="N45" s="128">
        <f t="shared" si="43"/>
        <v>1.075</v>
      </c>
      <c r="O45" s="128">
        <f t="shared" si="43"/>
        <v>1.075</v>
      </c>
      <c r="P45" s="128">
        <f t="shared" si="43"/>
        <v>1.075</v>
      </c>
      <c r="Q45" s="128">
        <f t="shared" si="43"/>
        <v>1.075</v>
      </c>
      <c r="R45" s="128">
        <f t="shared" si="43"/>
        <v>1.075</v>
      </c>
      <c r="S45" s="128">
        <f t="shared" si="43"/>
        <v>1.075</v>
      </c>
      <c r="T45" s="128">
        <f t="shared" si="43"/>
        <v>1.075</v>
      </c>
      <c r="U45" s="128">
        <f>100+T45</f>
        <v>101.075</v>
      </c>
    </row>
    <row r="47">
      <c r="A47" s="126" t="s">
        <v>62</v>
      </c>
    </row>
    <row r="49">
      <c r="B49" s="116" t="s">
        <v>4</v>
      </c>
      <c r="C49" s="121">
        <f>date(2024,1,12)</f>
        <v>45303</v>
      </c>
      <c r="D49" s="121">
        <f>date(2024,3,14)</f>
        <v>45365</v>
      </c>
      <c r="E49" s="121">
        <f>date(2024,5,31)</f>
        <v>45443</v>
      </c>
      <c r="F49" s="121">
        <f>date(2024,11,14)</f>
        <v>45610</v>
      </c>
      <c r="G49" s="121">
        <f>date(2024,9,13)</f>
        <v>45548</v>
      </c>
      <c r="H49" s="121">
        <f>date(2025,9,29)</f>
        <v>45929</v>
      </c>
      <c r="I49" s="121">
        <f>date(2026,12,1)</f>
        <v>46357</v>
      </c>
      <c r="J49" s="121">
        <f>date(2027,12,1)</f>
        <v>46722</v>
      </c>
      <c r="K49" s="121">
        <f>date(2029,2,1)</f>
        <v>47150</v>
      </c>
      <c r="L49" s="121">
        <f>date(2029,12,15)</f>
        <v>47467</v>
      </c>
      <c r="M49" s="125">
        <f>date(2030,12,1)</f>
        <v>47818</v>
      </c>
      <c r="N49" s="125">
        <f>date(2031,12,1)</f>
        <v>48183</v>
      </c>
      <c r="O49" s="125">
        <f>date(2032,12,1)</f>
        <v>48549</v>
      </c>
      <c r="P49" s="125">
        <f>date(2034,3,1)</f>
        <v>49004</v>
      </c>
      <c r="Q49" s="125">
        <f>date(2038,9,1)</f>
        <v>50649</v>
      </c>
      <c r="R49" s="125">
        <f>date(2043,9,1)</f>
        <v>52475</v>
      </c>
      <c r="S49" s="125">
        <f>date(2048,3,1)</f>
        <v>54118</v>
      </c>
      <c r="T49" s="125">
        <f>date(2053,10,1)</f>
        <v>56158</v>
      </c>
      <c r="U49" s="125">
        <f>date(2072,3,1)</f>
        <v>62884</v>
      </c>
    </row>
    <row r="50">
      <c r="B50" s="121">
        <f>date(2024,1,12)</f>
        <v>45303</v>
      </c>
      <c r="C50" s="130">
        <f t="array" ref="C50:U68">minverse(C27:U45)</f>
        <v>0.01</v>
      </c>
      <c r="D50" s="130">
        <v>0.0</v>
      </c>
      <c r="E50" s="130">
        <v>0.0</v>
      </c>
      <c r="F50" s="130">
        <v>0.0</v>
      </c>
      <c r="G50" s="130">
        <v>0.0</v>
      </c>
      <c r="H50" s="130">
        <v>0.0</v>
      </c>
      <c r="I50" s="130">
        <v>0.0</v>
      </c>
      <c r="J50" s="130">
        <v>0.0</v>
      </c>
      <c r="K50" s="130">
        <v>0.0</v>
      </c>
      <c r="L50" s="130">
        <v>0.0</v>
      </c>
      <c r="M50" s="130">
        <v>0.0</v>
      </c>
      <c r="N50" s="130">
        <v>0.0</v>
      </c>
      <c r="O50" s="130">
        <v>0.0</v>
      </c>
      <c r="P50" s="130">
        <v>0.0</v>
      </c>
      <c r="Q50" s="130">
        <v>0.0</v>
      </c>
      <c r="R50" s="130">
        <v>0.0</v>
      </c>
      <c r="S50" s="130">
        <v>0.0</v>
      </c>
      <c r="T50" s="130">
        <v>0.0</v>
      </c>
      <c r="U50" s="130">
        <v>0.0</v>
      </c>
    </row>
    <row r="51">
      <c r="B51" s="121">
        <f>date(2024,3,14)</f>
        <v>45365</v>
      </c>
      <c r="C51" s="130">
        <v>0.0</v>
      </c>
      <c r="D51" s="130">
        <v>0.01</v>
      </c>
      <c r="E51" s="130">
        <v>0.0</v>
      </c>
      <c r="F51" s="130">
        <v>0.0</v>
      </c>
      <c r="G51" s="130">
        <v>0.0</v>
      </c>
      <c r="H51" s="130">
        <v>0.0</v>
      </c>
      <c r="I51" s="130">
        <v>0.0</v>
      </c>
      <c r="J51" s="130">
        <v>0.0</v>
      </c>
      <c r="K51" s="130">
        <v>0.0</v>
      </c>
      <c r="L51" s="130">
        <v>0.0</v>
      </c>
      <c r="M51" s="130">
        <v>0.0</v>
      </c>
      <c r="N51" s="130">
        <v>0.0</v>
      </c>
      <c r="O51" s="130">
        <v>0.0</v>
      </c>
      <c r="P51" s="130">
        <v>0.0</v>
      </c>
      <c r="Q51" s="130">
        <v>0.0</v>
      </c>
      <c r="R51" s="130">
        <v>0.0</v>
      </c>
      <c r="S51" s="130">
        <v>0.0</v>
      </c>
      <c r="T51" s="130">
        <v>0.0</v>
      </c>
      <c r="U51" s="130">
        <v>0.0</v>
      </c>
    </row>
    <row r="52">
      <c r="B52" s="121">
        <f>date(2024,5,31)</f>
        <v>45443</v>
      </c>
      <c r="C52" s="130">
        <v>0.0</v>
      </c>
      <c r="D52" s="130">
        <v>0.0</v>
      </c>
      <c r="E52" s="130">
        <v>0.01</v>
      </c>
      <c r="F52" s="130">
        <v>0.0</v>
      </c>
      <c r="G52" s="130">
        <v>0.0</v>
      </c>
      <c r="H52" s="130">
        <v>0.0</v>
      </c>
      <c r="I52" s="130">
        <v>0.0</v>
      </c>
      <c r="J52" s="130">
        <v>0.0</v>
      </c>
      <c r="K52" s="130">
        <v>0.0</v>
      </c>
      <c r="L52" s="130">
        <v>0.0</v>
      </c>
      <c r="M52" s="130">
        <v>0.0</v>
      </c>
      <c r="N52" s="130">
        <v>0.0</v>
      </c>
      <c r="O52" s="130">
        <v>0.0</v>
      </c>
      <c r="P52" s="130">
        <v>0.0</v>
      </c>
      <c r="Q52" s="130">
        <v>0.0</v>
      </c>
      <c r="R52" s="130">
        <v>0.0</v>
      </c>
      <c r="S52" s="130">
        <v>0.0</v>
      </c>
      <c r="T52" s="130">
        <v>0.0</v>
      </c>
      <c r="U52" s="130">
        <v>0.0</v>
      </c>
    </row>
    <row r="53">
      <c r="B53" s="121">
        <f>date(2024,11,14)</f>
        <v>45610</v>
      </c>
      <c r="C53" s="130">
        <v>0.0</v>
      </c>
      <c r="D53" s="130">
        <v>0.0</v>
      </c>
      <c r="E53" s="130">
        <v>0.0</v>
      </c>
      <c r="F53" s="130">
        <v>0.01</v>
      </c>
      <c r="G53" s="130">
        <v>0.0</v>
      </c>
      <c r="H53" s="130">
        <v>0.0</v>
      </c>
      <c r="I53" s="130">
        <v>0.0</v>
      </c>
      <c r="J53" s="130">
        <v>0.0</v>
      </c>
      <c r="K53" s="130">
        <v>0.0</v>
      </c>
      <c r="L53" s="130">
        <v>0.0</v>
      </c>
      <c r="M53" s="130">
        <v>0.0</v>
      </c>
      <c r="N53" s="130">
        <v>0.0</v>
      </c>
      <c r="O53" s="130">
        <v>0.0</v>
      </c>
      <c r="P53" s="130">
        <v>0.0</v>
      </c>
      <c r="Q53" s="130">
        <v>0.0</v>
      </c>
      <c r="R53" s="130">
        <v>0.0</v>
      </c>
      <c r="S53" s="130">
        <v>0.0</v>
      </c>
      <c r="T53" s="130">
        <v>0.0</v>
      </c>
      <c r="U53" s="130">
        <v>0.0</v>
      </c>
    </row>
    <row r="54">
      <c r="B54" s="121">
        <f>date(2024,9,13)</f>
        <v>45548</v>
      </c>
      <c r="C54" s="130">
        <v>0.0</v>
      </c>
      <c r="D54" s="130">
        <v>0.0</v>
      </c>
      <c r="E54" s="130">
        <v>0.0</v>
      </c>
      <c r="F54" s="130">
        <v>0.0</v>
      </c>
      <c r="G54" s="130">
        <v>0.01</v>
      </c>
      <c r="H54" s="130">
        <v>0.0</v>
      </c>
      <c r="I54" s="130">
        <v>0.0</v>
      </c>
      <c r="J54" s="130">
        <v>0.0</v>
      </c>
      <c r="K54" s="130">
        <v>0.0</v>
      </c>
      <c r="L54" s="130">
        <v>0.0</v>
      </c>
      <c r="M54" s="130">
        <v>0.0</v>
      </c>
      <c r="N54" s="130">
        <v>0.0</v>
      </c>
      <c r="O54" s="130">
        <v>0.0</v>
      </c>
      <c r="P54" s="130">
        <v>0.0</v>
      </c>
      <c r="Q54" s="130">
        <v>0.0</v>
      </c>
      <c r="R54" s="130">
        <v>0.0</v>
      </c>
      <c r="S54" s="130">
        <v>0.0</v>
      </c>
      <c r="T54" s="130">
        <v>0.0</v>
      </c>
      <c r="U54" s="130">
        <v>0.0</v>
      </c>
    </row>
    <row r="55">
      <c r="B55" s="121">
        <f>date(2025,9,29)</f>
        <v>45929</v>
      </c>
      <c r="C55" s="130">
        <v>-1.768172888015717E-4</v>
      </c>
      <c r="D55" s="130">
        <v>-1.768172888015717E-4</v>
      </c>
      <c r="E55" s="130">
        <v>-1.768172888015717E-4</v>
      </c>
      <c r="F55" s="130">
        <v>-1.768172888015717E-4</v>
      </c>
      <c r="G55" s="130">
        <v>-1.768172888015717E-4</v>
      </c>
      <c r="H55" s="130">
        <v>0.009823182711198428</v>
      </c>
      <c r="I55" s="130">
        <v>0.0</v>
      </c>
      <c r="J55" s="130">
        <v>0.0</v>
      </c>
      <c r="K55" s="130">
        <v>0.0</v>
      </c>
      <c r="L55" s="130">
        <v>0.0</v>
      </c>
      <c r="M55" s="130">
        <v>0.0</v>
      </c>
      <c r="N55" s="130">
        <v>0.0</v>
      </c>
      <c r="O55" s="130">
        <v>0.0</v>
      </c>
      <c r="P55" s="130">
        <v>0.0</v>
      </c>
      <c r="Q55" s="130">
        <v>0.0</v>
      </c>
      <c r="R55" s="130">
        <v>0.0</v>
      </c>
      <c r="S55" s="130">
        <v>0.0</v>
      </c>
      <c r="T55" s="130">
        <v>0.0</v>
      </c>
      <c r="U55" s="130">
        <v>0.0</v>
      </c>
    </row>
    <row r="56">
      <c r="B56" s="121">
        <f>date(2026,12,1)</f>
        <v>46357</v>
      </c>
      <c r="C56" s="130">
        <v>-6.1013557212412604E-5</v>
      </c>
      <c r="D56" s="130">
        <v>-6.1013557212412604E-5</v>
      </c>
      <c r="E56" s="130">
        <v>-6.1013557212412604E-5</v>
      </c>
      <c r="F56" s="130">
        <v>-6.1013557212412604E-5</v>
      </c>
      <c r="G56" s="130">
        <v>-6.1013557212412604E-5</v>
      </c>
      <c r="H56" s="130">
        <v>-6.1013557212412604E-5</v>
      </c>
      <c r="I56" s="130">
        <v>0.009937888198757764</v>
      </c>
      <c r="J56" s="130">
        <v>0.0</v>
      </c>
      <c r="K56" s="130">
        <v>0.0</v>
      </c>
      <c r="L56" s="130">
        <v>0.0</v>
      </c>
      <c r="M56" s="130">
        <v>0.0</v>
      </c>
      <c r="N56" s="130">
        <v>0.0</v>
      </c>
      <c r="O56" s="130">
        <v>0.0</v>
      </c>
      <c r="P56" s="130">
        <v>0.0</v>
      </c>
      <c r="Q56" s="130">
        <v>0.0</v>
      </c>
      <c r="R56" s="130">
        <v>0.0</v>
      </c>
      <c r="S56" s="130">
        <v>0.0</v>
      </c>
      <c r="T56" s="130">
        <v>0.0</v>
      </c>
      <c r="U56" s="130">
        <v>0.0</v>
      </c>
    </row>
    <row r="57">
      <c r="B57" s="121">
        <f>date(2027,12,1)</f>
        <v>46722</v>
      </c>
      <c r="C57" s="130">
        <v>-1.276572822998418E-4</v>
      </c>
      <c r="D57" s="130">
        <v>-1.276572822998418E-4</v>
      </c>
      <c r="E57" s="130">
        <v>-1.276572822998418E-4</v>
      </c>
      <c r="F57" s="130">
        <v>-1.276572822998418E-4</v>
      </c>
      <c r="G57" s="130">
        <v>-1.276572822998418E-4</v>
      </c>
      <c r="H57" s="130">
        <v>-1.276572822998418E-4</v>
      </c>
      <c r="I57" s="130">
        <v>-1.2995511338123895E-4</v>
      </c>
      <c r="J57" s="130">
        <v>0.009869232667160128</v>
      </c>
      <c r="K57" s="130">
        <v>0.0</v>
      </c>
      <c r="L57" s="130">
        <v>0.0</v>
      </c>
      <c r="M57" s="130">
        <v>0.0</v>
      </c>
      <c r="N57" s="130">
        <v>0.0</v>
      </c>
      <c r="O57" s="130">
        <v>0.0</v>
      </c>
      <c r="P57" s="130">
        <v>0.0</v>
      </c>
      <c r="Q57" s="130">
        <v>0.0</v>
      </c>
      <c r="R57" s="130">
        <v>0.0</v>
      </c>
      <c r="S57" s="130">
        <v>0.0</v>
      </c>
      <c r="T57" s="130">
        <v>0.0</v>
      </c>
      <c r="U57" s="130">
        <v>0.0</v>
      </c>
    </row>
    <row r="58">
      <c r="B58" s="121">
        <f>date(2029,2,1)</f>
        <v>47150</v>
      </c>
      <c r="C58" s="130">
        <v>-1.9353992490893346E-4</v>
      </c>
      <c r="D58" s="130">
        <v>-1.9353992490893346E-4</v>
      </c>
      <c r="E58" s="130">
        <v>-1.9353992490893346E-4</v>
      </c>
      <c r="F58" s="130">
        <v>-1.9353992490893346E-4</v>
      </c>
      <c r="G58" s="130">
        <v>-1.9353992490893346E-4</v>
      </c>
      <c r="H58" s="130">
        <v>-1.9353992490893346E-4</v>
      </c>
      <c r="I58" s="130">
        <v>-1.970236435572943E-4</v>
      </c>
      <c r="J58" s="130">
        <v>-1.9825504132952733E-4</v>
      </c>
      <c r="K58" s="130">
        <v>0.009799118079372856</v>
      </c>
      <c r="L58" s="130">
        <v>0.0</v>
      </c>
      <c r="M58" s="130">
        <v>0.0</v>
      </c>
      <c r="N58" s="130">
        <v>0.0</v>
      </c>
      <c r="O58" s="130">
        <v>0.0</v>
      </c>
      <c r="P58" s="130">
        <v>0.0</v>
      </c>
      <c r="Q58" s="130">
        <v>0.0</v>
      </c>
      <c r="R58" s="130">
        <v>0.0</v>
      </c>
      <c r="S58" s="130">
        <v>0.0</v>
      </c>
      <c r="T58" s="130">
        <v>0.0</v>
      </c>
      <c r="U58" s="130">
        <v>0.0</v>
      </c>
    </row>
    <row r="59">
      <c r="B59" s="121">
        <f>date(2029,12,15)</f>
        <v>47467</v>
      </c>
      <c r="C59" s="130">
        <v>-1.7830631344170896E-4</v>
      </c>
      <c r="D59" s="130">
        <v>-1.7830631344170896E-4</v>
      </c>
      <c r="E59" s="130">
        <v>-1.7830631344170896E-4</v>
      </c>
      <c r="F59" s="130">
        <v>-1.7830631344170896E-4</v>
      </c>
      <c r="G59" s="130">
        <v>-1.7830631344170896E-4</v>
      </c>
      <c r="H59" s="130">
        <v>-1.78306313441709E-4</v>
      </c>
      <c r="I59" s="130">
        <v>-1.8151582708365974E-4</v>
      </c>
      <c r="J59" s="130">
        <v>-1.8265030100293262E-4</v>
      </c>
      <c r="K59" s="130">
        <v>-1.8507041749122151E-4</v>
      </c>
      <c r="L59" s="130">
        <v>0.009811135638950209</v>
      </c>
      <c r="M59" s="130">
        <v>0.0</v>
      </c>
      <c r="N59" s="130">
        <v>0.0</v>
      </c>
      <c r="O59" s="130">
        <v>0.0</v>
      </c>
      <c r="P59" s="130">
        <v>0.0</v>
      </c>
      <c r="Q59" s="130">
        <v>0.0</v>
      </c>
      <c r="R59" s="130">
        <v>0.0</v>
      </c>
      <c r="S59" s="130">
        <v>0.0</v>
      </c>
      <c r="T59" s="130">
        <v>0.0</v>
      </c>
      <c r="U59" s="130">
        <v>0.0</v>
      </c>
    </row>
    <row r="60">
      <c r="B60" s="125">
        <f>date(2030,12,1)</f>
        <v>47818</v>
      </c>
      <c r="C60" s="130">
        <v>-7.579170986860215E-5</v>
      </c>
      <c r="D60" s="130">
        <v>-7.579170986860215E-5</v>
      </c>
      <c r="E60" s="130">
        <v>-7.579170986860215E-5</v>
      </c>
      <c r="F60" s="130">
        <v>-7.579170986860215E-5</v>
      </c>
      <c r="G60" s="130">
        <v>-7.579170986860215E-5</v>
      </c>
      <c r="H60" s="130">
        <v>-7.579170986860218E-5</v>
      </c>
      <c r="I60" s="130">
        <v>-7.715596064623701E-5</v>
      </c>
      <c r="J60" s="130">
        <v>-7.763818540027599E-5</v>
      </c>
      <c r="K60" s="130">
        <v>-7.866689135682964E-5</v>
      </c>
      <c r="L60" s="130">
        <v>-8.027956262964466E-5</v>
      </c>
      <c r="M60" s="130">
        <v>0.009918175055789735</v>
      </c>
      <c r="N60" s="130">
        <v>0.0</v>
      </c>
      <c r="O60" s="130">
        <v>0.0</v>
      </c>
      <c r="P60" s="130">
        <v>0.0</v>
      </c>
      <c r="Q60" s="130">
        <v>0.0</v>
      </c>
      <c r="R60" s="130">
        <v>0.0</v>
      </c>
      <c r="S60" s="130">
        <v>0.0</v>
      </c>
      <c r="T60" s="130">
        <v>0.0</v>
      </c>
      <c r="U60" s="130">
        <v>0.0</v>
      </c>
    </row>
    <row r="61">
      <c r="B61" s="125">
        <f>date(2031,12,1)</f>
        <v>48183</v>
      </c>
      <c r="C61" s="130">
        <v>-4.343135221345402E-5</v>
      </c>
      <c r="D61" s="130">
        <v>-4.343135221345402E-5</v>
      </c>
      <c r="E61" s="130">
        <v>-4.343135221345402E-5</v>
      </c>
      <c r="F61" s="130">
        <v>-4.343135221345402E-5</v>
      </c>
      <c r="G61" s="130">
        <v>-4.343135221345402E-5</v>
      </c>
      <c r="H61" s="130">
        <v>-4.343135221345402E-5</v>
      </c>
      <c r="I61" s="130">
        <v>-4.4213116553296194E-5</v>
      </c>
      <c r="J61" s="130">
        <v>-4.448944853175429E-5</v>
      </c>
      <c r="K61" s="130">
        <v>-4.507893372480003E-5</v>
      </c>
      <c r="L61" s="130">
        <v>-4.600305186615843E-5</v>
      </c>
      <c r="M61" s="130">
        <v>-4.688861061458197E-5</v>
      </c>
      <c r="N61" s="130">
        <v>0.009952724558347848</v>
      </c>
      <c r="O61" s="130">
        <v>0.0</v>
      </c>
      <c r="P61" s="130">
        <v>0.0</v>
      </c>
      <c r="Q61" s="130">
        <v>0.0</v>
      </c>
      <c r="R61" s="130">
        <v>0.0</v>
      </c>
      <c r="S61" s="130">
        <v>0.0</v>
      </c>
      <c r="T61" s="130">
        <v>0.0</v>
      </c>
      <c r="U61" s="130">
        <v>0.0</v>
      </c>
    </row>
    <row r="62">
      <c r="B62" s="125">
        <f>date(2032,12,1)</f>
        <v>48549</v>
      </c>
      <c r="C62" s="130">
        <v>-1.1288200705251204E-4</v>
      </c>
      <c r="D62" s="130">
        <v>-1.1288200705251204E-4</v>
      </c>
      <c r="E62" s="130">
        <v>-1.1288200705251204E-4</v>
      </c>
      <c r="F62" s="130">
        <v>-1.1288200705251204E-4</v>
      </c>
      <c r="G62" s="130">
        <v>-1.1288200705251204E-4</v>
      </c>
      <c r="H62" s="130">
        <v>-1.1288200705251204E-4</v>
      </c>
      <c r="I62" s="130">
        <v>-1.1491388317945725E-4</v>
      </c>
      <c r="J62" s="130">
        <v>-1.1563209494932887E-4</v>
      </c>
      <c r="K62" s="130">
        <v>-1.1716422020740748E-4</v>
      </c>
      <c r="L62" s="130">
        <v>-1.1956608672165934E-4</v>
      </c>
      <c r="M62" s="130">
        <v>-1.2186773389105126E-4</v>
      </c>
      <c r="N62" s="130">
        <v>-1.2287314269565245E-4</v>
      </c>
      <c r="O62" s="130">
        <v>0.009876543209876543</v>
      </c>
      <c r="P62" s="130">
        <v>0.0</v>
      </c>
      <c r="Q62" s="130">
        <v>0.0</v>
      </c>
      <c r="R62" s="130">
        <v>0.0</v>
      </c>
      <c r="S62" s="130">
        <v>0.0</v>
      </c>
      <c r="T62" s="130">
        <v>0.0</v>
      </c>
      <c r="U62" s="130">
        <v>0.0</v>
      </c>
    </row>
    <row r="63">
      <c r="B63" s="125">
        <f>date(2034,3,1)</f>
        <v>49004</v>
      </c>
      <c r="C63" s="130">
        <v>-1.8574120651147923E-4</v>
      </c>
      <c r="D63" s="130">
        <v>-1.8574120651147923E-4</v>
      </c>
      <c r="E63" s="130">
        <v>-1.8574120651147923E-4</v>
      </c>
      <c r="F63" s="130">
        <v>-1.8574120651147923E-4</v>
      </c>
      <c r="G63" s="130">
        <v>-1.8574120651147923E-4</v>
      </c>
      <c r="H63" s="130">
        <v>-1.8574120651147923E-4</v>
      </c>
      <c r="I63" s="130">
        <v>-1.8908454822868582E-4</v>
      </c>
      <c r="J63" s="130">
        <v>-1.902663266551151E-4</v>
      </c>
      <c r="K63" s="130">
        <v>-1.927873554832954E-4</v>
      </c>
      <c r="L63" s="130">
        <v>-1.9673949627070292E-4</v>
      </c>
      <c r="M63" s="130">
        <v>-2.00526731573914E-4</v>
      </c>
      <c r="N63" s="130">
        <v>-2.0218107710939876E-4</v>
      </c>
      <c r="O63" s="130">
        <v>-2.0314143722566838E-4</v>
      </c>
      <c r="P63" s="130">
        <v>0.009794319294809012</v>
      </c>
      <c r="Q63" s="130">
        <v>0.0</v>
      </c>
      <c r="R63" s="130">
        <v>0.0</v>
      </c>
      <c r="S63" s="130">
        <v>0.0</v>
      </c>
      <c r="T63" s="130">
        <v>0.0</v>
      </c>
      <c r="U63" s="130">
        <v>0.0</v>
      </c>
    </row>
    <row r="64">
      <c r="B64" s="125">
        <f>date(2038,9,1)</f>
        <v>50649</v>
      </c>
      <c r="C64" s="130">
        <v>-1.2856475538400582E-4</v>
      </c>
      <c r="D64" s="130">
        <v>-1.2856475538400582E-4</v>
      </c>
      <c r="E64" s="130">
        <v>-1.2856475538400582E-4</v>
      </c>
      <c r="F64" s="130">
        <v>-1.2856475538400582E-4</v>
      </c>
      <c r="G64" s="130">
        <v>-1.2856475538400582E-4</v>
      </c>
      <c r="H64" s="130">
        <v>-1.285647553840058E-4</v>
      </c>
      <c r="I64" s="130">
        <v>-1.3087892098091793E-4</v>
      </c>
      <c r="J64" s="130">
        <v>-1.3169691423704864E-4</v>
      </c>
      <c r="K64" s="130">
        <v>-1.3344189835068953E-4</v>
      </c>
      <c r="L64" s="130">
        <v>-1.3617745726687868E-4</v>
      </c>
      <c r="M64" s="130">
        <v>-1.3879887331926606E-4</v>
      </c>
      <c r="N64" s="130">
        <v>-1.3994396402415004E-4</v>
      </c>
      <c r="O64" s="130">
        <v>-1.4060869785326475E-4</v>
      </c>
      <c r="P64" s="130">
        <v>-1.4236630657643055E-4</v>
      </c>
      <c r="Q64" s="130">
        <v>0.009854644000985464</v>
      </c>
      <c r="R64" s="130">
        <v>0.0</v>
      </c>
      <c r="S64" s="130">
        <v>0.0</v>
      </c>
      <c r="T64" s="130">
        <v>0.0</v>
      </c>
      <c r="U64" s="130">
        <v>0.0</v>
      </c>
    </row>
    <row r="65">
      <c r="B65" s="125">
        <f>date(2043,9,1)</f>
        <v>52475</v>
      </c>
      <c r="C65" s="130">
        <v>-1.8971549513455314E-4</v>
      </c>
      <c r="D65" s="130">
        <v>-1.8971549513455314E-4</v>
      </c>
      <c r="E65" s="130">
        <v>-1.8971549513455314E-4</v>
      </c>
      <c r="F65" s="130">
        <v>-1.8971549513455314E-4</v>
      </c>
      <c r="G65" s="130">
        <v>-1.8971549513455314E-4</v>
      </c>
      <c r="H65" s="130">
        <v>-1.8971549513455312E-4</v>
      </c>
      <c r="I65" s="130">
        <v>-1.9313037404697508E-4</v>
      </c>
      <c r="J65" s="130">
        <v>-1.9433743888476866E-4</v>
      </c>
      <c r="K65" s="130">
        <v>-1.9691240994999188E-4</v>
      </c>
      <c r="L65" s="130">
        <v>-2.0094911435396666E-4</v>
      </c>
      <c r="M65" s="130">
        <v>-2.0481738480528056E-4</v>
      </c>
      <c r="N65" s="130">
        <v>-2.065071282299241E-4</v>
      </c>
      <c r="O65" s="130">
        <v>-2.0748803708901621E-4</v>
      </c>
      <c r="P65" s="130">
        <v>-2.1008163755262895E-4</v>
      </c>
      <c r="Q65" s="130">
        <v>-2.1449335194123417E-4</v>
      </c>
      <c r="R65" s="130">
        <v>0.009782342871117634</v>
      </c>
      <c r="S65" s="130">
        <v>0.0</v>
      </c>
      <c r="T65" s="130">
        <v>0.0</v>
      </c>
      <c r="U65" s="130">
        <v>0.0</v>
      </c>
    </row>
    <row r="66">
      <c r="B66" s="125">
        <f>date(2048,3,1)</f>
        <v>54118</v>
      </c>
      <c r="C66" s="130">
        <v>-1.4458864546443694E-4</v>
      </c>
      <c r="D66" s="130">
        <v>-1.4458864546443694E-4</v>
      </c>
      <c r="E66" s="130">
        <v>-1.4458864546443694E-4</v>
      </c>
      <c r="F66" s="130">
        <v>-1.4458864546443694E-4</v>
      </c>
      <c r="G66" s="130">
        <v>-1.4458864546443694E-4</v>
      </c>
      <c r="H66" s="130">
        <v>-1.4458864546443694E-4</v>
      </c>
      <c r="I66" s="130">
        <v>-1.471912410827968E-4</v>
      </c>
      <c r="J66" s="130">
        <v>-1.4811118633956428E-4</v>
      </c>
      <c r="K66" s="130">
        <v>-1.5007365955856347E-4</v>
      </c>
      <c r="L66" s="130">
        <v>-1.5315016957951407E-4</v>
      </c>
      <c r="M66" s="130">
        <v>-1.5609831034391972E-4</v>
      </c>
      <c r="N66" s="130">
        <v>-1.573861214042571E-4</v>
      </c>
      <c r="O66" s="130">
        <v>-1.581337054809273E-4</v>
      </c>
      <c r="P66" s="130">
        <v>-1.6011037679943888E-4</v>
      </c>
      <c r="Q66" s="130">
        <v>-1.634726947122271E-4</v>
      </c>
      <c r="R66" s="130">
        <v>-1.6588391695923245E-4</v>
      </c>
      <c r="S66" s="130">
        <v>0.009830425165888425</v>
      </c>
      <c r="T66" s="130">
        <v>0.0</v>
      </c>
      <c r="U66" s="130">
        <v>0.0</v>
      </c>
    </row>
    <row r="67">
      <c r="B67" s="125">
        <f>date(2053,10,1)</f>
        <v>56158</v>
      </c>
      <c r="C67" s="130">
        <v>-1.8444389769036284E-4</v>
      </c>
      <c r="D67" s="130">
        <v>-1.8444389769036284E-4</v>
      </c>
      <c r="E67" s="130">
        <v>-1.8444389769036284E-4</v>
      </c>
      <c r="F67" s="130">
        <v>-1.8444389769036284E-4</v>
      </c>
      <c r="G67" s="130">
        <v>-1.8444389769036284E-4</v>
      </c>
      <c r="H67" s="130">
        <v>-1.8444389769036284E-4</v>
      </c>
      <c r="I67" s="130">
        <v>-1.8776388784878936E-4</v>
      </c>
      <c r="J67" s="130">
        <v>-1.8893741214784425E-4</v>
      </c>
      <c r="K67" s="130">
        <v>-1.914408328588032E-4</v>
      </c>
      <c r="L67" s="130">
        <v>-1.953653699324087E-4</v>
      </c>
      <c r="M67" s="130">
        <v>-1.9912615330360754E-4</v>
      </c>
      <c r="N67" s="130">
        <v>-2.0076894406836234E-4</v>
      </c>
      <c r="O67" s="130">
        <v>-2.0172259655268704E-4</v>
      </c>
      <c r="P67" s="130">
        <v>-2.0424412900959561E-4</v>
      </c>
      <c r="Q67" s="130">
        <v>-2.0853325571879713E-4</v>
      </c>
      <c r="R67" s="130">
        <v>-2.116091212406494E-4</v>
      </c>
      <c r="S67" s="130">
        <v>-2.1631742418825385E-4</v>
      </c>
      <c r="T67" s="130">
        <v>0.009779951100244499</v>
      </c>
      <c r="U67" s="130">
        <v>0.0</v>
      </c>
    </row>
    <row r="68">
      <c r="B68" s="125">
        <f>date(2072,3,1)</f>
        <v>62884</v>
      </c>
      <c r="C68" s="130">
        <v>-8.718594663682749E-5</v>
      </c>
      <c r="D68" s="130">
        <v>-8.718594663682749E-5</v>
      </c>
      <c r="E68" s="130">
        <v>-8.718594663682749E-5</v>
      </c>
      <c r="F68" s="130">
        <v>-8.718594663682749E-5</v>
      </c>
      <c r="G68" s="130">
        <v>-8.718594663682749E-5</v>
      </c>
      <c r="H68" s="130">
        <v>-8.718594663682746E-5</v>
      </c>
      <c r="I68" s="130">
        <v>-8.875529367629037E-5</v>
      </c>
      <c r="J68" s="130">
        <v>-8.931001426176717E-5</v>
      </c>
      <c r="K68" s="130">
        <v>-9.049337195073557E-5</v>
      </c>
      <c r="L68" s="130">
        <v>-9.234848607572565E-5</v>
      </c>
      <c r="M68" s="130">
        <v>-9.412619443268335E-5</v>
      </c>
      <c r="N68" s="130">
        <v>-9.490273553675304E-5</v>
      </c>
      <c r="O68" s="130">
        <v>-9.535352353055258E-5</v>
      </c>
      <c r="P68" s="130">
        <v>-9.65454425746845E-5</v>
      </c>
      <c r="Q68" s="130">
        <v>-9.857289686875289E-5</v>
      </c>
      <c r="R68" s="130">
        <v>-1.0002684709756697E-4</v>
      </c>
      <c r="S68" s="130">
        <v>-1.0225244444548784E-4</v>
      </c>
      <c r="T68" s="130">
        <v>-1.040162991121725E-4</v>
      </c>
      <c r="U68" s="130">
        <v>0.009893643334157803</v>
      </c>
    </row>
    <row r="71">
      <c r="B71" s="116" t="s">
        <v>4</v>
      </c>
      <c r="C71" s="131" t="s">
        <v>5</v>
      </c>
      <c r="D71" s="131" t="s">
        <v>19</v>
      </c>
      <c r="E71" s="131" t="s">
        <v>75</v>
      </c>
      <c r="G71" s="132" t="s">
        <v>5</v>
      </c>
      <c r="H71" s="132" t="s">
        <v>75</v>
      </c>
    </row>
    <row r="72">
      <c r="B72" s="121">
        <f>date(2024,1,12)</f>
        <v>45303</v>
      </c>
      <c r="C72" s="133">
        <f t="shared" ref="C72:C90" si="44">(B72-$B$2)/184</f>
        <v>0.03804347826</v>
      </c>
      <c r="D72" s="133">
        <f t="array" ref="D72:D90">MMULT(C50:U68,M4:M22)</f>
        <v>0.9969</v>
      </c>
      <c r="E72" s="133">
        <f t="shared" ref="E72:E90" si="45">(1/D72)^(1/C72)-1</f>
        <v>0.08503503715</v>
      </c>
      <c r="G72" s="126">
        <f t="shared" ref="G72:G90" si="46">C72</f>
        <v>0.03804347826</v>
      </c>
      <c r="H72" s="126">
        <f t="shared" ref="H72:H90" si="47">E72</f>
        <v>0.08503503715</v>
      </c>
    </row>
    <row r="73">
      <c r="B73" s="121">
        <f>date(2024,3,14)</f>
        <v>45365</v>
      </c>
      <c r="C73" s="133">
        <f t="shared" si="44"/>
        <v>0.375</v>
      </c>
      <c r="D73" s="133">
        <v>0.99047</v>
      </c>
      <c r="E73" s="133">
        <f t="shared" si="45"/>
        <v>0.02586401888</v>
      </c>
      <c r="G73" s="126">
        <f t="shared" si="46"/>
        <v>0.375</v>
      </c>
      <c r="H73" s="126">
        <f t="shared" si="47"/>
        <v>0.02586401888</v>
      </c>
    </row>
    <row r="74">
      <c r="B74" s="121">
        <f>date(2024,5,31)</f>
        <v>45443</v>
      </c>
      <c r="C74" s="133">
        <f t="shared" si="44"/>
        <v>0.7989130435</v>
      </c>
      <c r="D74" s="133">
        <v>0.98256</v>
      </c>
      <c r="E74" s="133">
        <f t="shared" si="45"/>
        <v>0.02226653685</v>
      </c>
      <c r="G74" s="126">
        <f t="shared" si="46"/>
        <v>0.7989130435</v>
      </c>
      <c r="H74" s="126">
        <f t="shared" si="47"/>
        <v>0.02226653685</v>
      </c>
    </row>
    <row r="75">
      <c r="B75" s="121">
        <f>date(2024,11,14)</f>
        <v>45610</v>
      </c>
      <c r="C75" s="133">
        <f t="shared" si="44"/>
        <v>1.706521739</v>
      </c>
      <c r="D75" s="133">
        <v>0.97368</v>
      </c>
      <c r="E75" s="133">
        <f t="shared" si="45"/>
        <v>0.01575257106</v>
      </c>
      <c r="G75" s="126">
        <f t="shared" si="46"/>
        <v>1.706521739</v>
      </c>
      <c r="H75" s="126">
        <f t="shared" si="47"/>
        <v>0.01575257106</v>
      </c>
    </row>
    <row r="76">
      <c r="B76" s="121">
        <f>date(2024,9,13)</f>
        <v>45548</v>
      </c>
      <c r="C76" s="133">
        <f t="shared" si="44"/>
        <v>1.369565217</v>
      </c>
      <c r="D76" s="133">
        <v>0.9677</v>
      </c>
      <c r="E76" s="133">
        <f t="shared" si="45"/>
        <v>0.02426308882</v>
      </c>
      <c r="G76" s="126">
        <f t="shared" si="46"/>
        <v>1.369565217</v>
      </c>
      <c r="H76" s="126">
        <f t="shared" si="47"/>
        <v>0.02426308882</v>
      </c>
    </row>
    <row r="77">
      <c r="B77" s="121">
        <f>date(2025,9,29)</f>
        <v>45929</v>
      </c>
      <c r="C77" s="133">
        <f t="shared" si="44"/>
        <v>3.440217391</v>
      </c>
      <c r="D77" s="133">
        <v>0.9039492466045955</v>
      </c>
      <c r="E77" s="133">
        <f t="shared" si="45"/>
        <v>0.02978845327</v>
      </c>
      <c r="G77" s="126">
        <f t="shared" si="46"/>
        <v>3.440217391</v>
      </c>
      <c r="H77" s="126">
        <f t="shared" si="47"/>
        <v>0.02978845327</v>
      </c>
    </row>
    <row r="78">
      <c r="B78" s="121">
        <f>date(2026,12,1)</f>
        <v>46357</v>
      </c>
      <c r="C78" s="133">
        <f t="shared" si="44"/>
        <v>5.766304348</v>
      </c>
      <c r="D78" s="133">
        <v>0.9046891810229798</v>
      </c>
      <c r="E78" s="133">
        <f t="shared" si="45"/>
        <v>0.01752228878</v>
      </c>
      <c r="G78" s="126">
        <f t="shared" si="46"/>
        <v>5.766304348</v>
      </c>
      <c r="H78" s="126">
        <f t="shared" si="47"/>
        <v>0.01752228878</v>
      </c>
    </row>
    <row r="79">
      <c r="B79" s="121">
        <f>date(2027,12,1)</f>
        <v>46722</v>
      </c>
      <c r="C79" s="133">
        <f t="shared" si="44"/>
        <v>7.75</v>
      </c>
      <c r="D79" s="133">
        <v>0.8794286343634022</v>
      </c>
      <c r="E79" s="133">
        <f t="shared" si="45"/>
        <v>0.01671661855</v>
      </c>
      <c r="G79" s="126">
        <f t="shared" si="46"/>
        <v>7.75</v>
      </c>
      <c r="H79" s="126">
        <f t="shared" si="47"/>
        <v>0.01671661855</v>
      </c>
    </row>
    <row r="80">
      <c r="B80" s="121">
        <f>date(2029,2,1)</f>
        <v>47150</v>
      </c>
      <c r="C80" s="133">
        <f t="shared" si="44"/>
        <v>10.07608696</v>
      </c>
      <c r="D80" s="133">
        <v>0.8608645044105085</v>
      </c>
      <c r="E80" s="133">
        <f t="shared" si="45"/>
        <v>0.01497977319</v>
      </c>
      <c r="G80" s="126">
        <f t="shared" si="46"/>
        <v>10.07608696</v>
      </c>
      <c r="H80" s="126">
        <f t="shared" si="47"/>
        <v>0.01497977319</v>
      </c>
    </row>
    <row r="81">
      <c r="B81" s="121">
        <f>date(2029,12,15)</f>
        <v>47467</v>
      </c>
      <c r="C81" s="133">
        <f t="shared" si="44"/>
        <v>11.79891304</v>
      </c>
      <c r="D81" s="133">
        <v>0.8413068772424628</v>
      </c>
      <c r="E81" s="133">
        <f t="shared" si="45"/>
        <v>0.01475308237</v>
      </c>
      <c r="G81" s="126">
        <f t="shared" si="46"/>
        <v>11.79891304</v>
      </c>
      <c r="H81" s="126">
        <f t="shared" si="47"/>
        <v>0.01475308237</v>
      </c>
    </row>
    <row r="82">
      <c r="B82" s="125">
        <f>date(2030,12,1)</f>
        <v>47818</v>
      </c>
      <c r="C82" s="133">
        <f t="shared" si="44"/>
        <v>13.70652174</v>
      </c>
      <c r="D82" s="133">
        <v>0.7967582631472337</v>
      </c>
      <c r="E82" s="133">
        <f t="shared" si="45"/>
        <v>0.01671448907</v>
      </c>
      <c r="G82" s="126">
        <f t="shared" si="46"/>
        <v>13.70652174</v>
      </c>
      <c r="H82" s="126">
        <f t="shared" si="47"/>
        <v>0.01671448907</v>
      </c>
    </row>
    <row r="83">
      <c r="B83" s="125">
        <f>date(2031,12,1)</f>
        <v>48183</v>
      </c>
      <c r="C83" s="133">
        <f t="shared" si="44"/>
        <v>15.69021739</v>
      </c>
      <c r="D83" s="133">
        <v>0.7603051264010326</v>
      </c>
      <c r="E83" s="133">
        <f t="shared" si="45"/>
        <v>0.01761878089</v>
      </c>
      <c r="G83" s="126">
        <f t="shared" si="46"/>
        <v>15.69021739</v>
      </c>
      <c r="H83" s="126">
        <f t="shared" si="47"/>
        <v>0.01761878089</v>
      </c>
    </row>
    <row r="84">
      <c r="B84" s="125">
        <f>date(2032,12,1)</f>
        <v>48549</v>
      </c>
      <c r="C84" s="133">
        <f t="shared" si="44"/>
        <v>17.67934783</v>
      </c>
      <c r="D84" s="133">
        <v>0.7582371056557053</v>
      </c>
      <c r="E84" s="133">
        <f t="shared" si="45"/>
        <v>0.01577754646</v>
      </c>
      <c r="G84" s="126">
        <f t="shared" si="46"/>
        <v>17.67934783</v>
      </c>
      <c r="H84" s="126">
        <f t="shared" si="47"/>
        <v>0.01577754646</v>
      </c>
    </row>
    <row r="85">
      <c r="B85" s="125">
        <f>date(2034,3,1)</f>
        <v>49004</v>
      </c>
      <c r="C85" s="133">
        <f t="shared" si="44"/>
        <v>20.15217391</v>
      </c>
      <c r="D85" s="133">
        <v>0.7620379407459205</v>
      </c>
      <c r="E85" s="133">
        <f t="shared" si="45"/>
        <v>0.01357667814</v>
      </c>
      <c r="G85" s="126">
        <f t="shared" si="46"/>
        <v>20.15217391</v>
      </c>
      <c r="H85" s="126">
        <f t="shared" si="47"/>
        <v>0.01357667814</v>
      </c>
    </row>
    <row r="86">
      <c r="B86" s="125">
        <f>date(2038,9,1)</f>
        <v>50649</v>
      </c>
      <c r="C86" s="133">
        <f t="shared" si="44"/>
        <v>29.0923913</v>
      </c>
      <c r="D86" s="133">
        <v>0.6686544715917516</v>
      </c>
      <c r="E86" s="133">
        <f t="shared" si="45"/>
        <v>0.01393095842</v>
      </c>
      <c r="G86" s="126">
        <f t="shared" si="46"/>
        <v>29.0923913</v>
      </c>
      <c r="H86" s="126">
        <f t="shared" si="47"/>
        <v>0.01393095842</v>
      </c>
    </row>
    <row r="87">
      <c r="B87" s="125">
        <f>date(2043,9,1)</f>
        <v>52475</v>
      </c>
      <c r="C87" s="133">
        <f t="shared" si="44"/>
        <v>39.01630435</v>
      </c>
      <c r="D87" s="133">
        <v>0.699852816720609</v>
      </c>
      <c r="E87" s="133">
        <f t="shared" si="45"/>
        <v>0.009189041625</v>
      </c>
      <c r="G87" s="126">
        <f t="shared" si="46"/>
        <v>39.01630435</v>
      </c>
      <c r="H87" s="126">
        <f t="shared" si="47"/>
        <v>0.009189041625</v>
      </c>
    </row>
    <row r="88">
      <c r="B88" s="125">
        <f>date(2048,3,1)</f>
        <v>54118</v>
      </c>
      <c r="C88" s="133">
        <f t="shared" si="44"/>
        <v>47.94565217</v>
      </c>
      <c r="D88" s="133">
        <v>0.6169365451989364</v>
      </c>
      <c r="E88" s="133">
        <f t="shared" si="45"/>
        <v>0.01012458921</v>
      </c>
      <c r="G88" s="126">
        <f t="shared" si="46"/>
        <v>47.94565217</v>
      </c>
      <c r="H88" s="126">
        <f t="shared" si="47"/>
        <v>0.01012458921</v>
      </c>
    </row>
    <row r="89">
      <c r="B89" s="125">
        <f>date(2053,10,1)</f>
        <v>56158</v>
      </c>
      <c r="C89" s="133">
        <f t="shared" si="44"/>
        <v>59.0326087</v>
      </c>
      <c r="D89" s="133">
        <v>0.6621833254371463</v>
      </c>
      <c r="E89" s="133">
        <f t="shared" si="45"/>
        <v>0.00700723548</v>
      </c>
      <c r="G89" s="126">
        <f t="shared" si="46"/>
        <v>59.0326087</v>
      </c>
      <c r="H89" s="126">
        <f t="shared" si="47"/>
        <v>0.00700723548</v>
      </c>
    </row>
    <row r="90">
      <c r="B90" s="125">
        <f>date(2072,3,1)</f>
        <v>62884</v>
      </c>
      <c r="C90" s="133">
        <f t="shared" si="44"/>
        <v>95.58695652</v>
      </c>
      <c r="D90" s="133">
        <v>0.4219735948970489</v>
      </c>
      <c r="E90" s="133">
        <f t="shared" si="45"/>
        <v>0.009067328718</v>
      </c>
      <c r="G90" s="126">
        <f t="shared" si="46"/>
        <v>95.58695652</v>
      </c>
      <c r="H90" s="126">
        <f t="shared" si="47"/>
        <v>0.009067328718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5" max="5" width="16.75"/>
    <col customWidth="1" min="9" max="9" width="25.75"/>
    <col customWidth="1" min="11" max="11" width="19.88"/>
    <col customWidth="1" min="12" max="12" width="19.13"/>
  </cols>
  <sheetData>
    <row r="1">
      <c r="A1" s="134" t="s">
        <v>25</v>
      </c>
      <c r="B1" s="134" t="s">
        <v>26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  <c r="V1" s="136"/>
      <c r="W1" s="136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</row>
    <row r="2">
      <c r="A2" s="114" t="s">
        <v>3</v>
      </c>
      <c r="B2" s="138">
        <f>date(2023,12,12)</f>
        <v>45272</v>
      </c>
      <c r="C2" s="138">
        <f>date(2023,3,3)</f>
        <v>44988</v>
      </c>
      <c r="D2" s="114">
        <v>12.0</v>
      </c>
    </row>
    <row r="3">
      <c r="A3" s="139" t="s">
        <v>29</v>
      </c>
      <c r="B3" s="139" t="s">
        <v>76</v>
      </c>
      <c r="C3" s="139" t="s">
        <v>28</v>
      </c>
      <c r="D3" s="139" t="s">
        <v>30</v>
      </c>
      <c r="E3" s="140" t="s">
        <v>31</v>
      </c>
      <c r="F3" s="139" t="s">
        <v>9</v>
      </c>
      <c r="G3" s="139" t="s">
        <v>10</v>
      </c>
      <c r="H3" s="139" t="s">
        <v>11</v>
      </c>
      <c r="I3" s="139" t="s">
        <v>22</v>
      </c>
      <c r="J3" s="141" t="s">
        <v>13</v>
      </c>
      <c r="K3" s="141" t="s">
        <v>23</v>
      </c>
      <c r="L3" s="141" t="s">
        <v>24</v>
      </c>
      <c r="M3" s="141" t="s">
        <v>15</v>
      </c>
      <c r="N3" s="141" t="s">
        <v>16</v>
      </c>
    </row>
    <row r="4">
      <c r="A4" s="142">
        <v>45358.0</v>
      </c>
      <c r="B4" s="143">
        <f t="shared" ref="B4:B24" si="1">DAYS(A4,$B$2)</f>
        <v>86</v>
      </c>
      <c r="C4" s="144">
        <v>0.0</v>
      </c>
      <c r="D4" s="144">
        <v>98.403</v>
      </c>
      <c r="E4" s="144">
        <v>98.412</v>
      </c>
      <c r="F4" s="145">
        <v>12.0</v>
      </c>
      <c r="G4" s="146">
        <f t="shared" ref="G4:G24" si="2">yield($C$2,A4,C4,F4,100,2,0)</f>
        <v>3.706632812</v>
      </c>
      <c r="H4" s="145">
        <v>360.0</v>
      </c>
      <c r="I4" s="145">
        <f t="shared" ref="I4:I24" si="3">C4/2</f>
        <v>0</v>
      </c>
      <c r="J4" s="143">
        <f t="shared" ref="J4:J24" si="4">(100*I4)*F4/H4</f>
        <v>0</v>
      </c>
      <c r="K4" s="144">
        <v>98.403</v>
      </c>
      <c r="L4" s="144">
        <v>98.412</v>
      </c>
      <c r="M4" s="143">
        <f t="shared" ref="M4:M24" si="5">J4+K4</f>
        <v>98.403</v>
      </c>
      <c r="N4" s="147">
        <f t="shared" ref="N4:N24" si="6">J4+L4</f>
        <v>98.412</v>
      </c>
    </row>
    <row r="5">
      <c r="A5" s="142">
        <v>45449.0</v>
      </c>
      <c r="B5" s="143">
        <f t="shared" si="1"/>
        <v>177</v>
      </c>
      <c r="C5" s="144">
        <v>0.0</v>
      </c>
      <c r="D5" s="144">
        <v>96.658</v>
      </c>
      <c r="E5" s="144">
        <v>96.676</v>
      </c>
      <c r="F5" s="145">
        <v>12.0</v>
      </c>
      <c r="G5" s="146">
        <f t="shared" si="2"/>
        <v>2.644278366</v>
      </c>
      <c r="H5" s="145">
        <v>360.0</v>
      </c>
      <c r="I5" s="145">
        <f t="shared" si="3"/>
        <v>0</v>
      </c>
      <c r="J5" s="143">
        <f t="shared" si="4"/>
        <v>0</v>
      </c>
      <c r="K5" s="144">
        <v>96.658</v>
      </c>
      <c r="L5" s="144">
        <v>96.676</v>
      </c>
      <c r="M5" s="143">
        <f t="shared" si="5"/>
        <v>96.658</v>
      </c>
      <c r="N5" s="147">
        <f t="shared" si="6"/>
        <v>96.676</v>
      </c>
    </row>
    <row r="6">
      <c r="A6" s="148">
        <v>45673.0</v>
      </c>
      <c r="B6" s="143">
        <f t="shared" si="1"/>
        <v>401</v>
      </c>
      <c r="C6" s="144">
        <v>6.89</v>
      </c>
      <c r="D6" s="144">
        <v>99.649</v>
      </c>
      <c r="E6" s="144">
        <v>99.749</v>
      </c>
      <c r="F6" s="145">
        <v>12.0</v>
      </c>
      <c r="G6" s="146">
        <f t="shared" si="2"/>
        <v>11.02711802</v>
      </c>
      <c r="H6" s="145">
        <v>360.0</v>
      </c>
      <c r="I6" s="145">
        <f t="shared" si="3"/>
        <v>3.445</v>
      </c>
      <c r="J6" s="143">
        <f t="shared" si="4"/>
        <v>11.48333333</v>
      </c>
      <c r="K6" s="144">
        <v>99.649</v>
      </c>
      <c r="L6" s="144">
        <v>99.749</v>
      </c>
      <c r="M6" s="143">
        <f t="shared" si="5"/>
        <v>111.1323333</v>
      </c>
      <c r="N6" s="147">
        <f t="shared" si="6"/>
        <v>111.2323333</v>
      </c>
    </row>
    <row r="7">
      <c r="A7" s="148">
        <v>46124.0</v>
      </c>
      <c r="B7" s="143">
        <f t="shared" si="1"/>
        <v>852</v>
      </c>
      <c r="C7" s="144">
        <v>5.63</v>
      </c>
      <c r="D7" s="144">
        <v>96.657</v>
      </c>
      <c r="E7" s="144">
        <v>96.677</v>
      </c>
      <c r="F7" s="145">
        <v>12.0</v>
      </c>
      <c r="G7" s="146">
        <f t="shared" si="2"/>
        <v>9.588610112</v>
      </c>
      <c r="H7" s="145">
        <v>360.0</v>
      </c>
      <c r="I7" s="145">
        <f t="shared" si="3"/>
        <v>2.815</v>
      </c>
      <c r="J7" s="143">
        <f t="shared" si="4"/>
        <v>9.383333333</v>
      </c>
      <c r="K7" s="144">
        <v>96.657</v>
      </c>
      <c r="L7" s="144">
        <v>96.677</v>
      </c>
      <c r="M7" s="143">
        <f t="shared" si="5"/>
        <v>106.0403333</v>
      </c>
      <c r="N7" s="147">
        <f t="shared" si="6"/>
        <v>106.0603333</v>
      </c>
    </row>
    <row r="8">
      <c r="A8" s="148">
        <v>46325.0</v>
      </c>
      <c r="B8" s="143">
        <f t="shared" si="1"/>
        <v>1053</v>
      </c>
      <c r="C8" s="144">
        <v>7.33</v>
      </c>
      <c r="D8" s="144">
        <v>100.213</v>
      </c>
      <c r="E8" s="144">
        <v>100.233</v>
      </c>
      <c r="F8" s="145">
        <v>12.0</v>
      </c>
      <c r="G8" s="146">
        <f t="shared" si="2"/>
        <v>8.894697396</v>
      </c>
      <c r="H8" s="145">
        <v>360.0</v>
      </c>
      <c r="I8" s="145">
        <f t="shared" si="3"/>
        <v>3.665</v>
      </c>
      <c r="J8" s="143">
        <f t="shared" si="4"/>
        <v>12.21666667</v>
      </c>
      <c r="K8" s="144">
        <v>100.213</v>
      </c>
      <c r="L8" s="144">
        <v>100.233</v>
      </c>
      <c r="M8" s="143">
        <f t="shared" si="5"/>
        <v>112.4296667</v>
      </c>
      <c r="N8" s="147">
        <f t="shared" si="6"/>
        <v>112.4496667</v>
      </c>
    </row>
    <row r="9">
      <c r="A9" s="148">
        <v>46853.0</v>
      </c>
      <c r="B9" s="143">
        <f t="shared" si="1"/>
        <v>1581</v>
      </c>
      <c r="C9" s="144">
        <v>7.06</v>
      </c>
      <c r="D9" s="144">
        <v>99.31</v>
      </c>
      <c r="E9" s="144">
        <v>99.35</v>
      </c>
      <c r="F9" s="145">
        <v>12.0</v>
      </c>
      <c r="G9" s="146">
        <f t="shared" si="2"/>
        <v>10.06620717</v>
      </c>
      <c r="H9" s="145">
        <v>360.0</v>
      </c>
      <c r="I9" s="145">
        <f t="shared" si="3"/>
        <v>3.53</v>
      </c>
      <c r="J9" s="143">
        <f t="shared" si="4"/>
        <v>11.76666667</v>
      </c>
      <c r="K9" s="144">
        <v>99.31</v>
      </c>
      <c r="L9" s="144">
        <v>99.35</v>
      </c>
      <c r="M9" s="143">
        <f t="shared" si="5"/>
        <v>111.0766667</v>
      </c>
      <c r="N9" s="147">
        <f t="shared" si="6"/>
        <v>111.1166667</v>
      </c>
    </row>
    <row r="10">
      <c r="A10" s="148">
        <v>47049.0</v>
      </c>
      <c r="B10" s="143">
        <f t="shared" si="1"/>
        <v>1777</v>
      </c>
      <c r="C10" s="144">
        <v>7.37</v>
      </c>
      <c r="D10" s="144">
        <v>100.5</v>
      </c>
      <c r="E10" s="144">
        <v>100.54</v>
      </c>
      <c r="F10" s="145">
        <v>12.0</v>
      </c>
      <c r="G10" s="146">
        <f t="shared" si="2"/>
        <v>9.188341319</v>
      </c>
      <c r="H10" s="145">
        <v>360.0</v>
      </c>
      <c r="I10" s="145">
        <f t="shared" si="3"/>
        <v>3.685</v>
      </c>
      <c r="J10" s="143">
        <f t="shared" si="4"/>
        <v>12.28333333</v>
      </c>
      <c r="K10" s="144">
        <v>100.5</v>
      </c>
      <c r="L10" s="144">
        <v>100.54</v>
      </c>
      <c r="M10" s="143">
        <f t="shared" si="5"/>
        <v>112.7833333</v>
      </c>
      <c r="N10" s="147">
        <f t="shared" si="6"/>
        <v>112.8233333</v>
      </c>
    </row>
    <row r="11">
      <c r="A11" s="148">
        <v>47590.0</v>
      </c>
      <c r="B11" s="143">
        <f t="shared" si="1"/>
        <v>2318</v>
      </c>
      <c r="C11" s="144">
        <v>7.17</v>
      </c>
      <c r="D11" s="144">
        <v>99.496</v>
      </c>
      <c r="E11" s="144">
        <v>99.536</v>
      </c>
      <c r="F11" s="145">
        <v>12.0</v>
      </c>
      <c r="G11" s="146">
        <f t="shared" si="2"/>
        <v>9.510777272</v>
      </c>
      <c r="H11" s="145">
        <v>360.0</v>
      </c>
      <c r="I11" s="145">
        <f t="shared" si="3"/>
        <v>3.585</v>
      </c>
      <c r="J11" s="143">
        <f t="shared" si="4"/>
        <v>11.95</v>
      </c>
      <c r="K11" s="144">
        <v>99.496</v>
      </c>
      <c r="L11" s="144">
        <v>99.536</v>
      </c>
      <c r="M11" s="143">
        <f t="shared" si="5"/>
        <v>111.446</v>
      </c>
      <c r="N11" s="147">
        <f t="shared" si="6"/>
        <v>111.486</v>
      </c>
    </row>
    <row r="12">
      <c r="A12" s="148">
        <v>47800.0</v>
      </c>
      <c r="B12" s="143">
        <f t="shared" si="1"/>
        <v>2528</v>
      </c>
      <c r="C12" s="144">
        <v>7.32</v>
      </c>
      <c r="D12" s="144">
        <v>100.208</v>
      </c>
      <c r="E12" s="144">
        <v>100.248</v>
      </c>
      <c r="F12" s="145">
        <v>12.0</v>
      </c>
      <c r="G12" s="146">
        <f t="shared" si="2"/>
        <v>8.612874096</v>
      </c>
      <c r="H12" s="145">
        <v>360.0</v>
      </c>
      <c r="I12" s="145">
        <f t="shared" si="3"/>
        <v>3.66</v>
      </c>
      <c r="J12" s="143">
        <f t="shared" si="4"/>
        <v>12.2</v>
      </c>
      <c r="K12" s="144">
        <v>100.208</v>
      </c>
      <c r="L12" s="144">
        <v>100.248</v>
      </c>
      <c r="M12" s="143">
        <f t="shared" si="5"/>
        <v>112.408</v>
      </c>
      <c r="N12" s="147">
        <f t="shared" si="6"/>
        <v>112.448</v>
      </c>
    </row>
    <row r="13">
      <c r="A13" s="148">
        <v>48230.0</v>
      </c>
      <c r="B13" s="143">
        <f t="shared" si="1"/>
        <v>2958</v>
      </c>
      <c r="C13" s="144">
        <v>6.54</v>
      </c>
      <c r="D13" s="144">
        <v>95.21</v>
      </c>
      <c r="E13" s="144">
        <v>95.26</v>
      </c>
      <c r="F13" s="145">
        <v>12.0</v>
      </c>
      <c r="G13" s="146">
        <f t="shared" si="2"/>
        <v>11.05258518</v>
      </c>
      <c r="H13" s="145">
        <v>360.0</v>
      </c>
      <c r="I13" s="145">
        <f t="shared" si="3"/>
        <v>3.27</v>
      </c>
      <c r="J13" s="143">
        <f t="shared" si="4"/>
        <v>10.9</v>
      </c>
      <c r="K13" s="144">
        <v>95.21</v>
      </c>
      <c r="L13" s="144">
        <v>95.26</v>
      </c>
      <c r="M13" s="143">
        <f t="shared" si="5"/>
        <v>106.11</v>
      </c>
      <c r="N13" s="147">
        <f t="shared" si="6"/>
        <v>106.16</v>
      </c>
    </row>
    <row r="14">
      <c r="A14" s="142">
        <v>48616.0</v>
      </c>
      <c r="B14" s="143">
        <f t="shared" si="1"/>
        <v>3344</v>
      </c>
      <c r="C14" s="144">
        <v>7.26</v>
      </c>
      <c r="D14" s="144">
        <v>99.584</v>
      </c>
      <c r="E14" s="144">
        <v>99.634</v>
      </c>
      <c r="F14" s="145">
        <v>12.0</v>
      </c>
      <c r="G14" s="146">
        <f t="shared" si="2"/>
        <v>15.07035645</v>
      </c>
      <c r="H14" s="145">
        <v>360.0</v>
      </c>
      <c r="I14" s="145">
        <f t="shared" si="3"/>
        <v>3.63</v>
      </c>
      <c r="J14" s="143">
        <f t="shared" si="4"/>
        <v>12.1</v>
      </c>
      <c r="K14" s="144">
        <v>99.584</v>
      </c>
      <c r="L14" s="144">
        <v>99.634</v>
      </c>
      <c r="M14" s="143">
        <f t="shared" si="5"/>
        <v>111.684</v>
      </c>
      <c r="N14" s="147">
        <f t="shared" si="6"/>
        <v>111.734</v>
      </c>
    </row>
    <row r="15">
      <c r="A15" s="148">
        <v>48805.0</v>
      </c>
      <c r="B15" s="143">
        <f t="shared" si="1"/>
        <v>3533</v>
      </c>
      <c r="C15" s="144">
        <v>7.18</v>
      </c>
      <c r="D15" s="144">
        <v>99.332</v>
      </c>
      <c r="E15" s="144">
        <v>99.382</v>
      </c>
      <c r="F15" s="145">
        <v>12.0</v>
      </c>
      <c r="G15" s="146">
        <f t="shared" si="2"/>
        <v>18.38678971</v>
      </c>
      <c r="H15" s="145">
        <v>360.0</v>
      </c>
      <c r="I15" s="145">
        <f t="shared" si="3"/>
        <v>3.59</v>
      </c>
      <c r="J15" s="143">
        <f t="shared" si="4"/>
        <v>11.96666667</v>
      </c>
      <c r="K15" s="144">
        <v>99.332</v>
      </c>
      <c r="L15" s="144">
        <v>99.382</v>
      </c>
      <c r="M15" s="143">
        <f t="shared" si="5"/>
        <v>111.2986667</v>
      </c>
      <c r="N15" s="147">
        <f t="shared" si="6"/>
        <v>111.3486667</v>
      </c>
    </row>
    <row r="16">
      <c r="A16" s="148">
        <v>49166.0</v>
      </c>
      <c r="B16" s="143">
        <f t="shared" si="1"/>
        <v>3894</v>
      </c>
      <c r="C16" s="144">
        <v>7.5</v>
      </c>
      <c r="D16" s="144">
        <v>100.954</v>
      </c>
      <c r="E16" s="144">
        <v>101.004</v>
      </c>
      <c r="F16" s="145">
        <v>12.0</v>
      </c>
      <c r="G16" s="146">
        <f t="shared" si="2"/>
        <v>16.64995479</v>
      </c>
      <c r="H16" s="145">
        <v>360.0</v>
      </c>
      <c r="I16" s="145">
        <f t="shared" si="3"/>
        <v>3.75</v>
      </c>
      <c r="J16" s="143">
        <f t="shared" si="4"/>
        <v>12.5</v>
      </c>
      <c r="K16" s="144">
        <v>100.954</v>
      </c>
      <c r="L16" s="144">
        <v>101.004</v>
      </c>
      <c r="M16" s="143">
        <f t="shared" si="5"/>
        <v>113.454</v>
      </c>
      <c r="N16" s="147">
        <f t="shared" si="6"/>
        <v>113.504</v>
      </c>
    </row>
    <row r="17">
      <c r="A17" s="149">
        <v>49818.0</v>
      </c>
      <c r="B17" s="143">
        <f t="shared" si="1"/>
        <v>4546</v>
      </c>
      <c r="C17" s="144">
        <v>7.54</v>
      </c>
      <c r="D17" s="144">
        <v>101.162</v>
      </c>
      <c r="E17" s="144">
        <v>101.212</v>
      </c>
      <c r="F17" s="145">
        <v>12.0</v>
      </c>
      <c r="G17" s="146">
        <f t="shared" si="2"/>
        <v>8.599408353</v>
      </c>
      <c r="H17" s="145">
        <v>360.0</v>
      </c>
      <c r="I17" s="145">
        <f t="shared" si="3"/>
        <v>3.77</v>
      </c>
      <c r="J17" s="143">
        <f t="shared" si="4"/>
        <v>12.56666667</v>
      </c>
      <c r="K17" s="144">
        <v>101.162</v>
      </c>
      <c r="L17" s="144">
        <v>101.212</v>
      </c>
      <c r="M17" s="143">
        <f t="shared" si="5"/>
        <v>113.7286667</v>
      </c>
      <c r="N17" s="147">
        <f t="shared" si="6"/>
        <v>113.7786667</v>
      </c>
    </row>
    <row r="18">
      <c r="A18" s="148">
        <v>50028.0</v>
      </c>
      <c r="B18" s="143">
        <f t="shared" si="1"/>
        <v>4756</v>
      </c>
      <c r="C18" s="144">
        <v>7.41</v>
      </c>
      <c r="D18" s="144">
        <v>100.402</v>
      </c>
      <c r="E18" s="144">
        <v>100.452</v>
      </c>
      <c r="F18" s="145">
        <v>12.0</v>
      </c>
      <c r="G18" s="146">
        <f t="shared" si="2"/>
        <v>9.13427779</v>
      </c>
      <c r="H18" s="145">
        <v>360.0</v>
      </c>
      <c r="I18" s="145">
        <f t="shared" si="3"/>
        <v>3.705</v>
      </c>
      <c r="J18" s="143">
        <f t="shared" si="4"/>
        <v>12.35</v>
      </c>
      <c r="K18" s="144">
        <v>100.402</v>
      </c>
      <c r="L18" s="144">
        <v>100.452</v>
      </c>
      <c r="M18" s="143">
        <f t="shared" si="5"/>
        <v>112.752</v>
      </c>
      <c r="N18" s="147">
        <f t="shared" si="6"/>
        <v>112.802</v>
      </c>
    </row>
    <row r="19">
      <c r="A19" s="148">
        <v>50245.0</v>
      </c>
      <c r="B19" s="143">
        <f t="shared" si="1"/>
        <v>4973</v>
      </c>
      <c r="C19" s="144">
        <v>7.18</v>
      </c>
      <c r="D19" s="144">
        <v>98.266</v>
      </c>
      <c r="E19" s="144">
        <v>98.316</v>
      </c>
      <c r="F19" s="145">
        <v>12.0</v>
      </c>
      <c r="G19" s="146">
        <f t="shared" si="2"/>
        <v>12.23485109</v>
      </c>
      <c r="H19" s="145">
        <v>360.0</v>
      </c>
      <c r="I19" s="145">
        <f t="shared" si="3"/>
        <v>3.59</v>
      </c>
      <c r="J19" s="143">
        <f t="shared" si="4"/>
        <v>11.96666667</v>
      </c>
      <c r="K19" s="144">
        <v>98.266</v>
      </c>
      <c r="L19" s="144">
        <v>98.316</v>
      </c>
      <c r="M19" s="143">
        <f t="shared" si="5"/>
        <v>110.2326667</v>
      </c>
      <c r="N19" s="147">
        <f t="shared" si="6"/>
        <v>110.2826667</v>
      </c>
    </row>
    <row r="20">
      <c r="A20" s="148">
        <v>50789.0</v>
      </c>
      <c r="B20" s="143">
        <f t="shared" si="1"/>
        <v>5517</v>
      </c>
      <c r="C20" s="144">
        <v>6.83</v>
      </c>
      <c r="D20" s="144">
        <v>94.718</v>
      </c>
      <c r="E20" s="144">
        <v>94.918</v>
      </c>
      <c r="F20" s="145">
        <v>12.0</v>
      </c>
      <c r="G20" s="146">
        <f t="shared" si="2"/>
        <v>11.38486296</v>
      </c>
      <c r="H20" s="145">
        <v>360.0</v>
      </c>
      <c r="I20" s="145">
        <f t="shared" si="3"/>
        <v>3.415</v>
      </c>
      <c r="J20" s="143">
        <f t="shared" si="4"/>
        <v>11.38333333</v>
      </c>
      <c r="K20" s="144">
        <v>94.718</v>
      </c>
      <c r="L20" s="144">
        <v>94.918</v>
      </c>
      <c r="M20" s="143">
        <f t="shared" si="5"/>
        <v>106.1013333</v>
      </c>
      <c r="N20" s="147">
        <f t="shared" si="6"/>
        <v>106.3013333</v>
      </c>
    </row>
    <row r="21">
      <c r="A21" s="148">
        <v>52231.0</v>
      </c>
      <c r="B21" s="143">
        <f t="shared" si="1"/>
        <v>6959</v>
      </c>
      <c r="C21" s="144">
        <v>8.3</v>
      </c>
      <c r="D21" s="144">
        <v>108.93</v>
      </c>
      <c r="E21" s="144">
        <v>109.13</v>
      </c>
      <c r="F21" s="145">
        <v>12.0</v>
      </c>
      <c r="G21" s="146">
        <f t="shared" si="2"/>
        <v>9.833769579</v>
      </c>
      <c r="H21" s="145">
        <v>360.0</v>
      </c>
      <c r="I21" s="145">
        <f t="shared" si="3"/>
        <v>4.15</v>
      </c>
      <c r="J21" s="143">
        <f t="shared" si="4"/>
        <v>13.83333333</v>
      </c>
      <c r="K21" s="144">
        <v>108.93</v>
      </c>
      <c r="L21" s="144">
        <v>109.13</v>
      </c>
      <c r="M21" s="143">
        <f t="shared" si="5"/>
        <v>122.7633333</v>
      </c>
      <c r="N21" s="147">
        <f t="shared" si="6"/>
        <v>122.9633333</v>
      </c>
    </row>
    <row r="22">
      <c r="A22" s="148">
        <v>53610.0</v>
      </c>
      <c r="B22" s="143">
        <f t="shared" si="1"/>
        <v>8338</v>
      </c>
      <c r="C22" s="144">
        <v>7.06</v>
      </c>
      <c r="D22" s="144">
        <v>95.518</v>
      </c>
      <c r="E22" s="144">
        <v>95.718</v>
      </c>
      <c r="F22" s="145">
        <v>12.0</v>
      </c>
      <c r="G22" s="146">
        <f t="shared" si="2"/>
        <v>10.06620714</v>
      </c>
      <c r="H22" s="145">
        <v>360.0</v>
      </c>
      <c r="I22" s="145">
        <f t="shared" si="3"/>
        <v>3.53</v>
      </c>
      <c r="J22" s="143">
        <f t="shared" si="4"/>
        <v>11.76666667</v>
      </c>
      <c r="K22" s="144">
        <v>95.518</v>
      </c>
      <c r="L22" s="144">
        <v>95.718</v>
      </c>
      <c r="M22" s="143">
        <f t="shared" si="5"/>
        <v>107.2846667</v>
      </c>
      <c r="N22" s="147">
        <f t="shared" si="6"/>
        <v>107.4846667</v>
      </c>
    </row>
    <row r="23">
      <c r="A23" s="148">
        <v>56054.0</v>
      </c>
      <c r="B23" s="143">
        <f t="shared" si="1"/>
        <v>10782</v>
      </c>
      <c r="C23" s="144">
        <v>7.3</v>
      </c>
      <c r="D23" s="144">
        <v>97.826</v>
      </c>
      <c r="E23" s="144">
        <v>97.926</v>
      </c>
      <c r="F23" s="145">
        <v>12.0</v>
      </c>
      <c r="G23" s="146">
        <f t="shared" si="2"/>
        <v>9.119132706</v>
      </c>
      <c r="H23" s="145">
        <v>360.0</v>
      </c>
      <c r="I23" s="145">
        <f t="shared" si="3"/>
        <v>3.65</v>
      </c>
      <c r="J23" s="143">
        <f t="shared" si="4"/>
        <v>12.16666667</v>
      </c>
      <c r="K23" s="144">
        <v>97.826</v>
      </c>
      <c r="L23" s="144">
        <v>97.926</v>
      </c>
      <c r="M23" s="143">
        <f t="shared" si="5"/>
        <v>109.9926667</v>
      </c>
      <c r="N23" s="147">
        <f t="shared" si="6"/>
        <v>110.0926667</v>
      </c>
    </row>
    <row r="24">
      <c r="A24" s="148">
        <v>59699.0</v>
      </c>
      <c r="B24" s="143">
        <f t="shared" si="1"/>
        <v>14427</v>
      </c>
      <c r="C24" s="144">
        <v>7.25</v>
      </c>
      <c r="D24" s="144">
        <v>96.97</v>
      </c>
      <c r="E24" s="144">
        <v>97.07</v>
      </c>
      <c r="F24" s="145">
        <v>12.0</v>
      </c>
      <c r="G24" s="146">
        <f t="shared" si="2"/>
        <v>8.866967802</v>
      </c>
      <c r="H24" s="145">
        <v>360.0</v>
      </c>
      <c r="I24" s="145">
        <f t="shared" si="3"/>
        <v>3.625</v>
      </c>
      <c r="J24" s="143">
        <f t="shared" si="4"/>
        <v>12.08333333</v>
      </c>
      <c r="K24" s="144">
        <v>96.97</v>
      </c>
      <c r="L24" s="144">
        <v>97.07</v>
      </c>
      <c r="M24" s="143">
        <f t="shared" si="5"/>
        <v>109.0533333</v>
      </c>
      <c r="N24" s="147">
        <f t="shared" si="6"/>
        <v>109.1533333</v>
      </c>
    </row>
    <row r="27">
      <c r="A27" s="150" t="s">
        <v>74</v>
      </c>
      <c r="B27" s="151"/>
      <c r="C27" s="151"/>
    </row>
    <row r="29">
      <c r="B29" s="152" t="s">
        <v>29</v>
      </c>
      <c r="C29" s="153">
        <v>45358.0</v>
      </c>
      <c r="D29" s="153">
        <v>45449.0</v>
      </c>
      <c r="E29" s="154">
        <v>45673.0</v>
      </c>
      <c r="F29" s="154">
        <v>46124.0</v>
      </c>
      <c r="G29" s="154">
        <v>46325.0</v>
      </c>
      <c r="H29" s="154">
        <v>46853.0</v>
      </c>
      <c r="I29" s="154">
        <v>47049.0</v>
      </c>
      <c r="J29" s="154">
        <v>47590.0</v>
      </c>
      <c r="K29" s="154">
        <v>47800.0</v>
      </c>
      <c r="L29" s="154">
        <v>48230.0</v>
      </c>
      <c r="M29" s="153">
        <v>48616.0</v>
      </c>
      <c r="N29" s="154">
        <v>48805.0</v>
      </c>
      <c r="O29" s="154">
        <v>49166.0</v>
      </c>
      <c r="P29" s="155">
        <v>49818.0</v>
      </c>
      <c r="Q29" s="154">
        <v>50028.0</v>
      </c>
      <c r="R29" s="154">
        <v>50245.0</v>
      </c>
      <c r="S29" s="154">
        <v>50789.0</v>
      </c>
      <c r="T29" s="154">
        <v>52231.0</v>
      </c>
      <c r="U29" s="154">
        <v>53610.0</v>
      </c>
      <c r="V29" s="156">
        <v>56054.0</v>
      </c>
      <c r="W29" s="156">
        <v>59699.0</v>
      </c>
    </row>
    <row r="30">
      <c r="B30" s="157">
        <v>45358.0</v>
      </c>
      <c r="C30" s="158">
        <f>100+(100*I4)</f>
        <v>100</v>
      </c>
      <c r="D30" s="159">
        <v>0.0</v>
      </c>
      <c r="E30" s="159">
        <v>0.0</v>
      </c>
      <c r="F30" s="159">
        <v>0.0</v>
      </c>
      <c r="G30" s="159">
        <v>0.0</v>
      </c>
      <c r="H30" s="159">
        <v>0.0</v>
      </c>
      <c r="I30" s="159">
        <v>0.0</v>
      </c>
      <c r="J30" s="159">
        <v>0.0</v>
      </c>
      <c r="K30" s="159">
        <v>0.0</v>
      </c>
      <c r="L30" s="159">
        <v>0.0</v>
      </c>
      <c r="M30" s="159">
        <v>0.0</v>
      </c>
      <c r="N30" s="159">
        <v>0.0</v>
      </c>
      <c r="O30" s="159">
        <v>0.0</v>
      </c>
      <c r="P30" s="159">
        <v>0.0</v>
      </c>
      <c r="Q30" s="159">
        <v>0.0</v>
      </c>
      <c r="R30" s="159">
        <v>0.0</v>
      </c>
      <c r="S30" s="159">
        <v>0.0</v>
      </c>
      <c r="T30" s="159">
        <v>0.0</v>
      </c>
      <c r="U30" s="159">
        <v>0.0</v>
      </c>
      <c r="V30" s="159">
        <v>0.0</v>
      </c>
      <c r="W30" s="159">
        <v>0.0</v>
      </c>
    </row>
    <row r="31">
      <c r="B31" s="160">
        <v>45449.0</v>
      </c>
      <c r="C31" s="161">
        <f t="shared" ref="C31:C50" si="7">I5</f>
        <v>0</v>
      </c>
      <c r="D31" s="159">
        <v>100.0</v>
      </c>
      <c r="E31" s="159">
        <v>0.0</v>
      </c>
      <c r="F31" s="159">
        <v>0.0</v>
      </c>
      <c r="G31" s="159">
        <v>0.0</v>
      </c>
      <c r="H31" s="159">
        <v>0.0</v>
      </c>
      <c r="I31" s="159">
        <v>0.0</v>
      </c>
      <c r="J31" s="159">
        <v>0.0</v>
      </c>
      <c r="K31" s="159">
        <v>0.0</v>
      </c>
      <c r="L31" s="159">
        <v>0.0</v>
      </c>
      <c r="M31" s="159">
        <v>0.0</v>
      </c>
      <c r="N31" s="159">
        <v>0.0</v>
      </c>
      <c r="O31" s="159">
        <v>0.0</v>
      </c>
      <c r="P31" s="159">
        <v>0.0</v>
      </c>
      <c r="Q31" s="159">
        <v>0.0</v>
      </c>
      <c r="R31" s="159">
        <v>0.0</v>
      </c>
      <c r="S31" s="159">
        <v>0.0</v>
      </c>
      <c r="T31" s="159">
        <v>0.0</v>
      </c>
      <c r="U31" s="159">
        <v>0.0</v>
      </c>
      <c r="V31" s="159">
        <v>0.0</v>
      </c>
      <c r="W31" s="159">
        <v>0.0</v>
      </c>
    </row>
    <row r="32">
      <c r="B32" s="162">
        <v>45673.0</v>
      </c>
      <c r="C32" s="161">
        <f t="shared" si="7"/>
        <v>3.445</v>
      </c>
      <c r="D32" s="158">
        <f t="shared" ref="D32:D50" si="8">I6</f>
        <v>3.445</v>
      </c>
      <c r="E32" s="161">
        <f>100+D32</f>
        <v>103.445</v>
      </c>
      <c r="F32" s="159">
        <v>0.0</v>
      </c>
      <c r="G32" s="159">
        <v>0.0</v>
      </c>
      <c r="H32" s="159">
        <v>0.0</v>
      </c>
      <c r="I32" s="159">
        <v>0.0</v>
      </c>
      <c r="J32" s="159">
        <v>0.0</v>
      </c>
      <c r="K32" s="159">
        <v>0.0</v>
      </c>
      <c r="L32" s="159">
        <v>0.0</v>
      </c>
      <c r="M32" s="159">
        <v>0.0</v>
      </c>
      <c r="N32" s="159">
        <v>0.0</v>
      </c>
      <c r="O32" s="159">
        <v>0.0</v>
      </c>
      <c r="P32" s="159">
        <v>0.0</v>
      </c>
      <c r="Q32" s="159">
        <v>0.0</v>
      </c>
      <c r="R32" s="159">
        <v>0.0</v>
      </c>
      <c r="S32" s="159">
        <v>0.0</v>
      </c>
      <c r="T32" s="159">
        <v>0.0</v>
      </c>
      <c r="U32" s="159">
        <v>0.0</v>
      </c>
      <c r="V32" s="159">
        <v>0.0</v>
      </c>
      <c r="W32" s="159">
        <v>0.0</v>
      </c>
    </row>
    <row r="33">
      <c r="B33" s="162">
        <v>46124.0</v>
      </c>
      <c r="C33" s="161">
        <f t="shared" si="7"/>
        <v>2.815</v>
      </c>
      <c r="D33" s="158">
        <f t="shared" si="8"/>
        <v>2.815</v>
      </c>
      <c r="E33" s="158">
        <f t="shared" ref="E33:E50" si="9">I7</f>
        <v>2.815</v>
      </c>
      <c r="F33" s="161">
        <f>100+E33</f>
        <v>102.815</v>
      </c>
      <c r="G33" s="159">
        <v>0.0</v>
      </c>
      <c r="H33" s="159">
        <v>0.0</v>
      </c>
      <c r="I33" s="159">
        <v>0.0</v>
      </c>
      <c r="J33" s="159">
        <v>0.0</v>
      </c>
      <c r="K33" s="159">
        <v>0.0</v>
      </c>
      <c r="L33" s="159">
        <v>0.0</v>
      </c>
      <c r="M33" s="159">
        <v>0.0</v>
      </c>
      <c r="N33" s="159">
        <v>0.0</v>
      </c>
      <c r="O33" s="159">
        <v>0.0</v>
      </c>
      <c r="P33" s="159">
        <v>0.0</v>
      </c>
      <c r="Q33" s="159">
        <v>0.0</v>
      </c>
      <c r="R33" s="159">
        <v>0.0</v>
      </c>
      <c r="S33" s="159">
        <v>0.0</v>
      </c>
      <c r="T33" s="159">
        <v>0.0</v>
      </c>
      <c r="U33" s="159">
        <v>0.0</v>
      </c>
      <c r="V33" s="159">
        <v>0.0</v>
      </c>
      <c r="W33" s="159">
        <v>0.0</v>
      </c>
    </row>
    <row r="34">
      <c r="B34" s="162">
        <v>46325.0</v>
      </c>
      <c r="C34" s="161">
        <f t="shared" si="7"/>
        <v>3.665</v>
      </c>
      <c r="D34" s="158">
        <f t="shared" si="8"/>
        <v>3.665</v>
      </c>
      <c r="E34" s="158">
        <f t="shared" si="9"/>
        <v>3.665</v>
      </c>
      <c r="F34" s="158">
        <f t="shared" ref="F34:F50" si="10">I8</f>
        <v>3.665</v>
      </c>
      <c r="G34" s="161">
        <f>100+F34</f>
        <v>103.665</v>
      </c>
      <c r="H34" s="159">
        <v>0.0</v>
      </c>
      <c r="I34" s="159">
        <v>0.0</v>
      </c>
      <c r="J34" s="159">
        <v>0.0</v>
      </c>
      <c r="K34" s="159">
        <v>0.0</v>
      </c>
      <c r="L34" s="159">
        <v>0.0</v>
      </c>
      <c r="M34" s="159">
        <v>0.0</v>
      </c>
      <c r="N34" s="159">
        <v>0.0</v>
      </c>
      <c r="O34" s="159">
        <v>0.0</v>
      </c>
      <c r="P34" s="159">
        <v>0.0</v>
      </c>
      <c r="Q34" s="159">
        <v>0.0</v>
      </c>
      <c r="R34" s="159">
        <v>0.0</v>
      </c>
      <c r="S34" s="159">
        <v>0.0</v>
      </c>
      <c r="T34" s="159">
        <v>0.0</v>
      </c>
      <c r="U34" s="159">
        <v>0.0</v>
      </c>
      <c r="V34" s="159">
        <v>0.0</v>
      </c>
      <c r="W34" s="159">
        <v>0.0</v>
      </c>
    </row>
    <row r="35">
      <c r="B35" s="162">
        <v>46853.0</v>
      </c>
      <c r="C35" s="161">
        <f t="shared" si="7"/>
        <v>3.53</v>
      </c>
      <c r="D35" s="158">
        <f t="shared" si="8"/>
        <v>3.53</v>
      </c>
      <c r="E35" s="158">
        <f t="shared" si="9"/>
        <v>3.53</v>
      </c>
      <c r="F35" s="158">
        <f t="shared" si="10"/>
        <v>3.53</v>
      </c>
      <c r="G35" s="158">
        <f t="shared" ref="G35:G50" si="11">I9</f>
        <v>3.53</v>
      </c>
      <c r="H35" s="161">
        <f>100+G35</f>
        <v>103.53</v>
      </c>
      <c r="I35" s="159">
        <v>0.0</v>
      </c>
      <c r="J35" s="159">
        <v>0.0</v>
      </c>
      <c r="K35" s="159">
        <v>0.0</v>
      </c>
      <c r="L35" s="159">
        <v>0.0</v>
      </c>
      <c r="M35" s="159">
        <v>0.0</v>
      </c>
      <c r="N35" s="159">
        <v>0.0</v>
      </c>
      <c r="O35" s="159">
        <v>0.0</v>
      </c>
      <c r="P35" s="159">
        <v>0.0</v>
      </c>
      <c r="Q35" s="159">
        <v>0.0</v>
      </c>
      <c r="R35" s="159">
        <v>0.0</v>
      </c>
      <c r="S35" s="159">
        <v>0.0</v>
      </c>
      <c r="T35" s="159">
        <v>0.0</v>
      </c>
      <c r="U35" s="159">
        <v>0.0</v>
      </c>
      <c r="V35" s="159">
        <v>0.0</v>
      </c>
      <c r="W35" s="159">
        <v>0.0</v>
      </c>
    </row>
    <row r="36">
      <c r="B36" s="162">
        <v>47049.0</v>
      </c>
      <c r="C36" s="161">
        <f t="shared" si="7"/>
        <v>3.685</v>
      </c>
      <c r="D36" s="158">
        <f t="shared" si="8"/>
        <v>3.685</v>
      </c>
      <c r="E36" s="158">
        <f t="shared" si="9"/>
        <v>3.685</v>
      </c>
      <c r="F36" s="158">
        <f t="shared" si="10"/>
        <v>3.685</v>
      </c>
      <c r="G36" s="158">
        <f t="shared" si="11"/>
        <v>3.685</v>
      </c>
      <c r="H36" s="158">
        <f t="shared" ref="H36:H50" si="12">I10</f>
        <v>3.685</v>
      </c>
      <c r="I36" s="161">
        <f>100+H36</f>
        <v>103.685</v>
      </c>
      <c r="J36" s="159">
        <v>0.0</v>
      </c>
      <c r="K36" s="159">
        <v>0.0</v>
      </c>
      <c r="L36" s="159">
        <v>0.0</v>
      </c>
      <c r="M36" s="159">
        <v>0.0</v>
      </c>
      <c r="N36" s="159">
        <v>0.0</v>
      </c>
      <c r="O36" s="159">
        <v>0.0</v>
      </c>
      <c r="P36" s="159">
        <v>0.0</v>
      </c>
      <c r="Q36" s="159">
        <v>0.0</v>
      </c>
      <c r="R36" s="159">
        <v>0.0</v>
      </c>
      <c r="S36" s="159">
        <v>0.0</v>
      </c>
      <c r="T36" s="159">
        <v>0.0</v>
      </c>
      <c r="U36" s="159">
        <v>0.0</v>
      </c>
      <c r="V36" s="159">
        <v>0.0</v>
      </c>
      <c r="W36" s="159">
        <v>0.0</v>
      </c>
    </row>
    <row r="37">
      <c r="B37" s="162">
        <v>47590.0</v>
      </c>
      <c r="C37" s="161">
        <f t="shared" si="7"/>
        <v>3.585</v>
      </c>
      <c r="D37" s="158">
        <f t="shared" si="8"/>
        <v>3.585</v>
      </c>
      <c r="E37" s="158">
        <f t="shared" si="9"/>
        <v>3.585</v>
      </c>
      <c r="F37" s="158">
        <f t="shared" si="10"/>
        <v>3.585</v>
      </c>
      <c r="G37" s="158">
        <f t="shared" si="11"/>
        <v>3.585</v>
      </c>
      <c r="H37" s="158">
        <f t="shared" si="12"/>
        <v>3.585</v>
      </c>
      <c r="I37" s="158">
        <f t="shared" ref="I37:I50" si="13">I11</f>
        <v>3.585</v>
      </c>
      <c r="J37" s="161">
        <f>100+I37</f>
        <v>103.585</v>
      </c>
      <c r="K37" s="159">
        <v>0.0</v>
      </c>
      <c r="L37" s="159">
        <v>0.0</v>
      </c>
      <c r="M37" s="159">
        <v>0.0</v>
      </c>
      <c r="N37" s="159">
        <v>0.0</v>
      </c>
      <c r="O37" s="159">
        <v>0.0</v>
      </c>
      <c r="P37" s="159">
        <v>0.0</v>
      </c>
      <c r="Q37" s="159">
        <v>0.0</v>
      </c>
      <c r="R37" s="159">
        <v>0.0</v>
      </c>
      <c r="S37" s="159">
        <v>0.0</v>
      </c>
      <c r="T37" s="159">
        <v>0.0</v>
      </c>
      <c r="U37" s="159">
        <v>0.0</v>
      </c>
      <c r="V37" s="159">
        <v>0.0</v>
      </c>
      <c r="W37" s="159">
        <v>0.0</v>
      </c>
    </row>
    <row r="38">
      <c r="B38" s="162">
        <v>47800.0</v>
      </c>
      <c r="C38" s="161">
        <f t="shared" si="7"/>
        <v>3.66</v>
      </c>
      <c r="D38" s="158">
        <f t="shared" si="8"/>
        <v>3.66</v>
      </c>
      <c r="E38" s="158">
        <f t="shared" si="9"/>
        <v>3.66</v>
      </c>
      <c r="F38" s="158">
        <f t="shared" si="10"/>
        <v>3.66</v>
      </c>
      <c r="G38" s="158">
        <f t="shared" si="11"/>
        <v>3.66</v>
      </c>
      <c r="H38" s="158">
        <f t="shared" si="12"/>
        <v>3.66</v>
      </c>
      <c r="I38" s="158">
        <f t="shared" si="13"/>
        <v>3.66</v>
      </c>
      <c r="J38" s="158">
        <f t="shared" ref="J38:J50" si="14">I12</f>
        <v>3.66</v>
      </c>
      <c r="K38" s="161">
        <f>100+J38</f>
        <v>103.66</v>
      </c>
      <c r="L38" s="159">
        <v>0.0</v>
      </c>
      <c r="M38" s="159">
        <v>0.0</v>
      </c>
      <c r="N38" s="159">
        <v>0.0</v>
      </c>
      <c r="O38" s="159">
        <v>0.0</v>
      </c>
      <c r="P38" s="159">
        <v>0.0</v>
      </c>
      <c r="Q38" s="159">
        <v>0.0</v>
      </c>
      <c r="R38" s="159">
        <v>0.0</v>
      </c>
      <c r="S38" s="159">
        <v>0.0</v>
      </c>
      <c r="T38" s="159">
        <v>0.0</v>
      </c>
      <c r="U38" s="159">
        <v>0.0</v>
      </c>
      <c r="V38" s="159">
        <v>0.0</v>
      </c>
      <c r="W38" s="159">
        <v>0.0</v>
      </c>
    </row>
    <row r="39">
      <c r="B39" s="162">
        <v>48230.0</v>
      </c>
      <c r="C39" s="161">
        <f t="shared" si="7"/>
        <v>3.27</v>
      </c>
      <c r="D39" s="158">
        <f t="shared" si="8"/>
        <v>3.27</v>
      </c>
      <c r="E39" s="158">
        <f t="shared" si="9"/>
        <v>3.27</v>
      </c>
      <c r="F39" s="158">
        <f t="shared" si="10"/>
        <v>3.27</v>
      </c>
      <c r="G39" s="158">
        <f t="shared" si="11"/>
        <v>3.27</v>
      </c>
      <c r="H39" s="158">
        <f t="shared" si="12"/>
        <v>3.27</v>
      </c>
      <c r="I39" s="158">
        <f t="shared" si="13"/>
        <v>3.27</v>
      </c>
      <c r="J39" s="158">
        <f t="shared" si="14"/>
        <v>3.27</v>
      </c>
      <c r="K39" s="158">
        <f t="shared" ref="K39:K50" si="15">I13</f>
        <v>3.27</v>
      </c>
      <c r="L39" s="161">
        <f>100+K39</f>
        <v>103.27</v>
      </c>
      <c r="M39" s="159">
        <v>0.0</v>
      </c>
      <c r="N39" s="159">
        <v>0.0</v>
      </c>
      <c r="O39" s="159">
        <v>0.0</v>
      </c>
      <c r="P39" s="159">
        <v>0.0</v>
      </c>
      <c r="Q39" s="159">
        <v>0.0</v>
      </c>
      <c r="R39" s="159">
        <v>0.0</v>
      </c>
      <c r="S39" s="159">
        <v>0.0</v>
      </c>
      <c r="T39" s="159">
        <v>0.0</v>
      </c>
      <c r="U39" s="159">
        <v>0.0</v>
      </c>
      <c r="V39" s="159">
        <v>0.0</v>
      </c>
      <c r="W39" s="159">
        <v>0.0</v>
      </c>
    </row>
    <row r="40">
      <c r="B40" s="160">
        <v>48616.0</v>
      </c>
      <c r="C40" s="161">
        <f t="shared" si="7"/>
        <v>3.63</v>
      </c>
      <c r="D40" s="158">
        <f t="shared" si="8"/>
        <v>3.63</v>
      </c>
      <c r="E40" s="158">
        <f t="shared" si="9"/>
        <v>3.63</v>
      </c>
      <c r="F40" s="158">
        <f t="shared" si="10"/>
        <v>3.63</v>
      </c>
      <c r="G40" s="158">
        <f t="shared" si="11"/>
        <v>3.63</v>
      </c>
      <c r="H40" s="158">
        <f t="shared" si="12"/>
        <v>3.63</v>
      </c>
      <c r="I40" s="158">
        <f t="shared" si="13"/>
        <v>3.63</v>
      </c>
      <c r="J40" s="158">
        <f t="shared" si="14"/>
        <v>3.63</v>
      </c>
      <c r="K40" s="158">
        <f t="shared" si="15"/>
        <v>3.63</v>
      </c>
      <c r="L40" s="158">
        <f t="shared" ref="L40:L50" si="16">I14</f>
        <v>3.63</v>
      </c>
      <c r="M40" s="161">
        <f>100+L40</f>
        <v>103.63</v>
      </c>
      <c r="N40" s="159">
        <v>0.0</v>
      </c>
      <c r="O40" s="159">
        <v>0.0</v>
      </c>
      <c r="P40" s="159">
        <v>0.0</v>
      </c>
      <c r="Q40" s="159">
        <v>0.0</v>
      </c>
      <c r="R40" s="159">
        <v>0.0</v>
      </c>
      <c r="S40" s="159">
        <v>0.0</v>
      </c>
      <c r="T40" s="159">
        <v>0.0</v>
      </c>
      <c r="U40" s="159">
        <v>0.0</v>
      </c>
      <c r="V40" s="159">
        <v>0.0</v>
      </c>
      <c r="W40" s="159">
        <v>0.0</v>
      </c>
    </row>
    <row r="41">
      <c r="B41" s="162">
        <v>48805.0</v>
      </c>
      <c r="C41" s="161">
        <f t="shared" si="7"/>
        <v>3.59</v>
      </c>
      <c r="D41" s="158">
        <f t="shared" si="8"/>
        <v>3.59</v>
      </c>
      <c r="E41" s="158">
        <f t="shared" si="9"/>
        <v>3.59</v>
      </c>
      <c r="F41" s="158">
        <f t="shared" si="10"/>
        <v>3.59</v>
      </c>
      <c r="G41" s="158">
        <f t="shared" si="11"/>
        <v>3.59</v>
      </c>
      <c r="H41" s="158">
        <f t="shared" si="12"/>
        <v>3.59</v>
      </c>
      <c r="I41" s="158">
        <f t="shared" si="13"/>
        <v>3.59</v>
      </c>
      <c r="J41" s="158">
        <f t="shared" si="14"/>
        <v>3.59</v>
      </c>
      <c r="K41" s="158">
        <f t="shared" si="15"/>
        <v>3.59</v>
      </c>
      <c r="L41" s="158">
        <f t="shared" si="16"/>
        <v>3.59</v>
      </c>
      <c r="M41" s="158">
        <f t="shared" ref="M41:M50" si="17">I15</f>
        <v>3.59</v>
      </c>
      <c r="N41" s="161">
        <f>100+M41</f>
        <v>103.59</v>
      </c>
      <c r="O41" s="159">
        <v>0.0</v>
      </c>
      <c r="P41" s="159">
        <v>0.0</v>
      </c>
      <c r="Q41" s="159">
        <v>0.0</v>
      </c>
      <c r="R41" s="159">
        <v>0.0</v>
      </c>
      <c r="S41" s="159">
        <v>0.0</v>
      </c>
      <c r="T41" s="159">
        <v>0.0</v>
      </c>
      <c r="U41" s="159">
        <v>0.0</v>
      </c>
      <c r="V41" s="159">
        <v>0.0</v>
      </c>
      <c r="W41" s="159">
        <v>0.0</v>
      </c>
    </row>
    <row r="42">
      <c r="B42" s="162">
        <v>49166.0</v>
      </c>
      <c r="C42" s="161">
        <f t="shared" si="7"/>
        <v>3.75</v>
      </c>
      <c r="D42" s="158">
        <f t="shared" si="8"/>
        <v>3.75</v>
      </c>
      <c r="E42" s="158">
        <f t="shared" si="9"/>
        <v>3.75</v>
      </c>
      <c r="F42" s="158">
        <f t="shared" si="10"/>
        <v>3.75</v>
      </c>
      <c r="G42" s="158">
        <f t="shared" si="11"/>
        <v>3.75</v>
      </c>
      <c r="H42" s="158">
        <f t="shared" si="12"/>
        <v>3.75</v>
      </c>
      <c r="I42" s="158">
        <f t="shared" si="13"/>
        <v>3.75</v>
      </c>
      <c r="J42" s="158">
        <f t="shared" si="14"/>
        <v>3.75</v>
      </c>
      <c r="K42" s="158">
        <f t="shared" si="15"/>
        <v>3.75</v>
      </c>
      <c r="L42" s="158">
        <f t="shared" si="16"/>
        <v>3.75</v>
      </c>
      <c r="M42" s="158">
        <f t="shared" si="17"/>
        <v>3.75</v>
      </c>
      <c r="N42" s="158">
        <f t="shared" ref="N42:N50" si="18">I16</f>
        <v>3.75</v>
      </c>
      <c r="O42" s="161">
        <f>100+N42</f>
        <v>103.75</v>
      </c>
      <c r="P42" s="159">
        <v>0.0</v>
      </c>
      <c r="Q42" s="159">
        <v>0.0</v>
      </c>
      <c r="R42" s="159">
        <v>0.0</v>
      </c>
      <c r="S42" s="159">
        <v>0.0</v>
      </c>
      <c r="T42" s="159">
        <v>0.0</v>
      </c>
      <c r="U42" s="159">
        <v>0.0</v>
      </c>
      <c r="V42" s="159">
        <v>0.0</v>
      </c>
      <c r="W42" s="159">
        <v>0.0</v>
      </c>
    </row>
    <row r="43">
      <c r="B43" s="163">
        <v>49818.0</v>
      </c>
      <c r="C43" s="161">
        <f t="shared" si="7"/>
        <v>3.77</v>
      </c>
      <c r="D43" s="158">
        <f t="shared" si="8"/>
        <v>3.77</v>
      </c>
      <c r="E43" s="158">
        <f t="shared" si="9"/>
        <v>3.77</v>
      </c>
      <c r="F43" s="158">
        <f t="shared" si="10"/>
        <v>3.77</v>
      </c>
      <c r="G43" s="158">
        <f t="shared" si="11"/>
        <v>3.77</v>
      </c>
      <c r="H43" s="158">
        <f t="shared" si="12"/>
        <v>3.77</v>
      </c>
      <c r="I43" s="158">
        <f t="shared" si="13"/>
        <v>3.77</v>
      </c>
      <c r="J43" s="158">
        <f t="shared" si="14"/>
        <v>3.77</v>
      </c>
      <c r="K43" s="158">
        <f t="shared" si="15"/>
        <v>3.77</v>
      </c>
      <c r="L43" s="158">
        <f t="shared" si="16"/>
        <v>3.77</v>
      </c>
      <c r="M43" s="158">
        <f t="shared" si="17"/>
        <v>3.77</v>
      </c>
      <c r="N43" s="158">
        <f t="shared" si="18"/>
        <v>3.77</v>
      </c>
      <c r="O43" s="158">
        <f t="shared" ref="O43:O50" si="19">I17</f>
        <v>3.77</v>
      </c>
      <c r="P43" s="161">
        <f>100+O43</f>
        <v>103.77</v>
      </c>
      <c r="Q43" s="159">
        <v>0.0</v>
      </c>
      <c r="R43" s="159">
        <v>0.0</v>
      </c>
      <c r="S43" s="159">
        <v>0.0</v>
      </c>
      <c r="T43" s="159">
        <v>0.0</v>
      </c>
      <c r="U43" s="159">
        <v>0.0</v>
      </c>
      <c r="V43" s="159">
        <v>0.0</v>
      </c>
      <c r="W43" s="159">
        <v>0.0</v>
      </c>
    </row>
    <row r="44">
      <c r="B44" s="162">
        <v>50028.0</v>
      </c>
      <c r="C44" s="161">
        <f t="shared" si="7"/>
        <v>3.705</v>
      </c>
      <c r="D44" s="158">
        <f t="shared" si="8"/>
        <v>3.705</v>
      </c>
      <c r="E44" s="158">
        <f t="shared" si="9"/>
        <v>3.705</v>
      </c>
      <c r="F44" s="158">
        <f t="shared" si="10"/>
        <v>3.705</v>
      </c>
      <c r="G44" s="158">
        <f t="shared" si="11"/>
        <v>3.705</v>
      </c>
      <c r="H44" s="158">
        <f t="shared" si="12"/>
        <v>3.705</v>
      </c>
      <c r="I44" s="158">
        <f t="shared" si="13"/>
        <v>3.705</v>
      </c>
      <c r="J44" s="158">
        <f t="shared" si="14"/>
        <v>3.705</v>
      </c>
      <c r="K44" s="158">
        <f t="shared" si="15"/>
        <v>3.705</v>
      </c>
      <c r="L44" s="158">
        <f t="shared" si="16"/>
        <v>3.705</v>
      </c>
      <c r="M44" s="158">
        <f t="shared" si="17"/>
        <v>3.705</v>
      </c>
      <c r="N44" s="158">
        <f t="shared" si="18"/>
        <v>3.705</v>
      </c>
      <c r="O44" s="158">
        <f t="shared" si="19"/>
        <v>3.705</v>
      </c>
      <c r="P44" s="158">
        <f t="shared" ref="P44:P50" si="20">I18</f>
        <v>3.705</v>
      </c>
      <c r="Q44" s="161">
        <f>100+P44</f>
        <v>103.705</v>
      </c>
      <c r="R44" s="159">
        <v>0.0</v>
      </c>
      <c r="S44" s="159">
        <v>0.0</v>
      </c>
      <c r="T44" s="159">
        <v>0.0</v>
      </c>
      <c r="U44" s="159">
        <v>0.0</v>
      </c>
      <c r="V44" s="159">
        <v>0.0</v>
      </c>
      <c r="W44" s="159">
        <v>0.0</v>
      </c>
    </row>
    <row r="45">
      <c r="B45" s="162">
        <v>50245.0</v>
      </c>
      <c r="C45" s="161">
        <f t="shared" si="7"/>
        <v>3.59</v>
      </c>
      <c r="D45" s="158">
        <f t="shared" si="8"/>
        <v>3.59</v>
      </c>
      <c r="E45" s="158">
        <f t="shared" si="9"/>
        <v>3.59</v>
      </c>
      <c r="F45" s="158">
        <f t="shared" si="10"/>
        <v>3.59</v>
      </c>
      <c r="G45" s="158">
        <f t="shared" si="11"/>
        <v>3.59</v>
      </c>
      <c r="H45" s="158">
        <f t="shared" si="12"/>
        <v>3.59</v>
      </c>
      <c r="I45" s="158">
        <f t="shared" si="13"/>
        <v>3.59</v>
      </c>
      <c r="J45" s="158">
        <f t="shared" si="14"/>
        <v>3.59</v>
      </c>
      <c r="K45" s="158">
        <f t="shared" si="15"/>
        <v>3.59</v>
      </c>
      <c r="L45" s="158">
        <f t="shared" si="16"/>
        <v>3.59</v>
      </c>
      <c r="M45" s="158">
        <f t="shared" si="17"/>
        <v>3.59</v>
      </c>
      <c r="N45" s="158">
        <f t="shared" si="18"/>
        <v>3.59</v>
      </c>
      <c r="O45" s="158">
        <f t="shared" si="19"/>
        <v>3.59</v>
      </c>
      <c r="P45" s="158">
        <f t="shared" si="20"/>
        <v>3.59</v>
      </c>
      <c r="Q45" s="158">
        <f t="shared" ref="Q45:Q50" si="21">I19</f>
        <v>3.59</v>
      </c>
      <c r="R45" s="161">
        <f>100+Q45</f>
        <v>103.59</v>
      </c>
      <c r="S45" s="159">
        <v>0.0</v>
      </c>
      <c r="T45" s="159">
        <v>0.0</v>
      </c>
      <c r="U45" s="159">
        <v>0.0</v>
      </c>
      <c r="V45" s="159">
        <v>0.0</v>
      </c>
      <c r="W45" s="159">
        <v>0.0</v>
      </c>
    </row>
    <row r="46">
      <c r="B46" s="162">
        <v>50789.0</v>
      </c>
      <c r="C46" s="161">
        <f t="shared" si="7"/>
        <v>3.415</v>
      </c>
      <c r="D46" s="158">
        <f t="shared" si="8"/>
        <v>3.415</v>
      </c>
      <c r="E46" s="158">
        <f t="shared" si="9"/>
        <v>3.415</v>
      </c>
      <c r="F46" s="158">
        <f t="shared" si="10"/>
        <v>3.415</v>
      </c>
      <c r="G46" s="158">
        <f t="shared" si="11"/>
        <v>3.415</v>
      </c>
      <c r="H46" s="158">
        <f t="shared" si="12"/>
        <v>3.415</v>
      </c>
      <c r="I46" s="158">
        <f t="shared" si="13"/>
        <v>3.415</v>
      </c>
      <c r="J46" s="158">
        <f t="shared" si="14"/>
        <v>3.415</v>
      </c>
      <c r="K46" s="158">
        <f t="shared" si="15"/>
        <v>3.415</v>
      </c>
      <c r="L46" s="158">
        <f t="shared" si="16"/>
        <v>3.415</v>
      </c>
      <c r="M46" s="158">
        <f t="shared" si="17"/>
        <v>3.415</v>
      </c>
      <c r="N46" s="158">
        <f t="shared" si="18"/>
        <v>3.415</v>
      </c>
      <c r="O46" s="158">
        <f t="shared" si="19"/>
        <v>3.415</v>
      </c>
      <c r="P46" s="158">
        <f t="shared" si="20"/>
        <v>3.415</v>
      </c>
      <c r="Q46" s="158">
        <f t="shared" si="21"/>
        <v>3.415</v>
      </c>
      <c r="R46" s="158">
        <f t="shared" ref="R46:R50" si="22">I20</f>
        <v>3.415</v>
      </c>
      <c r="S46" s="161">
        <f>100+R46</f>
        <v>103.415</v>
      </c>
      <c r="T46" s="159">
        <v>0.0</v>
      </c>
      <c r="U46" s="159">
        <v>0.0</v>
      </c>
      <c r="V46" s="159">
        <v>0.0</v>
      </c>
      <c r="W46" s="159">
        <v>0.0</v>
      </c>
    </row>
    <row r="47">
      <c r="B47" s="162">
        <v>52231.0</v>
      </c>
      <c r="C47" s="161">
        <f t="shared" si="7"/>
        <v>4.15</v>
      </c>
      <c r="D47" s="158">
        <f t="shared" si="8"/>
        <v>4.15</v>
      </c>
      <c r="E47" s="158">
        <f t="shared" si="9"/>
        <v>4.15</v>
      </c>
      <c r="F47" s="158">
        <f t="shared" si="10"/>
        <v>4.15</v>
      </c>
      <c r="G47" s="158">
        <f t="shared" si="11"/>
        <v>4.15</v>
      </c>
      <c r="H47" s="158">
        <f t="shared" si="12"/>
        <v>4.15</v>
      </c>
      <c r="I47" s="158">
        <f t="shared" si="13"/>
        <v>4.15</v>
      </c>
      <c r="J47" s="158">
        <f t="shared" si="14"/>
        <v>4.15</v>
      </c>
      <c r="K47" s="158">
        <f t="shared" si="15"/>
        <v>4.15</v>
      </c>
      <c r="L47" s="158">
        <f t="shared" si="16"/>
        <v>4.15</v>
      </c>
      <c r="M47" s="158">
        <f t="shared" si="17"/>
        <v>4.15</v>
      </c>
      <c r="N47" s="158">
        <f t="shared" si="18"/>
        <v>4.15</v>
      </c>
      <c r="O47" s="158">
        <f t="shared" si="19"/>
        <v>4.15</v>
      </c>
      <c r="P47" s="158">
        <f t="shared" si="20"/>
        <v>4.15</v>
      </c>
      <c r="Q47" s="158">
        <f t="shared" si="21"/>
        <v>4.15</v>
      </c>
      <c r="R47" s="158">
        <f t="shared" si="22"/>
        <v>4.15</v>
      </c>
      <c r="S47" s="158">
        <f t="shared" ref="S47:S50" si="23">I21</f>
        <v>4.15</v>
      </c>
      <c r="T47" s="161">
        <f>100+S47</f>
        <v>104.15</v>
      </c>
      <c r="U47" s="159">
        <v>0.0</v>
      </c>
      <c r="V47" s="159">
        <v>0.0</v>
      </c>
      <c r="W47" s="159">
        <v>0.0</v>
      </c>
    </row>
    <row r="48">
      <c r="B48" s="162">
        <v>53610.0</v>
      </c>
      <c r="C48" s="161">
        <f t="shared" si="7"/>
        <v>3.53</v>
      </c>
      <c r="D48" s="158">
        <f t="shared" si="8"/>
        <v>3.53</v>
      </c>
      <c r="E48" s="158">
        <f t="shared" si="9"/>
        <v>3.53</v>
      </c>
      <c r="F48" s="158">
        <f t="shared" si="10"/>
        <v>3.53</v>
      </c>
      <c r="G48" s="158">
        <f t="shared" si="11"/>
        <v>3.53</v>
      </c>
      <c r="H48" s="158">
        <f t="shared" si="12"/>
        <v>3.53</v>
      </c>
      <c r="I48" s="158">
        <f t="shared" si="13"/>
        <v>3.53</v>
      </c>
      <c r="J48" s="158">
        <f t="shared" si="14"/>
        <v>3.53</v>
      </c>
      <c r="K48" s="158">
        <f t="shared" si="15"/>
        <v>3.53</v>
      </c>
      <c r="L48" s="158">
        <f t="shared" si="16"/>
        <v>3.53</v>
      </c>
      <c r="M48" s="158">
        <f t="shared" si="17"/>
        <v>3.53</v>
      </c>
      <c r="N48" s="158">
        <f t="shared" si="18"/>
        <v>3.53</v>
      </c>
      <c r="O48" s="158">
        <f t="shared" si="19"/>
        <v>3.53</v>
      </c>
      <c r="P48" s="158">
        <f t="shared" si="20"/>
        <v>3.53</v>
      </c>
      <c r="Q48" s="158">
        <f t="shared" si="21"/>
        <v>3.53</v>
      </c>
      <c r="R48" s="158">
        <f t="shared" si="22"/>
        <v>3.53</v>
      </c>
      <c r="S48" s="158">
        <f t="shared" si="23"/>
        <v>3.53</v>
      </c>
      <c r="T48" s="158">
        <f t="shared" ref="T48:T50" si="24">I22</f>
        <v>3.53</v>
      </c>
      <c r="U48" s="161">
        <f>100+T48</f>
        <v>103.53</v>
      </c>
      <c r="V48" s="159">
        <v>0.0</v>
      </c>
      <c r="W48" s="159">
        <v>0.0</v>
      </c>
    </row>
    <row r="49">
      <c r="B49" s="162">
        <v>56054.0</v>
      </c>
      <c r="C49" s="161">
        <f t="shared" si="7"/>
        <v>3.65</v>
      </c>
      <c r="D49" s="158">
        <f t="shared" si="8"/>
        <v>3.65</v>
      </c>
      <c r="E49" s="158">
        <f t="shared" si="9"/>
        <v>3.65</v>
      </c>
      <c r="F49" s="158">
        <f t="shared" si="10"/>
        <v>3.65</v>
      </c>
      <c r="G49" s="158">
        <f t="shared" si="11"/>
        <v>3.65</v>
      </c>
      <c r="H49" s="158">
        <f t="shared" si="12"/>
        <v>3.65</v>
      </c>
      <c r="I49" s="158">
        <f t="shared" si="13"/>
        <v>3.65</v>
      </c>
      <c r="J49" s="158">
        <f t="shared" si="14"/>
        <v>3.65</v>
      </c>
      <c r="K49" s="158">
        <f t="shared" si="15"/>
        <v>3.65</v>
      </c>
      <c r="L49" s="158">
        <f t="shared" si="16"/>
        <v>3.65</v>
      </c>
      <c r="M49" s="158">
        <f t="shared" si="17"/>
        <v>3.65</v>
      </c>
      <c r="N49" s="158">
        <f t="shared" si="18"/>
        <v>3.65</v>
      </c>
      <c r="O49" s="158">
        <f t="shared" si="19"/>
        <v>3.65</v>
      </c>
      <c r="P49" s="158">
        <f t="shared" si="20"/>
        <v>3.65</v>
      </c>
      <c r="Q49" s="158">
        <f t="shared" si="21"/>
        <v>3.65</v>
      </c>
      <c r="R49" s="158">
        <f t="shared" si="22"/>
        <v>3.65</v>
      </c>
      <c r="S49" s="158">
        <f t="shared" si="23"/>
        <v>3.65</v>
      </c>
      <c r="T49" s="158">
        <f t="shared" si="24"/>
        <v>3.65</v>
      </c>
      <c r="U49" s="158">
        <f t="shared" ref="U49:U50" si="25">I23</f>
        <v>3.65</v>
      </c>
      <c r="V49" s="161">
        <f>100+U49</f>
        <v>103.65</v>
      </c>
      <c r="W49" s="159">
        <v>0.0</v>
      </c>
    </row>
    <row r="50">
      <c r="B50" s="162">
        <v>59699.0</v>
      </c>
      <c r="C50" s="161">
        <f t="shared" si="7"/>
        <v>3.625</v>
      </c>
      <c r="D50" s="158">
        <f t="shared" si="8"/>
        <v>3.625</v>
      </c>
      <c r="E50" s="158">
        <f t="shared" si="9"/>
        <v>3.625</v>
      </c>
      <c r="F50" s="158">
        <f t="shared" si="10"/>
        <v>3.625</v>
      </c>
      <c r="G50" s="158">
        <f t="shared" si="11"/>
        <v>3.625</v>
      </c>
      <c r="H50" s="158">
        <f t="shared" si="12"/>
        <v>3.625</v>
      </c>
      <c r="I50" s="158">
        <f t="shared" si="13"/>
        <v>3.625</v>
      </c>
      <c r="J50" s="158">
        <f t="shared" si="14"/>
        <v>3.625</v>
      </c>
      <c r="K50" s="158">
        <f t="shared" si="15"/>
        <v>3.625</v>
      </c>
      <c r="L50" s="158">
        <f t="shared" si="16"/>
        <v>3.625</v>
      </c>
      <c r="M50" s="158">
        <f t="shared" si="17"/>
        <v>3.625</v>
      </c>
      <c r="N50" s="158">
        <f t="shared" si="18"/>
        <v>3.625</v>
      </c>
      <c r="O50" s="158">
        <f t="shared" si="19"/>
        <v>3.625</v>
      </c>
      <c r="P50" s="158">
        <f t="shared" si="20"/>
        <v>3.625</v>
      </c>
      <c r="Q50" s="158">
        <f t="shared" si="21"/>
        <v>3.625</v>
      </c>
      <c r="R50" s="158">
        <f t="shared" si="22"/>
        <v>3.625</v>
      </c>
      <c r="S50" s="158">
        <f t="shared" si="23"/>
        <v>3.625</v>
      </c>
      <c r="T50" s="158">
        <f t="shared" si="24"/>
        <v>3.625</v>
      </c>
      <c r="U50" s="158">
        <f t="shared" si="25"/>
        <v>3.625</v>
      </c>
      <c r="V50" s="158">
        <f>I24</f>
        <v>3.625</v>
      </c>
      <c r="W50" s="161">
        <f>100+V50</f>
        <v>103.625</v>
      </c>
    </row>
    <row r="52">
      <c r="A52" s="164" t="s">
        <v>62</v>
      </c>
    </row>
    <row r="54">
      <c r="B54" s="152" t="s">
        <v>29</v>
      </c>
      <c r="C54" s="157">
        <v>45358.0</v>
      </c>
      <c r="D54" s="160">
        <v>45449.0</v>
      </c>
      <c r="E54" s="162">
        <v>45673.0</v>
      </c>
      <c r="F54" s="162">
        <v>46124.0</v>
      </c>
      <c r="G54" s="162">
        <v>46325.0</v>
      </c>
      <c r="H54" s="162">
        <v>46853.0</v>
      </c>
      <c r="I54" s="162">
        <v>47049.0</v>
      </c>
      <c r="J54" s="162">
        <v>47590.0</v>
      </c>
      <c r="K54" s="162">
        <v>47800.0</v>
      </c>
      <c r="L54" s="162">
        <v>48230.0</v>
      </c>
      <c r="M54" s="160">
        <v>48616.0</v>
      </c>
      <c r="N54" s="162">
        <v>48805.0</v>
      </c>
      <c r="O54" s="162">
        <v>49166.0</v>
      </c>
      <c r="P54" s="163">
        <v>49818.0</v>
      </c>
      <c r="Q54" s="162">
        <v>50028.0</v>
      </c>
      <c r="R54" s="162">
        <v>50245.0</v>
      </c>
      <c r="S54" s="162">
        <v>50789.0</v>
      </c>
      <c r="T54" s="162">
        <v>52231.0</v>
      </c>
      <c r="U54" s="162">
        <v>53610.0</v>
      </c>
      <c r="V54" s="162">
        <v>56054.0</v>
      </c>
      <c r="W54" s="162">
        <v>59699.0</v>
      </c>
    </row>
    <row r="55">
      <c r="B55" s="157">
        <v>45358.0</v>
      </c>
      <c r="C55" s="165">
        <f t="array" ref="C55:W75">minverse(C30:W50)</f>
        <v>0.01</v>
      </c>
      <c r="D55" s="24">
        <v>0.0</v>
      </c>
      <c r="E55" s="24">
        <v>0.0</v>
      </c>
      <c r="F55" s="24">
        <v>0.0</v>
      </c>
      <c r="G55" s="24">
        <v>0.0</v>
      </c>
      <c r="H55" s="24">
        <v>0.0</v>
      </c>
      <c r="I55" s="24">
        <v>0.0</v>
      </c>
      <c r="J55" s="24">
        <v>0.0</v>
      </c>
      <c r="K55" s="24">
        <v>0.0</v>
      </c>
      <c r="L55" s="24">
        <v>0.0</v>
      </c>
      <c r="M55" s="24">
        <v>0.0</v>
      </c>
      <c r="N55" s="24">
        <v>0.0</v>
      </c>
      <c r="O55" s="24">
        <v>0.0</v>
      </c>
      <c r="P55" s="24">
        <v>0.0</v>
      </c>
      <c r="Q55" s="24">
        <v>0.0</v>
      </c>
      <c r="R55" s="24">
        <v>0.0</v>
      </c>
      <c r="S55" s="24">
        <v>0.0</v>
      </c>
      <c r="T55" s="24">
        <v>0.0</v>
      </c>
      <c r="U55" s="24">
        <v>0.0</v>
      </c>
      <c r="V55" s="24">
        <v>0.0</v>
      </c>
      <c r="W55" s="24">
        <v>0.0</v>
      </c>
    </row>
    <row r="56">
      <c r="B56" s="160">
        <v>45449.0</v>
      </c>
      <c r="C56" s="24">
        <v>0.0</v>
      </c>
      <c r="D56" s="24">
        <v>0.01</v>
      </c>
      <c r="E56" s="24">
        <v>0.0</v>
      </c>
      <c r="F56" s="24">
        <v>0.0</v>
      </c>
      <c r="G56" s="24">
        <v>0.0</v>
      </c>
      <c r="H56" s="24">
        <v>0.0</v>
      </c>
      <c r="I56" s="24">
        <v>0.0</v>
      </c>
      <c r="J56" s="24">
        <v>0.0</v>
      </c>
      <c r="K56" s="24">
        <v>0.0</v>
      </c>
      <c r="L56" s="24">
        <v>0.0</v>
      </c>
      <c r="M56" s="24">
        <v>0.0</v>
      </c>
      <c r="N56" s="24">
        <v>0.0</v>
      </c>
      <c r="O56" s="24">
        <v>0.0</v>
      </c>
      <c r="P56" s="24">
        <v>0.0</v>
      </c>
      <c r="Q56" s="24">
        <v>0.0</v>
      </c>
      <c r="R56" s="24">
        <v>0.0</v>
      </c>
      <c r="S56" s="24">
        <v>0.0</v>
      </c>
      <c r="T56" s="24">
        <v>0.0</v>
      </c>
      <c r="U56" s="24">
        <v>0.0</v>
      </c>
      <c r="V56" s="24">
        <v>0.0</v>
      </c>
      <c r="W56" s="24">
        <v>0.0</v>
      </c>
    </row>
    <row r="57">
      <c r="B57" s="162">
        <v>45673.0</v>
      </c>
      <c r="C57" s="24">
        <v>-3.3302721252839675E-4</v>
      </c>
      <c r="D57" s="24">
        <v>-3.3302721252839675E-4</v>
      </c>
      <c r="E57" s="24">
        <v>0.009666972787471605</v>
      </c>
      <c r="F57" s="24">
        <v>0.0</v>
      </c>
      <c r="G57" s="24">
        <v>0.0</v>
      </c>
      <c r="H57" s="24">
        <v>0.0</v>
      </c>
      <c r="I57" s="24">
        <v>0.0</v>
      </c>
      <c r="J57" s="24">
        <v>0.0</v>
      </c>
      <c r="K57" s="24">
        <v>0.0</v>
      </c>
      <c r="L57" s="24">
        <v>0.0</v>
      </c>
      <c r="M57" s="24">
        <v>0.0</v>
      </c>
      <c r="N57" s="24">
        <v>0.0</v>
      </c>
      <c r="O57" s="24">
        <v>0.0</v>
      </c>
      <c r="P57" s="24">
        <v>0.0</v>
      </c>
      <c r="Q57" s="24">
        <v>0.0</v>
      </c>
      <c r="R57" s="24">
        <v>0.0</v>
      </c>
      <c r="S57" s="24">
        <v>0.0</v>
      </c>
      <c r="T57" s="24">
        <v>0.0</v>
      </c>
      <c r="U57" s="24">
        <v>0.0</v>
      </c>
      <c r="V57" s="24">
        <v>0.0</v>
      </c>
      <c r="W57" s="24">
        <v>0.0</v>
      </c>
    </row>
    <row r="58">
      <c r="B58" s="162">
        <v>46124.0</v>
      </c>
      <c r="C58" s="24">
        <v>-2.646746914042947E-4</v>
      </c>
      <c r="D58" s="24">
        <v>-2.646746914042947E-4</v>
      </c>
      <c r="E58" s="24">
        <v>-2.646746914042947E-4</v>
      </c>
      <c r="F58" s="24">
        <v>0.009726207265476827</v>
      </c>
      <c r="G58" s="24">
        <v>0.0</v>
      </c>
      <c r="H58" s="24">
        <v>0.0</v>
      </c>
      <c r="I58" s="24">
        <v>0.0</v>
      </c>
      <c r="J58" s="24">
        <v>0.0</v>
      </c>
      <c r="K58" s="24">
        <v>0.0</v>
      </c>
      <c r="L58" s="24">
        <v>0.0</v>
      </c>
      <c r="M58" s="24">
        <v>0.0</v>
      </c>
      <c r="N58" s="24">
        <v>0.0</v>
      </c>
      <c r="O58" s="24">
        <v>0.0</v>
      </c>
      <c r="P58" s="24">
        <v>0.0</v>
      </c>
      <c r="Q58" s="24">
        <v>0.0</v>
      </c>
      <c r="R58" s="24">
        <v>0.0</v>
      </c>
      <c r="S58" s="24">
        <v>0.0</v>
      </c>
      <c r="T58" s="24">
        <v>0.0</v>
      </c>
      <c r="U58" s="24">
        <v>0.0</v>
      </c>
      <c r="V58" s="24">
        <v>0.0</v>
      </c>
      <c r="W58" s="24">
        <v>0.0</v>
      </c>
    </row>
    <row r="59">
      <c r="B59" s="162">
        <v>46325.0</v>
      </c>
      <c r="C59" s="24">
        <v>-3.32411349270117E-4</v>
      </c>
      <c r="D59" s="24">
        <v>-3.32411349270117E-4</v>
      </c>
      <c r="E59" s="24">
        <v>-3.3241134927011707E-4</v>
      </c>
      <c r="F59" s="24">
        <v>-3.438629202524726E-4</v>
      </c>
      <c r="G59" s="24">
        <v>0.00964645733854242</v>
      </c>
      <c r="H59" s="24">
        <v>0.0</v>
      </c>
      <c r="I59" s="24">
        <v>0.0</v>
      </c>
      <c r="J59" s="24">
        <v>0.0</v>
      </c>
      <c r="K59" s="24">
        <v>0.0</v>
      </c>
      <c r="L59" s="24">
        <v>0.0</v>
      </c>
      <c r="M59" s="24">
        <v>0.0</v>
      </c>
      <c r="N59" s="24">
        <v>0.0</v>
      </c>
      <c r="O59" s="24">
        <v>0.0</v>
      </c>
      <c r="P59" s="24">
        <v>0.0</v>
      </c>
      <c r="Q59" s="24">
        <v>0.0</v>
      </c>
      <c r="R59" s="24">
        <v>0.0</v>
      </c>
      <c r="S59" s="24">
        <v>0.0</v>
      </c>
      <c r="T59" s="24">
        <v>0.0</v>
      </c>
      <c r="U59" s="24">
        <v>0.0</v>
      </c>
      <c r="V59" s="24">
        <v>0.0</v>
      </c>
      <c r="W59" s="24">
        <v>0.0</v>
      </c>
    </row>
    <row r="60">
      <c r="B60" s="162">
        <v>46853.0</v>
      </c>
      <c r="C60" s="24">
        <v>-3.092504608924378E-4</v>
      </c>
      <c r="D60" s="24">
        <v>-3.092504608924378E-4</v>
      </c>
      <c r="E60" s="24">
        <v>-3.092504608924378E-4</v>
      </c>
      <c r="F60" s="24">
        <v>-3.199041392701823E-4</v>
      </c>
      <c r="G60" s="24">
        <v>-3.289094407906379E-4</v>
      </c>
      <c r="H60" s="24">
        <v>0.009659036028204384</v>
      </c>
      <c r="I60" s="24">
        <v>0.0</v>
      </c>
      <c r="J60" s="24">
        <v>0.0</v>
      </c>
      <c r="K60" s="24">
        <v>0.0</v>
      </c>
      <c r="L60" s="24">
        <v>0.0</v>
      </c>
      <c r="M60" s="24">
        <v>0.0</v>
      </c>
      <c r="N60" s="24">
        <v>0.0</v>
      </c>
      <c r="O60" s="24">
        <v>0.0</v>
      </c>
      <c r="P60" s="24">
        <v>0.0</v>
      </c>
      <c r="Q60" s="24">
        <v>0.0</v>
      </c>
      <c r="R60" s="24">
        <v>0.0</v>
      </c>
      <c r="S60" s="24">
        <v>0.0</v>
      </c>
      <c r="T60" s="24">
        <v>0.0</v>
      </c>
      <c r="U60" s="24">
        <v>0.0</v>
      </c>
      <c r="V60" s="24">
        <v>0.0</v>
      </c>
      <c r="W60" s="24">
        <v>0.0</v>
      </c>
    </row>
    <row r="61">
      <c r="B61" s="162">
        <v>47049.0</v>
      </c>
      <c r="C61" s="24">
        <v>-3.113559792984425E-4</v>
      </c>
      <c r="D61" s="24">
        <v>-3.113559792984425E-4</v>
      </c>
      <c r="E61" s="24">
        <v>-3.1135597929844255E-4</v>
      </c>
      <c r="F61" s="24">
        <v>-3.220821927852739E-4</v>
      </c>
      <c r="G61" s="24">
        <v>-3.311488065121794E-4</v>
      </c>
      <c r="H61" s="24">
        <v>-3.4328541027085074E-4</v>
      </c>
      <c r="I61" s="24">
        <v>0.009644596614746589</v>
      </c>
      <c r="J61" s="24">
        <v>0.0</v>
      </c>
      <c r="K61" s="24">
        <v>0.0</v>
      </c>
      <c r="L61" s="24">
        <v>0.0</v>
      </c>
      <c r="M61" s="24">
        <v>0.0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4">
        <v>0.0</v>
      </c>
      <c r="U61" s="24">
        <v>0.0</v>
      </c>
      <c r="V61" s="24">
        <v>0.0</v>
      </c>
      <c r="W61" s="24">
        <v>0.0</v>
      </c>
    </row>
    <row r="62">
      <c r="B62" s="162">
        <v>47590.0</v>
      </c>
      <c r="C62" s="24">
        <v>-2.9242332286705236E-4</v>
      </c>
      <c r="D62" s="24">
        <v>-2.9242332286705236E-4</v>
      </c>
      <c r="E62" s="24">
        <v>-2.9242332286705236E-4</v>
      </c>
      <c r="F62" s="24">
        <v>-3.024973063398224E-4</v>
      </c>
      <c r="G62" s="24">
        <v>-3.110126055132883E-4</v>
      </c>
      <c r="H62" s="24">
        <v>-3.224112175053504E-4</v>
      </c>
      <c r="I62" s="24">
        <v>-3.337923334832893E-4</v>
      </c>
      <c r="J62" s="24">
        <v>0.009653907419027852</v>
      </c>
      <c r="K62" s="24">
        <v>0.0</v>
      </c>
      <c r="L62" s="24">
        <v>0.0</v>
      </c>
      <c r="M62" s="24">
        <v>0.0</v>
      </c>
      <c r="N62" s="24">
        <v>0.0</v>
      </c>
      <c r="O62" s="24">
        <v>0.0</v>
      </c>
      <c r="P62" s="24">
        <v>0.0</v>
      </c>
      <c r="Q62" s="24">
        <v>0.0</v>
      </c>
      <c r="R62" s="24">
        <v>0.0</v>
      </c>
      <c r="S62" s="24">
        <v>0.0</v>
      </c>
      <c r="T62" s="24">
        <v>0.0</v>
      </c>
      <c r="U62" s="24">
        <v>0.0</v>
      </c>
      <c r="V62" s="24">
        <v>0.0</v>
      </c>
      <c r="W62" s="24">
        <v>0.0</v>
      </c>
    </row>
    <row r="63">
      <c r="B63" s="162">
        <v>47800.0</v>
      </c>
      <c r="C63" s="24">
        <v>-2.8800015975772415E-4</v>
      </c>
      <c r="D63" s="24">
        <v>-2.8800015975772415E-4</v>
      </c>
      <c r="E63" s="24">
        <v>-2.8800015975772415E-4</v>
      </c>
      <c r="F63" s="24">
        <v>-2.9792176526137774E-4</v>
      </c>
      <c r="G63" s="24">
        <v>-3.063082629534855E-4</v>
      </c>
      <c r="H63" s="24">
        <v>-3.175344607907308E-4</v>
      </c>
      <c r="I63" s="24">
        <v>-3.2874342725664363E-4</v>
      </c>
      <c r="J63" s="24">
        <v>-3.4085762255105093E-4</v>
      </c>
      <c r="K63" s="24">
        <v>0.009646922631680495</v>
      </c>
      <c r="L63" s="24">
        <v>0.0</v>
      </c>
      <c r="M63" s="24">
        <v>0.0</v>
      </c>
      <c r="N63" s="24">
        <v>0.0</v>
      </c>
      <c r="O63" s="24">
        <v>0.0</v>
      </c>
      <c r="P63" s="24">
        <v>0.0</v>
      </c>
      <c r="Q63" s="24">
        <v>0.0</v>
      </c>
      <c r="R63" s="24">
        <v>0.0</v>
      </c>
      <c r="S63" s="24">
        <v>0.0</v>
      </c>
      <c r="T63" s="24">
        <v>0.0</v>
      </c>
      <c r="U63" s="24">
        <v>0.0</v>
      </c>
      <c r="V63" s="24">
        <v>0.0</v>
      </c>
      <c r="W63" s="24">
        <v>0.0</v>
      </c>
    </row>
    <row r="64">
      <c r="B64" s="162">
        <v>48230.0</v>
      </c>
      <c r="C64" s="24">
        <v>-2.4916395675820294E-4</v>
      </c>
      <c r="D64" s="24">
        <v>-2.4916395675820294E-4</v>
      </c>
      <c r="E64" s="24">
        <v>-2.4916395675820294E-4</v>
      </c>
      <c r="F64" s="24">
        <v>-2.5774765506852304E-4</v>
      </c>
      <c r="G64" s="24">
        <v>-2.650032515587019E-4</v>
      </c>
      <c r="H64" s="24">
        <v>-2.7471562072832836E-4</v>
      </c>
      <c r="I64" s="24">
        <v>-2.8441308214003833E-4</v>
      </c>
      <c r="J64" s="24">
        <v>-2.9489370421689884E-4</v>
      </c>
      <c r="K64" s="24">
        <v>-3.0546564351307463E-4</v>
      </c>
      <c r="L64" s="24">
        <v>0.009683354313934347</v>
      </c>
      <c r="M64" s="24">
        <v>0.0</v>
      </c>
      <c r="N64" s="24">
        <v>0.0</v>
      </c>
      <c r="O64" s="24">
        <v>0.0</v>
      </c>
      <c r="P64" s="24">
        <v>0.0</v>
      </c>
      <c r="Q64" s="24">
        <v>0.0</v>
      </c>
      <c r="R64" s="24">
        <v>0.0</v>
      </c>
      <c r="S64" s="24">
        <v>0.0</v>
      </c>
      <c r="T64" s="24">
        <v>0.0</v>
      </c>
      <c r="U64" s="24">
        <v>0.0</v>
      </c>
      <c r="V64" s="24">
        <v>0.0</v>
      </c>
      <c r="W64" s="24">
        <v>0.0</v>
      </c>
    </row>
    <row r="65">
      <c r="B65" s="160">
        <v>48616.0</v>
      </c>
      <c r="C65" s="24">
        <v>-2.6690615756075174E-4</v>
      </c>
      <c r="D65" s="24">
        <v>-2.6690615756075174E-4</v>
      </c>
      <c r="E65" s="24">
        <v>-2.669061575607518E-4</v>
      </c>
      <c r="F65" s="24">
        <v>-2.761010746887195E-4</v>
      </c>
      <c r="G65" s="24">
        <v>-2.83873319941207E-4</v>
      </c>
      <c r="H65" s="24">
        <v>-2.9427727711705214E-4</v>
      </c>
      <c r="I65" s="24">
        <v>-3.0466526499928415E-4</v>
      </c>
      <c r="J65" s="24">
        <v>-3.158921800145078E-4</v>
      </c>
      <c r="K65" s="24">
        <v>-3.2721691466802786E-4</v>
      </c>
      <c r="L65" s="24">
        <v>-3.3919305374487775E-4</v>
      </c>
      <c r="M65" s="24">
        <v>0.009649715333397665</v>
      </c>
      <c r="N65" s="24">
        <v>0.0</v>
      </c>
      <c r="O65" s="24">
        <v>0.0</v>
      </c>
      <c r="P65" s="24">
        <v>0.0</v>
      </c>
      <c r="Q65" s="24">
        <v>0.0</v>
      </c>
      <c r="R65" s="24">
        <v>0.0</v>
      </c>
      <c r="S65" s="24">
        <v>0.0</v>
      </c>
      <c r="T65" s="24">
        <v>0.0</v>
      </c>
      <c r="U65" s="24">
        <v>0.0</v>
      </c>
      <c r="V65" s="24">
        <v>0.0</v>
      </c>
      <c r="W65" s="24">
        <v>0.0</v>
      </c>
    </row>
    <row r="66">
      <c r="B66" s="162">
        <v>48805.0</v>
      </c>
      <c r="C66" s="24">
        <v>-2.548171086754384E-4</v>
      </c>
      <c r="D66" s="24">
        <v>-2.548171086754384E-4</v>
      </c>
      <c r="E66" s="24">
        <v>-2.548171086754384E-4</v>
      </c>
      <c r="F66" s="24">
        <v>-2.635955580693073E-4</v>
      </c>
      <c r="G66" s="24">
        <v>-2.710157730289581E-4</v>
      </c>
      <c r="H66" s="24">
        <v>-2.809485011104695E-4</v>
      </c>
      <c r="I66" s="24">
        <v>-2.9086598319966905E-4</v>
      </c>
      <c r="J66" s="24">
        <v>-3.0158439468057694E-4</v>
      </c>
      <c r="K66" s="24">
        <v>-3.123961952298756E-4</v>
      </c>
      <c r="L66" s="24">
        <v>-3.2382989597528906E-4</v>
      </c>
      <c r="M66" s="24">
        <v>-3.34419133573681E-4</v>
      </c>
      <c r="N66" s="24">
        <v>0.009653441451877595</v>
      </c>
      <c r="O66" s="24">
        <v>0.0</v>
      </c>
      <c r="P66" s="24">
        <v>0.0</v>
      </c>
      <c r="Q66" s="24">
        <v>0.0</v>
      </c>
      <c r="R66" s="24">
        <v>0.0</v>
      </c>
      <c r="S66" s="24">
        <v>0.0</v>
      </c>
      <c r="T66" s="24">
        <v>0.0</v>
      </c>
      <c r="U66" s="24">
        <v>0.0</v>
      </c>
      <c r="V66" s="24">
        <v>0.0</v>
      </c>
      <c r="W66" s="24">
        <v>0.0</v>
      </c>
    </row>
    <row r="67">
      <c r="B67" s="162">
        <v>49166.0</v>
      </c>
      <c r="C67" s="24">
        <v>-2.5655311810796896E-4</v>
      </c>
      <c r="D67" s="24">
        <v>-2.5655311810796896E-4</v>
      </c>
      <c r="E67" s="24">
        <v>-2.56553118107969E-4</v>
      </c>
      <c r="F67" s="24">
        <v>-2.6539137302678846E-4</v>
      </c>
      <c r="G67" s="24">
        <v>-2.728621401774925E-4</v>
      </c>
      <c r="H67" s="24">
        <v>-2.8286253761499776E-4</v>
      </c>
      <c r="I67" s="24">
        <v>-2.9284758519280724E-4</v>
      </c>
      <c r="J67" s="24">
        <v>-3.0363901870716204E-4</v>
      </c>
      <c r="K67" s="24">
        <v>-3.1452447752781384E-4</v>
      </c>
      <c r="L67" s="24">
        <v>-3.2603607340533176E-4</v>
      </c>
      <c r="M67" s="24">
        <v>-3.366974530056862E-4</v>
      </c>
      <c r="N67" s="24">
        <v>-3.489195705497926E-4</v>
      </c>
      <c r="O67" s="24">
        <v>0.00963855421686747</v>
      </c>
      <c r="P67" s="24">
        <v>0.0</v>
      </c>
      <c r="Q67" s="24">
        <v>0.0</v>
      </c>
      <c r="R67" s="24">
        <v>0.0</v>
      </c>
      <c r="S67" s="24">
        <v>0.0</v>
      </c>
      <c r="T67" s="24">
        <v>0.0</v>
      </c>
      <c r="U67" s="24">
        <v>0.0</v>
      </c>
      <c r="V67" s="24">
        <v>0.0</v>
      </c>
      <c r="W67" s="24">
        <v>0.0</v>
      </c>
    </row>
    <row r="68">
      <c r="B68" s="163">
        <v>49818.0</v>
      </c>
      <c r="C68" s="24">
        <v>-2.485510276616987E-4</v>
      </c>
      <c r="D68" s="24">
        <v>-2.485510276616987E-4</v>
      </c>
      <c r="E68" s="24">
        <v>-2.4855102766169874E-4</v>
      </c>
      <c r="F68" s="24">
        <v>-2.5711361056464426E-4</v>
      </c>
      <c r="G68" s="24">
        <v>-2.6435135870203906E-4</v>
      </c>
      <c r="H68" s="24">
        <v>-2.740398359984688E-4</v>
      </c>
      <c r="I68" s="24">
        <v>-2.837134422092148E-4</v>
      </c>
      <c r="J68" s="24">
        <v>-2.9416828255462426E-4</v>
      </c>
      <c r="K68" s="24">
        <v>-3.0471421548420755E-4</v>
      </c>
      <c r="L68" s="24">
        <v>-3.158667557709296E-4</v>
      </c>
      <c r="M68" s="24">
        <v>-3.2619559868463896E-4</v>
      </c>
      <c r="N68" s="24">
        <v>-3.380364989168913E-4</v>
      </c>
      <c r="O68" s="24">
        <v>-3.5017200922800773E-4</v>
      </c>
      <c r="P68" s="24">
        <v>0.009636696540425942</v>
      </c>
      <c r="Q68" s="24">
        <v>0.0</v>
      </c>
      <c r="R68" s="24">
        <v>0.0</v>
      </c>
      <c r="S68" s="24">
        <v>0.0</v>
      </c>
      <c r="T68" s="24">
        <v>0.0</v>
      </c>
      <c r="U68" s="24">
        <v>0.0</v>
      </c>
      <c r="V68" s="24">
        <v>0.0</v>
      </c>
      <c r="W68" s="24">
        <v>0.0</v>
      </c>
    </row>
    <row r="69">
      <c r="B69" s="162">
        <v>50028.0</v>
      </c>
      <c r="C69" s="24">
        <v>-2.3553894712483232E-4</v>
      </c>
      <c r="D69" s="24">
        <v>-2.3553894712483232E-4</v>
      </c>
      <c r="E69" s="24">
        <v>-2.355389471248324E-4</v>
      </c>
      <c r="F69" s="24">
        <v>-2.4365326385328287E-4</v>
      </c>
      <c r="G69" s="24">
        <v>-2.505121032307527E-4</v>
      </c>
      <c r="H69" s="24">
        <v>-2.596933718141598E-4</v>
      </c>
      <c r="I69" s="24">
        <v>-2.688605478391997E-4</v>
      </c>
      <c r="J69" s="24">
        <v>-2.7876805902707423E-4</v>
      </c>
      <c r="K69" s="24">
        <v>-2.8876189394319487E-4</v>
      </c>
      <c r="L69" s="24">
        <v>-2.993305792615157E-4</v>
      </c>
      <c r="M69" s="24">
        <v>-3.091186892033674E-4</v>
      </c>
      <c r="N69" s="24">
        <v>-3.2033969762144954E-4</v>
      </c>
      <c r="O69" s="24">
        <v>-3.318398927660596E-4</v>
      </c>
      <c r="P69" s="24">
        <v>-3.442838887447868E-4</v>
      </c>
      <c r="Q69" s="24">
        <v>0.009642736608649534</v>
      </c>
      <c r="R69" s="24">
        <v>0.0</v>
      </c>
      <c r="S69" s="24">
        <v>0.0</v>
      </c>
      <c r="T69" s="24">
        <v>0.0</v>
      </c>
      <c r="U69" s="24">
        <v>0.0</v>
      </c>
      <c r="V69" s="24">
        <v>0.0</v>
      </c>
      <c r="W69" s="24">
        <v>0.0</v>
      </c>
    </row>
    <row r="70">
      <c r="B70" s="162">
        <v>50245.0</v>
      </c>
      <c r="C70" s="24">
        <v>-2.2031858445846695E-4</v>
      </c>
      <c r="D70" s="24">
        <v>-2.2031858445846695E-4</v>
      </c>
      <c r="E70" s="24">
        <v>-2.2031858445846695E-4</v>
      </c>
      <c r="F70" s="24">
        <v>-2.279085596930611E-4</v>
      </c>
      <c r="G70" s="24">
        <v>-2.3432418564842063E-4</v>
      </c>
      <c r="H70" s="24">
        <v>-2.4291216705243533E-4</v>
      </c>
      <c r="I70" s="24">
        <v>-2.5148696654938625E-4</v>
      </c>
      <c r="J70" s="24">
        <v>-2.607542612667312E-4</v>
      </c>
      <c r="K70" s="24">
        <v>-2.7010230153314344E-4</v>
      </c>
      <c r="L70" s="24">
        <v>-2.7998804576925655E-4</v>
      </c>
      <c r="M70" s="24">
        <v>-2.891436548659112E-4</v>
      </c>
      <c r="N70" s="24">
        <v>-2.996395695375438E-4</v>
      </c>
      <c r="O70" s="24">
        <v>-3.103966300839416E-4</v>
      </c>
      <c r="P70" s="24">
        <v>-3.2203650371208945E-4</v>
      </c>
      <c r="Q70" s="24">
        <v>-3.341772799020352E-4</v>
      </c>
      <c r="R70" s="24">
        <v>0.009653441451877595</v>
      </c>
      <c r="S70" s="24">
        <v>0.0</v>
      </c>
      <c r="T70" s="24">
        <v>0.0</v>
      </c>
      <c r="U70" s="24">
        <v>0.0</v>
      </c>
      <c r="V70" s="24">
        <v>0.0</v>
      </c>
      <c r="W70" s="24">
        <v>0.0</v>
      </c>
    </row>
    <row r="71">
      <c r="B71" s="162">
        <v>50789.0</v>
      </c>
      <c r="C71" s="24">
        <v>-2.0265804824455544E-4</v>
      </c>
      <c r="D71" s="24">
        <v>-2.0265804824455544E-4</v>
      </c>
      <c r="E71" s="24">
        <v>-2.0265804824455544E-4</v>
      </c>
      <c r="F71" s="24">
        <v>-2.096396180065804E-4</v>
      </c>
      <c r="G71" s="24">
        <v>-2.1554097325346568E-4</v>
      </c>
      <c r="H71" s="24">
        <v>-2.2344054992320516E-4</v>
      </c>
      <c r="I71" s="24">
        <v>-2.3132800133549432E-4</v>
      </c>
      <c r="J71" s="24">
        <v>-2.398524381847073E-4</v>
      </c>
      <c r="K71" s="24">
        <v>-2.4845114809362906E-4</v>
      </c>
      <c r="L71" s="24">
        <v>-2.5754446011385583E-4</v>
      </c>
      <c r="M71" s="24">
        <v>-2.659661639595789E-4</v>
      </c>
      <c r="N71" s="24">
        <v>-2.7562073571131166E-4</v>
      </c>
      <c r="O71" s="24">
        <v>-2.8551552012334773E-4</v>
      </c>
      <c r="P71" s="24">
        <v>-2.962223521279733E-4</v>
      </c>
      <c r="Q71" s="24">
        <v>-3.0738993480319783E-4</v>
      </c>
      <c r="R71" s="24">
        <v>-3.1877873188765636E-4</v>
      </c>
      <c r="S71" s="24">
        <v>0.009669777111637577</v>
      </c>
      <c r="T71" s="24">
        <v>0.0</v>
      </c>
      <c r="U71" s="24">
        <v>0.0</v>
      </c>
      <c r="V71" s="24">
        <v>0.0</v>
      </c>
      <c r="W71" s="24">
        <v>0.0</v>
      </c>
    </row>
    <row r="72">
      <c r="B72" s="162">
        <v>52231.0</v>
      </c>
      <c r="C72" s="24">
        <v>-2.364623330088037E-4</v>
      </c>
      <c r="D72" s="24">
        <v>-2.364623330088037E-4</v>
      </c>
      <c r="E72" s="24">
        <v>-2.3646233300880377E-4</v>
      </c>
      <c r="F72" s="24">
        <v>-2.4460846038095715E-4</v>
      </c>
      <c r="G72" s="24">
        <v>-2.51494188540681E-4</v>
      </c>
      <c r="H72" s="24">
        <v>-2.6071145055069707E-4</v>
      </c>
      <c r="I72" s="24">
        <v>-2.699145647551366E-4</v>
      </c>
      <c r="J72" s="24">
        <v>-2.798609164663635E-4</v>
      </c>
      <c r="K72" s="24">
        <v>-2.898939303216826E-4</v>
      </c>
      <c r="L72" s="24">
        <v>-3.0050404817145613E-4</v>
      </c>
      <c r="M72" s="24">
        <v>-3.103305305466627E-4</v>
      </c>
      <c r="N72" s="24">
        <v>-3.2159552880550664E-4</v>
      </c>
      <c r="O72" s="24">
        <v>-3.331408082896243E-4</v>
      </c>
      <c r="P72" s="24">
        <v>-3.456335886004853E-4</v>
      </c>
      <c r="Q72" s="24">
        <v>-3.586639748907235E-4</v>
      </c>
      <c r="R72" s="24">
        <v>-3.719524751604247E-4</v>
      </c>
      <c r="S72" s="24">
        <v>-3.85305569018684E-4</v>
      </c>
      <c r="T72" s="24">
        <v>0.009601536245799328</v>
      </c>
      <c r="U72" s="24">
        <v>0.0</v>
      </c>
      <c r="V72" s="24">
        <v>0.0</v>
      </c>
      <c r="W72" s="24">
        <v>0.0</v>
      </c>
    </row>
    <row r="73">
      <c r="B73" s="162">
        <v>53610.0</v>
      </c>
      <c r="C73" s="24">
        <v>-1.9427743672949173E-4</v>
      </c>
      <c r="D73" s="24">
        <v>-1.9427743672949173E-4</v>
      </c>
      <c r="E73" s="24">
        <v>-1.9427743672949168E-4</v>
      </c>
      <c r="F73" s="24">
        <v>-2.0097029442482265E-4</v>
      </c>
      <c r="G73" s="24">
        <v>-2.0662760821288145E-4</v>
      </c>
      <c r="H73" s="24">
        <v>-2.1420051005388346E-4</v>
      </c>
      <c r="I73" s="24">
        <v>-2.2176178805878566E-4</v>
      </c>
      <c r="J73" s="24">
        <v>-2.2993370994875198E-4</v>
      </c>
      <c r="K73" s="24">
        <v>-2.3817683345041466E-4</v>
      </c>
      <c r="L73" s="24">
        <v>-2.468941055546998E-4</v>
      </c>
      <c r="M73" s="24">
        <v>-2.5496754280633855E-4</v>
      </c>
      <c r="N73" s="24">
        <v>-2.6422286461020856E-4</v>
      </c>
      <c r="O73" s="24">
        <v>-2.737084654497151E-4</v>
      </c>
      <c r="P73" s="24">
        <v>-2.8397253290407944E-4</v>
      </c>
      <c r="Q73" s="24">
        <v>-2.946782973945632E-4</v>
      </c>
      <c r="R73" s="24">
        <v>-3.0559612831303174E-4</v>
      </c>
      <c r="S73" s="24">
        <v>-3.165670293194696E-4</v>
      </c>
      <c r="T73" s="24">
        <v>-3.2737779337072947E-4</v>
      </c>
      <c r="U73" s="24">
        <v>0.009659036028204384</v>
      </c>
      <c r="V73" s="24">
        <v>0.0</v>
      </c>
      <c r="W73" s="24">
        <v>0.0</v>
      </c>
    </row>
    <row r="74">
      <c r="B74" s="162">
        <v>56054.0</v>
      </c>
      <c r="C74" s="24">
        <v>-1.9380778471420472E-4</v>
      </c>
      <c r="D74" s="24">
        <v>-1.9380778471420472E-4</v>
      </c>
      <c r="E74" s="24">
        <v>-1.9380778471420474E-4</v>
      </c>
      <c r="F74" s="24">
        <v>-2.004844628976093E-4</v>
      </c>
      <c r="G74" s="24">
        <v>-2.0612810052817688E-4</v>
      </c>
      <c r="H74" s="24">
        <v>-2.136826954125345E-4</v>
      </c>
      <c r="I74" s="24">
        <v>-2.2122569456059702E-4</v>
      </c>
      <c r="J74" s="24">
        <v>-2.2937786140515503E-4</v>
      </c>
      <c r="K74" s="24">
        <v>-2.3760105773652982E-4</v>
      </c>
      <c r="L74" s="24">
        <v>-2.462972564496868E-4</v>
      </c>
      <c r="M74" s="24">
        <v>-2.543511767355916E-4</v>
      </c>
      <c r="N74" s="24">
        <v>-2.635841244510936E-4</v>
      </c>
      <c r="O74" s="24">
        <v>-2.7304679451888773E-4</v>
      </c>
      <c r="P74" s="24">
        <v>-2.832860493133461E-4</v>
      </c>
      <c r="Q74" s="24">
        <v>-2.939659333724593E-4</v>
      </c>
      <c r="R74" s="24">
        <v>-3.0485737120390893E-4</v>
      </c>
      <c r="S74" s="24">
        <v>-3.158017508301292E-4</v>
      </c>
      <c r="T74" s="24">
        <v>-3.265863806209781E-4</v>
      </c>
      <c r="U74" s="24">
        <v>-3.401397154167487E-4</v>
      </c>
      <c r="V74" s="24">
        <v>0.00964785335262904</v>
      </c>
      <c r="W74" s="24">
        <v>0.0</v>
      </c>
    </row>
    <row r="75">
      <c r="B75" s="162">
        <v>59699.0</v>
      </c>
      <c r="C75" s="24">
        <v>-1.85747005195629E-4</v>
      </c>
      <c r="D75" s="24">
        <v>-1.85747005195629E-4</v>
      </c>
      <c r="E75" s="24">
        <v>-1.85747005195629E-4</v>
      </c>
      <c r="F75" s="24">
        <v>-1.9214598952461845E-4</v>
      </c>
      <c r="G75" s="24">
        <v>-1.9755489912973636E-4</v>
      </c>
      <c r="H75" s="24">
        <v>-2.047952861828413E-4</v>
      </c>
      <c r="I75" s="24">
        <v>-2.1202455978509558E-4</v>
      </c>
      <c r="J75" s="24">
        <v>-2.198376648131763E-4</v>
      </c>
      <c r="K75" s="24">
        <v>-2.2771884509672862E-4</v>
      </c>
      <c r="L75" s="24">
        <v>-2.360533548272689E-4</v>
      </c>
      <c r="M75" s="24">
        <v>-2.4377229953012071E-4</v>
      </c>
      <c r="N75" s="24">
        <v>-2.52621234003064E-4</v>
      </c>
      <c r="O75" s="24">
        <v>-2.6169033630377413E-4</v>
      </c>
      <c r="P75" s="24">
        <v>-2.7150372391516553E-4</v>
      </c>
      <c r="Q75" s="24">
        <v>-2.8173941430676737E-4</v>
      </c>
      <c r="R75" s="24">
        <v>-2.9217785960683305E-4</v>
      </c>
      <c r="S75" s="24">
        <v>-3.026670447667184E-4</v>
      </c>
      <c r="T75" s="24">
        <v>-3.130031243455018E-4</v>
      </c>
      <c r="U75" s="24">
        <v>-3.259927540058401E-4</v>
      </c>
      <c r="V75" s="24">
        <v>-3.375002982222463E-4</v>
      </c>
      <c r="W75" s="24">
        <v>0.009650180940892641</v>
      </c>
    </row>
    <row r="79">
      <c r="B79" s="152" t="s">
        <v>29</v>
      </c>
      <c r="C79" s="166" t="s">
        <v>5</v>
      </c>
      <c r="D79" s="166" t="s">
        <v>19</v>
      </c>
      <c r="E79" s="166" t="s">
        <v>75</v>
      </c>
      <c r="H79" s="166" t="s">
        <v>5</v>
      </c>
      <c r="I79" s="167" t="s">
        <v>75</v>
      </c>
    </row>
    <row r="80">
      <c r="B80" s="157">
        <v>45358.0</v>
      </c>
      <c r="C80" s="168">
        <f t="shared" ref="C80:C100" si="26">(B80-$B$2)/360</f>
        <v>0.2388888889</v>
      </c>
      <c r="D80" s="169">
        <f t="array" ref="D80:D100">MMULT(C55:W75,M4:M24)</f>
        <v>0.98403</v>
      </c>
      <c r="E80" s="168">
        <f t="shared" ref="E80:E100" si="27">(1/D80)^(1/C80)-1</f>
        <v>0.06971335658</v>
      </c>
      <c r="H80" s="168">
        <v>0.2388888888888889</v>
      </c>
      <c r="I80" s="169">
        <v>0.06971335658065803</v>
      </c>
    </row>
    <row r="81">
      <c r="B81" s="160">
        <v>45449.0</v>
      </c>
      <c r="C81" s="168">
        <f t="shared" si="26"/>
        <v>0.4916666667</v>
      </c>
      <c r="D81" s="169">
        <v>0.96658</v>
      </c>
      <c r="E81" s="168">
        <f t="shared" si="27"/>
        <v>0.07158050508</v>
      </c>
      <c r="H81" s="168">
        <v>0.49166666666666664</v>
      </c>
      <c r="I81" s="169">
        <v>0.07158050507567015</v>
      </c>
    </row>
    <row r="82">
      <c r="B82" s="162">
        <v>45673.0</v>
      </c>
      <c r="C82" s="168">
        <f t="shared" si="26"/>
        <v>1.113888889</v>
      </c>
      <c r="D82" s="169">
        <v>1.0093526210385553</v>
      </c>
      <c r="E82" s="168">
        <f t="shared" si="27"/>
        <v>-0.008322521559</v>
      </c>
      <c r="H82" s="168">
        <v>1.113888888888889</v>
      </c>
      <c r="I82" s="169">
        <v>-0.008322521559087304</v>
      </c>
    </row>
    <row r="83">
      <c r="B83" s="162">
        <v>46124.0</v>
      </c>
      <c r="C83" s="168">
        <f t="shared" si="26"/>
        <v>2.366666667</v>
      </c>
      <c r="D83" s="169">
        <v>0.9503286344901989</v>
      </c>
      <c r="E83" s="168">
        <f t="shared" si="27"/>
        <v>0.02176045945</v>
      </c>
      <c r="H83" s="168">
        <v>2.3666666666666667</v>
      </c>
      <c r="I83" s="169">
        <v>0.021760459451376724</v>
      </c>
    </row>
    <row r="84">
      <c r="B84" s="162">
        <v>46325.0</v>
      </c>
      <c r="C84" s="168">
        <f t="shared" si="26"/>
        <v>2.925</v>
      </c>
      <c r="D84" s="169">
        <v>0.9463025053311511</v>
      </c>
      <c r="E84" s="168">
        <f t="shared" si="27"/>
        <v>0.01904854974</v>
      </c>
      <c r="H84" s="168">
        <v>2.925</v>
      </c>
      <c r="I84" s="169">
        <v>0.01904854973609127</v>
      </c>
    </row>
    <row r="85">
      <c r="B85" s="162">
        <v>46853.0</v>
      </c>
      <c r="C85" s="168">
        <f t="shared" si="26"/>
        <v>4.391666667</v>
      </c>
      <c r="D85" s="169">
        <v>0.9073011754161229</v>
      </c>
      <c r="E85" s="168">
        <f t="shared" si="27"/>
        <v>0.02239839216</v>
      </c>
      <c r="H85" s="168">
        <v>4.391666666666667</v>
      </c>
      <c r="I85" s="169">
        <v>0.022398392155668745</v>
      </c>
    </row>
    <row r="86">
      <c r="B86" s="162">
        <v>47049.0</v>
      </c>
      <c r="C86" s="168">
        <f t="shared" si="26"/>
        <v>4.936111111</v>
      </c>
      <c r="D86" s="169">
        <v>0.8828989776067528</v>
      </c>
      <c r="E86" s="168">
        <f t="shared" si="27"/>
        <v>0.02555230184</v>
      </c>
      <c r="H86" s="168">
        <v>4.936111111111111</v>
      </c>
      <c r="I86" s="169">
        <v>0.02555230184334545</v>
      </c>
    </row>
    <row r="87">
      <c r="B87" s="162">
        <v>47590.0</v>
      </c>
      <c r="C87" s="168">
        <f t="shared" si="26"/>
        <v>6.438888889</v>
      </c>
      <c r="D87" s="169">
        <v>0.8458487601364121</v>
      </c>
      <c r="E87" s="168">
        <f t="shared" si="27"/>
        <v>0.02634152147</v>
      </c>
      <c r="H87" s="168">
        <v>6.438888888888889</v>
      </c>
      <c r="I87" s="169">
        <v>0.026341521470002682</v>
      </c>
    </row>
    <row r="88">
      <c r="B88" s="162">
        <v>47800.0</v>
      </c>
      <c r="C88" s="168">
        <f t="shared" si="26"/>
        <v>7.022222222</v>
      </c>
      <c r="D88" s="169">
        <v>0.8198430234718287</v>
      </c>
      <c r="E88" s="168">
        <f t="shared" si="27"/>
        <v>0.0286915783</v>
      </c>
      <c r="H88" s="168">
        <v>7.022222222222222</v>
      </c>
      <c r="I88" s="169">
        <v>0.02869157830157132</v>
      </c>
    </row>
    <row r="89">
      <c r="B89" s="162">
        <v>48230.0</v>
      </c>
      <c r="C89" s="168">
        <f t="shared" si="26"/>
        <v>8.216666667</v>
      </c>
      <c r="D89" s="169">
        <v>0.7642894525922763</v>
      </c>
      <c r="E89" s="168">
        <f t="shared" si="27"/>
        <v>0.03325607551</v>
      </c>
      <c r="H89" s="168">
        <v>8.216666666666667</v>
      </c>
      <c r="I89" s="169">
        <v>0.033256075509090266</v>
      </c>
    </row>
    <row r="90">
      <c r="B90" s="160">
        <v>48616.0</v>
      </c>
      <c r="C90" s="168">
        <f t="shared" si="26"/>
        <v>9.288888889</v>
      </c>
      <c r="D90" s="169">
        <v>0.759773291568056</v>
      </c>
      <c r="E90" s="168">
        <f t="shared" si="27"/>
        <v>0.03001849149</v>
      </c>
      <c r="H90" s="168">
        <v>9.28888888888889</v>
      </c>
      <c r="I90" s="169">
        <v>0.03001849149407576</v>
      </c>
    </row>
    <row r="91">
      <c r="B91" s="162">
        <v>48805.0</v>
      </c>
      <c r="C91" s="168">
        <f t="shared" si="26"/>
        <v>9.813888889</v>
      </c>
      <c r="D91" s="169">
        <v>0.7335211676912666</v>
      </c>
      <c r="E91" s="168">
        <f t="shared" si="27"/>
        <v>0.03208143736</v>
      </c>
      <c r="H91" s="168">
        <v>9.813888888888888</v>
      </c>
      <c r="I91" s="169">
        <v>0.03208143735503799</v>
      </c>
    </row>
    <row r="92">
      <c r="B92" s="162">
        <v>49166.0</v>
      </c>
      <c r="C92" s="168">
        <f t="shared" si="26"/>
        <v>10.81666667</v>
      </c>
      <c r="D92" s="169">
        <v>0.7114818213490619</v>
      </c>
      <c r="E92" s="168">
        <f t="shared" si="27"/>
        <v>0.03197088461</v>
      </c>
      <c r="H92" s="168">
        <v>10.816666666666666</v>
      </c>
      <c r="I92" s="169">
        <v>0.0319708846066562</v>
      </c>
    </row>
    <row r="93">
      <c r="B93" s="163">
        <v>49818.0</v>
      </c>
      <c r="C93" s="168">
        <f t="shared" si="26"/>
        <v>12.62777778</v>
      </c>
      <c r="D93" s="169">
        <v>0.6861059822006266</v>
      </c>
      <c r="E93" s="168">
        <f t="shared" si="27"/>
        <v>0.03028235437</v>
      </c>
      <c r="H93" s="168">
        <v>12.627777777777778</v>
      </c>
      <c r="I93" s="169">
        <v>0.030282354370297027</v>
      </c>
    </row>
    <row r="94">
      <c r="B94" s="162">
        <v>50028.0</v>
      </c>
      <c r="C94" s="168">
        <f t="shared" si="26"/>
        <v>13.21111111</v>
      </c>
      <c r="D94" s="169">
        <v>0.659677250713408</v>
      </c>
      <c r="E94" s="168">
        <f t="shared" si="27"/>
        <v>0.03199001582</v>
      </c>
      <c r="H94" s="168">
        <v>13.21111111111111</v>
      </c>
      <c r="I94" s="169">
        <v>0.031990015820550166</v>
      </c>
    </row>
    <row r="95">
      <c r="B95" s="162">
        <v>50245.0</v>
      </c>
      <c r="C95" s="168">
        <f t="shared" si="26"/>
        <v>13.81388889</v>
      </c>
      <c r="D95" s="169">
        <v>0.6265135169835135</v>
      </c>
      <c r="E95" s="168">
        <f t="shared" si="27"/>
        <v>0.03442829175</v>
      </c>
      <c r="H95" s="168">
        <v>13.813888888888888</v>
      </c>
      <c r="I95" s="169">
        <v>0.03442829174612805</v>
      </c>
    </row>
    <row r="96">
      <c r="B96" s="162">
        <v>50789.0</v>
      </c>
      <c r="C96" s="168">
        <f t="shared" si="26"/>
        <v>15.325</v>
      </c>
      <c r="D96" s="169">
        <v>0.5883038417697735</v>
      </c>
      <c r="E96" s="168">
        <f t="shared" si="27"/>
        <v>0.03522356134</v>
      </c>
      <c r="H96" s="168">
        <v>15.325</v>
      </c>
      <c r="I96" s="169">
        <v>0.03522356134087801</v>
      </c>
    </row>
    <row r="97">
      <c r="B97" s="162">
        <v>52231.0</v>
      </c>
      <c r="C97" s="168">
        <f t="shared" si="26"/>
        <v>19.33055556</v>
      </c>
      <c r="D97" s="169">
        <v>0.6271570085505856</v>
      </c>
      <c r="E97" s="168">
        <f t="shared" si="27"/>
        <v>0.02442942249</v>
      </c>
      <c r="H97" s="168">
        <v>19.330555555555556</v>
      </c>
      <c r="I97" s="169">
        <v>0.024429422492894037</v>
      </c>
    </row>
    <row r="98">
      <c r="B98" s="162">
        <v>53610.0</v>
      </c>
      <c r="C98" s="168">
        <f t="shared" si="26"/>
        <v>23.16111111</v>
      </c>
      <c r="D98" s="169">
        <v>0.5429151529755223</v>
      </c>
      <c r="E98" s="168">
        <f t="shared" si="27"/>
        <v>0.0267227033</v>
      </c>
      <c r="H98" s="168">
        <v>23.16111111111111</v>
      </c>
      <c r="I98" s="169">
        <v>0.026722703297261896</v>
      </c>
    </row>
    <row r="99">
      <c r="B99" s="162">
        <v>56054.0</v>
      </c>
      <c r="C99" s="168">
        <f t="shared" si="26"/>
        <v>29.95</v>
      </c>
      <c r="D99" s="169">
        <v>0.5325426762709696</v>
      </c>
      <c r="E99" s="168">
        <f t="shared" si="27"/>
        <v>0.02126100003</v>
      </c>
      <c r="H99" s="168">
        <v>29.95</v>
      </c>
      <c r="I99" s="169">
        <v>0.021261000029100696</v>
      </c>
    </row>
    <row r="100">
      <c r="B100" s="162">
        <v>59699.0</v>
      </c>
      <c r="C100" s="168">
        <f t="shared" si="26"/>
        <v>40.075</v>
      </c>
      <c r="D100" s="169">
        <v>0.5085988271678411</v>
      </c>
      <c r="E100" s="168">
        <f t="shared" si="27"/>
        <v>0.01701387559</v>
      </c>
      <c r="H100" s="168">
        <v>40.075</v>
      </c>
      <c r="I100" s="169">
        <v>0.01701387559248535</v>
      </c>
    </row>
  </sheetData>
  <mergeCells count="1">
    <mergeCell ref="B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4" max="4" width="14.75"/>
    <col customWidth="1" min="5" max="5" width="10.75"/>
    <col customWidth="1" min="13" max="13" width="11.0"/>
    <col customWidth="1" min="14" max="14" width="10.13"/>
    <col customWidth="1" min="15" max="15" width="9.63"/>
    <col customWidth="1" min="16" max="16" width="10.63"/>
    <col customWidth="1" min="17" max="17" width="13.25"/>
    <col customWidth="1" min="18" max="18" width="10.13"/>
    <col customWidth="1" min="19" max="19" width="10.25"/>
  </cols>
  <sheetData>
    <row r="2">
      <c r="A2" s="170" t="s">
        <v>77</v>
      </c>
    </row>
    <row r="3">
      <c r="A3" s="5"/>
      <c r="B3" s="171" t="s">
        <v>1</v>
      </c>
      <c r="C3" s="172" t="s">
        <v>2</v>
      </c>
      <c r="D3" s="5"/>
    </row>
    <row r="4">
      <c r="A4" s="8" t="s">
        <v>3</v>
      </c>
      <c r="B4" s="9">
        <f>DATE(2023,12,12)</f>
        <v>45272</v>
      </c>
      <c r="C4" s="9">
        <f>DATE(2023,12,1)</f>
        <v>45261</v>
      </c>
      <c r="D4" s="5">
        <f>B4-C4</f>
        <v>11</v>
      </c>
    </row>
    <row r="5">
      <c r="A5" s="173" t="s">
        <v>27</v>
      </c>
      <c r="B5" s="174" t="s">
        <v>28</v>
      </c>
      <c r="C5" s="174" t="s">
        <v>29</v>
      </c>
      <c r="D5" s="174" t="s">
        <v>78</v>
      </c>
      <c r="E5" s="174" t="s">
        <v>79</v>
      </c>
      <c r="F5" s="174" t="s">
        <v>32</v>
      </c>
      <c r="G5" s="174" t="s">
        <v>33</v>
      </c>
      <c r="H5" s="174" t="s">
        <v>34</v>
      </c>
      <c r="I5" s="174" t="s">
        <v>35</v>
      </c>
      <c r="J5" s="174" t="s">
        <v>36</v>
      </c>
      <c r="K5" s="174" t="s">
        <v>37</v>
      </c>
      <c r="L5" s="174" t="s">
        <v>38</v>
      </c>
      <c r="M5" s="174" t="s">
        <v>9</v>
      </c>
      <c r="N5" s="174" t="s">
        <v>11</v>
      </c>
      <c r="O5" s="174" t="s">
        <v>10</v>
      </c>
      <c r="P5" s="175" t="s">
        <v>22</v>
      </c>
      <c r="Q5" s="174" t="s">
        <v>13</v>
      </c>
      <c r="R5" s="174" t="s">
        <v>40</v>
      </c>
      <c r="S5" s="174" t="s">
        <v>41</v>
      </c>
    </row>
    <row r="6">
      <c r="A6" s="176" t="s">
        <v>80</v>
      </c>
      <c r="B6" s="177">
        <v>0.0</v>
      </c>
      <c r="C6" s="178">
        <v>45299.0</v>
      </c>
      <c r="D6" s="179">
        <v>99.612</v>
      </c>
      <c r="E6" s="179">
        <v>99.619</v>
      </c>
      <c r="F6" s="180">
        <v>0.0</v>
      </c>
      <c r="G6" s="180">
        <v>5.266</v>
      </c>
      <c r="H6" s="180">
        <v>5.17</v>
      </c>
      <c r="I6" s="180">
        <v>0.0</v>
      </c>
      <c r="J6" s="180">
        <v>0.0</v>
      </c>
      <c r="K6" s="181">
        <v>7.6</v>
      </c>
      <c r="L6" s="181">
        <v>6.5</v>
      </c>
      <c r="M6" s="182">
        <f t="shared" ref="M6:M25" si="1">$D$4</f>
        <v>11</v>
      </c>
      <c r="N6" s="99">
        <v>184.0</v>
      </c>
      <c r="O6" s="183">
        <f t="shared" ref="O6:O25" si="2">YIELD($B$4,C6,B6,D6,100,2,0)</f>
        <v>0.05393233438</v>
      </c>
      <c r="P6" s="184">
        <f t="shared" ref="P6:P25" si="3">O6/2</f>
        <v>0.02696616719</v>
      </c>
      <c r="Q6" s="185">
        <f t="shared" ref="Q6:Q25" si="4">(100*P6)*M6/N6</f>
        <v>0.1612107821</v>
      </c>
      <c r="R6" s="186">
        <f t="shared" ref="R6:R25" si="5">Q6+D6</f>
        <v>99.77321078</v>
      </c>
      <c r="S6" s="186">
        <f t="shared" ref="S6:S25" si="6">Q6+E6</f>
        <v>99.78021078</v>
      </c>
    </row>
    <row r="7">
      <c r="A7" s="176" t="s">
        <v>81</v>
      </c>
      <c r="B7" s="177">
        <v>0.0</v>
      </c>
      <c r="C7" s="187">
        <v>45362.0</v>
      </c>
      <c r="D7" s="179">
        <v>98.709</v>
      </c>
      <c r="E7" s="179">
        <v>98.733</v>
      </c>
      <c r="F7" s="180">
        <v>0.0</v>
      </c>
      <c r="G7" s="180">
        <v>5.364</v>
      </c>
      <c r="H7" s="180">
        <v>5.263</v>
      </c>
      <c r="I7" s="180">
        <v>0.06</v>
      </c>
      <c r="J7" s="180">
        <v>0.0</v>
      </c>
      <c r="K7" s="181">
        <v>14.2</v>
      </c>
      <c r="L7" s="181">
        <v>12.9</v>
      </c>
      <c r="M7" s="182">
        <f t="shared" si="1"/>
        <v>11</v>
      </c>
      <c r="N7" s="99">
        <v>184.0</v>
      </c>
      <c r="O7" s="183">
        <f t="shared" si="2"/>
        <v>0.0529032051</v>
      </c>
      <c r="P7" s="184">
        <f t="shared" si="3"/>
        <v>0.02645160255</v>
      </c>
      <c r="Q7" s="185">
        <f t="shared" si="4"/>
        <v>0.1581345805</v>
      </c>
      <c r="R7" s="186">
        <f t="shared" si="5"/>
        <v>98.86713458</v>
      </c>
      <c r="S7" s="186">
        <f t="shared" si="6"/>
        <v>98.89113458</v>
      </c>
    </row>
    <row r="8">
      <c r="A8" s="176" t="s">
        <v>82</v>
      </c>
      <c r="B8" s="177">
        <v>0.0</v>
      </c>
      <c r="C8" s="187">
        <v>45453.0</v>
      </c>
      <c r="D8" s="179">
        <v>97.427</v>
      </c>
      <c r="E8" s="179">
        <v>97.474</v>
      </c>
      <c r="F8" s="180">
        <v>0.0</v>
      </c>
      <c r="G8" s="180">
        <v>5.355</v>
      </c>
      <c r="H8" s="180">
        <v>5.255</v>
      </c>
      <c r="I8" s="180">
        <v>0.03</v>
      </c>
      <c r="J8" s="180">
        <v>0.0</v>
      </c>
      <c r="K8" s="181">
        <v>13.3</v>
      </c>
      <c r="L8" s="181">
        <v>10.6</v>
      </c>
      <c r="M8" s="182">
        <f t="shared" si="1"/>
        <v>11</v>
      </c>
      <c r="N8" s="99">
        <v>184.0</v>
      </c>
      <c r="O8" s="183">
        <f t="shared" si="2"/>
        <v>0.05341250603</v>
      </c>
      <c r="P8" s="184">
        <f t="shared" si="3"/>
        <v>0.02670625301</v>
      </c>
      <c r="Q8" s="185">
        <f t="shared" si="4"/>
        <v>0.1596569474</v>
      </c>
      <c r="R8" s="186">
        <f t="shared" si="5"/>
        <v>97.58665695</v>
      </c>
      <c r="S8" s="186">
        <f t="shared" si="6"/>
        <v>97.63365695</v>
      </c>
    </row>
    <row r="9">
      <c r="A9" s="176" t="s">
        <v>83</v>
      </c>
      <c r="B9" s="188">
        <v>0.0275</v>
      </c>
      <c r="C9" s="189">
        <v>45482.0</v>
      </c>
      <c r="D9" s="190">
        <v>98.361</v>
      </c>
      <c r="E9" s="179">
        <v>98.401</v>
      </c>
      <c r="F9" s="180">
        <v>0.01</v>
      </c>
      <c r="G9" s="180">
        <v>5.057</v>
      </c>
      <c r="H9" s="180">
        <v>5.0</v>
      </c>
      <c r="I9" s="180">
        <v>-0.003</v>
      </c>
      <c r="J9" s="180">
        <v>0.0</v>
      </c>
      <c r="K9" s="133">
        <v>-8.6</v>
      </c>
      <c r="L9" s="133">
        <v>-9.5</v>
      </c>
      <c r="M9" s="182">
        <f t="shared" si="1"/>
        <v>11</v>
      </c>
      <c r="N9" s="99">
        <v>184.0</v>
      </c>
      <c r="O9" s="183">
        <f t="shared" si="2"/>
        <v>0.05683151452</v>
      </c>
      <c r="P9" s="184">
        <f t="shared" si="3"/>
        <v>0.02841575726</v>
      </c>
      <c r="Q9" s="185">
        <f t="shared" si="4"/>
        <v>0.1698768097</v>
      </c>
      <c r="R9" s="186">
        <f t="shared" si="5"/>
        <v>98.53087681</v>
      </c>
      <c r="S9" s="186">
        <f t="shared" si="6"/>
        <v>98.57087681</v>
      </c>
    </row>
    <row r="10">
      <c r="A10" s="176" t="s">
        <v>84</v>
      </c>
      <c r="B10" s="188">
        <v>0.035</v>
      </c>
      <c r="C10" s="191">
        <v>45952.0</v>
      </c>
      <c r="D10" s="179">
        <v>98.208</v>
      </c>
      <c r="E10" s="179">
        <v>98.232</v>
      </c>
      <c r="F10" s="180">
        <v>-0.28</v>
      </c>
      <c r="G10" s="180">
        <v>4.514</v>
      </c>
      <c r="H10" s="180">
        <v>4.5</v>
      </c>
      <c r="I10" s="180">
        <v>0.016</v>
      </c>
      <c r="J10" s="180">
        <v>0.0</v>
      </c>
      <c r="K10" s="181">
        <v>-10.2</v>
      </c>
      <c r="L10" s="181">
        <v>-5.3</v>
      </c>
      <c r="M10" s="182">
        <f t="shared" si="1"/>
        <v>11</v>
      </c>
      <c r="N10" s="99">
        <v>184.0</v>
      </c>
      <c r="O10" s="183">
        <f t="shared" si="2"/>
        <v>0.04512464787</v>
      </c>
      <c r="P10" s="184">
        <f t="shared" si="3"/>
        <v>0.02256232394</v>
      </c>
      <c r="Q10" s="185">
        <f t="shared" si="4"/>
        <v>0.1348834583</v>
      </c>
      <c r="R10" s="186">
        <f t="shared" si="5"/>
        <v>98.34288346</v>
      </c>
      <c r="S10" s="186">
        <f t="shared" si="6"/>
        <v>98.36688346</v>
      </c>
    </row>
    <row r="11">
      <c r="A11" s="176" t="s">
        <v>85</v>
      </c>
      <c r="B11" s="188">
        <v>0.04125</v>
      </c>
      <c r="C11" s="187">
        <v>46416.0</v>
      </c>
      <c r="D11" s="179">
        <v>99.809</v>
      </c>
      <c r="E11" s="179">
        <v>99.849</v>
      </c>
      <c r="F11" s="181">
        <v>0.014</v>
      </c>
      <c r="G11" s="180">
        <v>4.189</v>
      </c>
      <c r="H11" s="180">
        <v>4.176</v>
      </c>
      <c r="I11" s="180">
        <v>-0.005</v>
      </c>
      <c r="J11" s="180">
        <v>0.0</v>
      </c>
      <c r="K11" s="192">
        <v>-5.9</v>
      </c>
      <c r="L11" s="192">
        <v>-1.7</v>
      </c>
      <c r="M11" s="182">
        <f t="shared" si="1"/>
        <v>11</v>
      </c>
      <c r="N11" s="99">
        <v>184.0</v>
      </c>
      <c r="O11" s="183">
        <f t="shared" si="2"/>
        <v>0.04189313807</v>
      </c>
      <c r="P11" s="184">
        <f t="shared" si="3"/>
        <v>0.02094656904</v>
      </c>
      <c r="Q11" s="185">
        <f t="shared" si="4"/>
        <v>0.125224054</v>
      </c>
      <c r="R11" s="186">
        <f t="shared" si="5"/>
        <v>99.93422405</v>
      </c>
      <c r="S11" s="186">
        <f t="shared" si="6"/>
        <v>99.97422405</v>
      </c>
    </row>
    <row r="12">
      <c r="A12" s="176" t="s">
        <v>86</v>
      </c>
      <c r="B12" s="188">
        <v>0.0125</v>
      </c>
      <c r="C12" s="187">
        <v>46590.0</v>
      </c>
      <c r="D12" s="179">
        <v>90.873</v>
      </c>
      <c r="E12" s="179">
        <v>90.913</v>
      </c>
      <c r="F12" s="181">
        <v>0.028</v>
      </c>
      <c r="G12" s="180">
        <v>3.993</v>
      </c>
      <c r="H12" s="180">
        <v>3.98</v>
      </c>
      <c r="I12" s="180">
        <v>-0.007</v>
      </c>
      <c r="J12" s="180">
        <v>0.0</v>
      </c>
      <c r="K12" s="180">
        <v>-16.7</v>
      </c>
      <c r="L12" s="180">
        <v>-10.1</v>
      </c>
      <c r="M12" s="182">
        <f t="shared" si="1"/>
        <v>11</v>
      </c>
      <c r="N12" s="99">
        <v>184.0</v>
      </c>
      <c r="O12" s="183">
        <f t="shared" si="2"/>
        <v>0.03988622015</v>
      </c>
      <c r="P12" s="184">
        <f t="shared" si="3"/>
        <v>0.01994311007</v>
      </c>
      <c r="Q12" s="185">
        <f t="shared" si="4"/>
        <v>0.1192251146</v>
      </c>
      <c r="R12" s="186">
        <f t="shared" si="5"/>
        <v>90.99222511</v>
      </c>
      <c r="S12" s="186">
        <f t="shared" si="6"/>
        <v>91.03222511</v>
      </c>
    </row>
    <row r="13">
      <c r="A13" s="176" t="s">
        <v>87</v>
      </c>
      <c r="B13" s="188">
        <v>0.045</v>
      </c>
      <c r="C13" s="178">
        <v>46911.0</v>
      </c>
      <c r="D13" s="179">
        <v>101.857</v>
      </c>
      <c r="E13" s="179">
        <v>101.907</v>
      </c>
      <c r="F13" s="181">
        <v>0.013</v>
      </c>
      <c r="G13" s="180">
        <v>4.043</v>
      </c>
      <c r="H13" s="180">
        <v>4.03</v>
      </c>
      <c r="I13" s="180">
        <v>-0.003</v>
      </c>
      <c r="J13" s="180">
        <v>0.0</v>
      </c>
      <c r="K13" s="180">
        <v>2.9</v>
      </c>
      <c r="L13" s="180">
        <v>4.5</v>
      </c>
      <c r="M13" s="182">
        <f t="shared" si="1"/>
        <v>11</v>
      </c>
      <c r="N13" s="99">
        <v>184.0</v>
      </c>
      <c r="O13" s="183">
        <f t="shared" si="2"/>
        <v>0.04043073735</v>
      </c>
      <c r="P13" s="184">
        <f t="shared" si="3"/>
        <v>0.02021536867</v>
      </c>
      <c r="Q13" s="185">
        <f t="shared" si="4"/>
        <v>0.1208527475</v>
      </c>
      <c r="R13" s="186">
        <f t="shared" si="5"/>
        <v>101.9778527</v>
      </c>
      <c r="S13" s="186">
        <f t="shared" si="6"/>
        <v>102.0278527</v>
      </c>
    </row>
    <row r="14">
      <c r="A14" s="176" t="s">
        <v>88</v>
      </c>
      <c r="B14" s="188">
        <v>0.005</v>
      </c>
      <c r="C14" s="187">
        <v>47149.0</v>
      </c>
      <c r="D14" s="179">
        <v>84.208</v>
      </c>
      <c r="E14" s="179">
        <v>84.288</v>
      </c>
      <c r="F14" s="181">
        <v>0.006</v>
      </c>
      <c r="G14" s="180">
        <v>3.929</v>
      </c>
      <c r="H14" s="180">
        <v>3.909</v>
      </c>
      <c r="I14" s="180">
        <v>0.0</v>
      </c>
      <c r="J14" s="180">
        <v>0.0</v>
      </c>
      <c r="K14" s="180">
        <v>0.1</v>
      </c>
      <c r="L14" s="180">
        <v>2.6</v>
      </c>
      <c r="M14" s="182">
        <f t="shared" si="1"/>
        <v>11</v>
      </c>
      <c r="N14" s="99">
        <v>184.0</v>
      </c>
      <c r="O14" s="183">
        <f t="shared" si="2"/>
        <v>0.03926725394</v>
      </c>
      <c r="P14" s="184">
        <f t="shared" si="3"/>
        <v>0.01963362697</v>
      </c>
      <c r="Q14" s="185">
        <f t="shared" si="4"/>
        <v>0.1173749438</v>
      </c>
      <c r="R14" s="186">
        <f t="shared" si="5"/>
        <v>84.32537494</v>
      </c>
      <c r="S14" s="186">
        <f t="shared" si="6"/>
        <v>84.40537494</v>
      </c>
    </row>
    <row r="15">
      <c r="A15" s="176" t="s">
        <v>89</v>
      </c>
      <c r="B15" s="188">
        <v>0.00375</v>
      </c>
      <c r="C15" s="187">
        <v>47778.0</v>
      </c>
      <c r="D15" s="179">
        <v>79.178</v>
      </c>
      <c r="E15" s="179">
        <v>79.258</v>
      </c>
      <c r="F15" s="181">
        <v>0.026</v>
      </c>
      <c r="G15" s="180">
        <v>3.861</v>
      </c>
      <c r="H15" s="180">
        <v>3.846</v>
      </c>
      <c r="I15" s="180">
        <v>-0.004</v>
      </c>
      <c r="J15" s="180">
        <v>-1.5</v>
      </c>
      <c r="K15" s="180">
        <v>2.8</v>
      </c>
      <c r="L15" s="180">
        <v>7.4</v>
      </c>
      <c r="M15" s="182">
        <f t="shared" si="1"/>
        <v>11</v>
      </c>
      <c r="N15" s="99">
        <v>184.0</v>
      </c>
      <c r="O15" s="183">
        <f t="shared" si="2"/>
        <v>0.03858102468</v>
      </c>
      <c r="P15" s="184">
        <f t="shared" si="3"/>
        <v>0.01929051234</v>
      </c>
      <c r="Q15" s="185">
        <f t="shared" si="4"/>
        <v>0.1153237151</v>
      </c>
      <c r="R15" s="186">
        <f t="shared" si="5"/>
        <v>79.29332372</v>
      </c>
      <c r="S15" s="186">
        <f t="shared" si="6"/>
        <v>79.37332372</v>
      </c>
    </row>
    <row r="16">
      <c r="A16" s="176" t="s">
        <v>90</v>
      </c>
      <c r="B16" s="177">
        <v>0.01</v>
      </c>
      <c r="C16" s="187">
        <v>48244.0</v>
      </c>
      <c r="D16" s="179">
        <v>79.824</v>
      </c>
      <c r="E16" s="179">
        <v>79.644</v>
      </c>
      <c r="F16" s="192">
        <v>0.029</v>
      </c>
      <c r="G16" s="180">
        <v>3.922</v>
      </c>
      <c r="H16" s="180">
        <v>3.909</v>
      </c>
      <c r="I16" s="180">
        <v>-0.004</v>
      </c>
      <c r="J16" s="180">
        <v>0.0</v>
      </c>
      <c r="K16" s="180">
        <v>13.2</v>
      </c>
      <c r="L16" s="180">
        <v>15.7</v>
      </c>
      <c r="M16" s="182">
        <f t="shared" si="1"/>
        <v>11</v>
      </c>
      <c r="N16" s="99">
        <v>184.0</v>
      </c>
      <c r="O16" s="183">
        <f t="shared" si="2"/>
        <v>0.03921104917</v>
      </c>
      <c r="P16" s="184">
        <f t="shared" si="3"/>
        <v>0.01960552459</v>
      </c>
      <c r="Q16" s="185">
        <f t="shared" si="4"/>
        <v>0.1172069405</v>
      </c>
      <c r="R16" s="186">
        <f t="shared" si="5"/>
        <v>79.94120694</v>
      </c>
      <c r="S16" s="186">
        <f t="shared" si="6"/>
        <v>79.76120694</v>
      </c>
    </row>
    <row r="17">
      <c r="A17" s="176" t="s">
        <v>91</v>
      </c>
      <c r="B17" s="188">
        <v>0.0425</v>
      </c>
      <c r="C17" s="178">
        <v>48372.0</v>
      </c>
      <c r="D17" s="179">
        <v>102.564</v>
      </c>
      <c r="E17" s="179">
        <v>102.644</v>
      </c>
      <c r="F17" s="180">
        <v>0.05</v>
      </c>
      <c r="G17" s="180">
        <v>3.892</v>
      </c>
      <c r="H17" s="180">
        <v>3.881</v>
      </c>
      <c r="I17" s="180">
        <v>-0.007</v>
      </c>
      <c r="J17" s="180">
        <v>0.0</v>
      </c>
      <c r="K17" s="180">
        <v>11.7</v>
      </c>
      <c r="L17" s="180">
        <v>12.7</v>
      </c>
      <c r="M17" s="182">
        <f t="shared" si="1"/>
        <v>11</v>
      </c>
      <c r="N17" s="99">
        <v>184.0</v>
      </c>
      <c r="O17" s="183">
        <f t="shared" si="2"/>
        <v>0.03892237583</v>
      </c>
      <c r="P17" s="184">
        <f t="shared" si="3"/>
        <v>0.01946118792</v>
      </c>
      <c r="Q17" s="185">
        <f t="shared" si="4"/>
        <v>0.1163440582</v>
      </c>
      <c r="R17" s="186">
        <f t="shared" si="5"/>
        <v>102.6803441</v>
      </c>
      <c r="S17" s="186">
        <f t="shared" si="6"/>
        <v>102.7603441</v>
      </c>
    </row>
    <row r="18">
      <c r="A18" s="176" t="s">
        <v>92</v>
      </c>
      <c r="B18" s="188">
        <v>0.0325</v>
      </c>
      <c r="C18" s="187">
        <v>48610.0</v>
      </c>
      <c r="D18" s="179">
        <v>94.579</v>
      </c>
      <c r="E18" s="179">
        <v>94.659</v>
      </c>
      <c r="F18" s="180">
        <v>0.046</v>
      </c>
      <c r="G18" s="180">
        <v>3.963</v>
      </c>
      <c r="H18" s="180">
        <v>3.952</v>
      </c>
      <c r="I18" s="180">
        <v>-0.006</v>
      </c>
      <c r="J18" s="180">
        <v>0.0</v>
      </c>
      <c r="K18" s="180">
        <v>20.7</v>
      </c>
      <c r="L18" s="180">
        <v>20.3</v>
      </c>
      <c r="M18" s="182">
        <f t="shared" si="1"/>
        <v>11</v>
      </c>
      <c r="N18" s="99">
        <v>184.0</v>
      </c>
      <c r="O18" s="183">
        <f t="shared" si="2"/>
        <v>0.03962804492</v>
      </c>
      <c r="P18" s="184">
        <f t="shared" si="3"/>
        <v>0.01981402246</v>
      </c>
      <c r="Q18" s="185">
        <f t="shared" si="4"/>
        <v>0.1184533951</v>
      </c>
      <c r="R18" s="186">
        <f t="shared" si="5"/>
        <v>94.6974534</v>
      </c>
      <c r="S18" s="186">
        <f t="shared" si="6"/>
        <v>94.7774534</v>
      </c>
    </row>
    <row r="19">
      <c r="A19" s="176" t="s">
        <v>93</v>
      </c>
      <c r="B19" s="188">
        <v>0.00625</v>
      </c>
      <c r="C19" s="187">
        <v>49521.0</v>
      </c>
      <c r="D19" s="179">
        <v>67.924</v>
      </c>
      <c r="E19" s="179">
        <v>68.004</v>
      </c>
      <c r="F19" s="180">
        <v>0.043</v>
      </c>
      <c r="G19" s="180">
        <v>4.124</v>
      </c>
      <c r="H19" s="180">
        <v>4.113</v>
      </c>
      <c r="I19" s="180">
        <v>-0.006</v>
      </c>
      <c r="J19" s="180">
        <v>4.0</v>
      </c>
      <c r="K19" s="180">
        <v>33.8</v>
      </c>
      <c r="L19" s="180">
        <v>32.2</v>
      </c>
      <c r="M19" s="182">
        <f t="shared" si="1"/>
        <v>11</v>
      </c>
      <c r="N19" s="99">
        <v>184.0</v>
      </c>
      <c r="O19" s="183">
        <f t="shared" si="2"/>
        <v>0.04124088144</v>
      </c>
      <c r="P19" s="184">
        <f t="shared" si="3"/>
        <v>0.02062044072</v>
      </c>
      <c r="Q19" s="185">
        <f t="shared" si="4"/>
        <v>0.1232743739</v>
      </c>
      <c r="R19" s="186">
        <f t="shared" si="5"/>
        <v>68.04727437</v>
      </c>
      <c r="S19" s="186">
        <f t="shared" si="6"/>
        <v>68.12727437</v>
      </c>
    </row>
    <row r="20">
      <c r="A20" s="176" t="s">
        <v>94</v>
      </c>
      <c r="B20" s="188">
        <v>0.0375</v>
      </c>
      <c r="C20" s="187">
        <v>50434.0</v>
      </c>
      <c r="D20" s="179">
        <v>94.31</v>
      </c>
      <c r="E20" s="179">
        <v>94.39</v>
      </c>
      <c r="F20" s="180">
        <v>0.036</v>
      </c>
      <c r="G20" s="180">
        <v>4.291</v>
      </c>
      <c r="H20" s="180">
        <v>4.283</v>
      </c>
      <c r="I20" s="180">
        <v>-0.003</v>
      </c>
      <c r="J20" s="180">
        <v>4.4</v>
      </c>
      <c r="K20" s="180">
        <v>49.1</v>
      </c>
      <c r="L20" s="180">
        <v>49.9</v>
      </c>
      <c r="M20" s="182">
        <f t="shared" si="1"/>
        <v>11</v>
      </c>
      <c r="N20" s="99">
        <v>184.0</v>
      </c>
      <c r="O20" s="183">
        <f t="shared" si="2"/>
        <v>0.04290818534</v>
      </c>
      <c r="P20" s="184">
        <f t="shared" si="3"/>
        <v>0.02145409267</v>
      </c>
      <c r="Q20" s="185">
        <f t="shared" si="4"/>
        <v>0.1282581627</v>
      </c>
      <c r="R20" s="186">
        <f t="shared" si="5"/>
        <v>94.43825816</v>
      </c>
      <c r="S20" s="186">
        <f t="shared" si="6"/>
        <v>94.51825816</v>
      </c>
    </row>
    <row r="21">
      <c r="A21" s="176" t="s">
        <v>95</v>
      </c>
      <c r="B21" s="188">
        <v>0.045</v>
      </c>
      <c r="C21" s="178">
        <v>52207.0</v>
      </c>
      <c r="D21" s="179">
        <v>100.014</v>
      </c>
      <c r="E21" s="179">
        <v>101.014</v>
      </c>
      <c r="F21" s="180">
        <v>0.045</v>
      </c>
      <c r="G21" s="180">
        <v>4.427</v>
      </c>
      <c r="H21" s="180">
        <v>4.42</v>
      </c>
      <c r="I21" s="180">
        <v>-0.003</v>
      </c>
      <c r="J21" s="180">
        <v>0.0</v>
      </c>
      <c r="K21" s="180">
        <v>62.4</v>
      </c>
      <c r="L21" s="180">
        <v>65.5</v>
      </c>
      <c r="M21" s="182">
        <f t="shared" si="1"/>
        <v>11</v>
      </c>
      <c r="N21" s="99">
        <v>184.0</v>
      </c>
      <c r="O21" s="183">
        <f t="shared" si="2"/>
        <v>0.04498842494</v>
      </c>
      <c r="P21" s="184">
        <f t="shared" si="3"/>
        <v>0.02249421247</v>
      </c>
      <c r="Q21" s="185">
        <f t="shared" si="4"/>
        <v>0.1344762702</v>
      </c>
      <c r="R21" s="186">
        <f t="shared" si="5"/>
        <v>100.1484763</v>
      </c>
      <c r="S21" s="186">
        <f t="shared" si="6"/>
        <v>101.1484763</v>
      </c>
    </row>
    <row r="22">
      <c r="A22" s="176" t="s">
        <v>96</v>
      </c>
      <c r="B22" s="188">
        <v>0.0175</v>
      </c>
      <c r="C22" s="187">
        <v>54445.0</v>
      </c>
      <c r="D22" s="179">
        <v>59.404</v>
      </c>
      <c r="E22" s="179">
        <v>59.544</v>
      </c>
      <c r="F22" s="180">
        <v>-0.006</v>
      </c>
      <c r="G22" s="180">
        <v>4.451</v>
      </c>
      <c r="H22" s="180">
        <v>4.439</v>
      </c>
      <c r="I22" s="180">
        <v>0.001</v>
      </c>
      <c r="J22" s="180">
        <v>0.0</v>
      </c>
      <c r="K22" s="180">
        <v>67.7</v>
      </c>
      <c r="L22" s="180">
        <v>52.1</v>
      </c>
      <c r="M22" s="182">
        <f t="shared" si="1"/>
        <v>11</v>
      </c>
      <c r="N22" s="99">
        <v>184.0</v>
      </c>
      <c r="O22" s="183">
        <f t="shared" si="2"/>
        <v>0.04451126116</v>
      </c>
      <c r="P22" s="184">
        <f t="shared" si="3"/>
        <v>0.02225563058</v>
      </c>
      <c r="Q22" s="185">
        <f t="shared" si="4"/>
        <v>0.1330499654</v>
      </c>
      <c r="R22" s="186">
        <f t="shared" si="5"/>
        <v>59.53704997</v>
      </c>
      <c r="S22" s="186">
        <f t="shared" si="6"/>
        <v>59.67704997</v>
      </c>
    </row>
    <row r="23">
      <c r="A23" s="176" t="s">
        <v>97</v>
      </c>
      <c r="B23" s="188">
        <v>0.0375</v>
      </c>
      <c r="C23" s="187">
        <v>56179.0</v>
      </c>
      <c r="D23" s="179">
        <v>88.201</v>
      </c>
      <c r="E23" s="179">
        <v>88.241</v>
      </c>
      <c r="F23" s="180">
        <v>0.073</v>
      </c>
      <c r="G23" s="180">
        <v>4.469</v>
      </c>
      <c r="H23" s="180">
        <v>4.467</v>
      </c>
      <c r="I23" s="180">
        <v>-0.005</v>
      </c>
      <c r="J23" s="180">
        <v>0.0</v>
      </c>
      <c r="K23" s="180">
        <v>74.8</v>
      </c>
      <c r="L23" s="180">
        <v>70.8</v>
      </c>
      <c r="M23" s="182">
        <f t="shared" si="1"/>
        <v>11</v>
      </c>
      <c r="N23" s="99">
        <v>184.0</v>
      </c>
      <c r="O23" s="183">
        <f t="shared" si="2"/>
        <v>0.04469328156</v>
      </c>
      <c r="P23" s="184">
        <f t="shared" si="3"/>
        <v>0.02234664078</v>
      </c>
      <c r="Q23" s="185">
        <f t="shared" si="4"/>
        <v>0.1335940482</v>
      </c>
      <c r="R23" s="186">
        <f t="shared" si="5"/>
        <v>88.33459405</v>
      </c>
      <c r="S23" s="186">
        <f t="shared" si="6"/>
        <v>88.37459405</v>
      </c>
    </row>
    <row r="24">
      <c r="A24" s="176" t="s">
        <v>98</v>
      </c>
      <c r="B24" s="177">
        <v>0.04</v>
      </c>
      <c r="C24" s="187">
        <v>59831.0</v>
      </c>
      <c r="D24" s="179">
        <v>92.621</v>
      </c>
      <c r="E24" s="179">
        <v>92.801</v>
      </c>
      <c r="F24" s="180">
        <v>0.086</v>
      </c>
      <c r="G24" s="180">
        <v>4.394</v>
      </c>
      <c r="H24" s="180">
        <v>4.384</v>
      </c>
      <c r="I24" s="180">
        <v>-0.005</v>
      </c>
      <c r="J24" s="180">
        <v>6.5</v>
      </c>
      <c r="K24" s="180">
        <v>79.2</v>
      </c>
      <c r="L24" s="180">
        <v>77.1</v>
      </c>
      <c r="M24" s="182">
        <f t="shared" si="1"/>
        <v>11</v>
      </c>
      <c r="N24" s="99">
        <v>184.0</v>
      </c>
      <c r="O24" s="183">
        <f t="shared" si="2"/>
        <v>0.04393633361</v>
      </c>
      <c r="P24" s="184">
        <f t="shared" si="3"/>
        <v>0.02196816681</v>
      </c>
      <c r="Q24" s="185">
        <f t="shared" si="4"/>
        <v>0.131331432</v>
      </c>
      <c r="R24" s="186">
        <f t="shared" si="5"/>
        <v>92.75233143</v>
      </c>
      <c r="S24" s="186">
        <f t="shared" si="6"/>
        <v>92.93233143</v>
      </c>
    </row>
    <row r="25">
      <c r="A25" s="176" t="s">
        <v>99</v>
      </c>
      <c r="B25" s="188">
        <v>0.01125</v>
      </c>
      <c r="C25" s="187">
        <v>63484.0</v>
      </c>
      <c r="D25" s="179">
        <v>37.502</v>
      </c>
      <c r="E25" s="179">
        <v>37.682</v>
      </c>
      <c r="F25" s="180">
        <v>0.02</v>
      </c>
      <c r="G25" s="180">
        <v>4.056</v>
      </c>
      <c r="H25" s="180">
        <v>4.039</v>
      </c>
      <c r="I25" s="180">
        <v>-0.002</v>
      </c>
      <c r="J25" s="180">
        <v>-11.6</v>
      </c>
      <c r="K25" s="180">
        <v>58.6</v>
      </c>
      <c r="L25" s="180">
        <v>38.3</v>
      </c>
      <c r="M25" s="182">
        <f t="shared" si="1"/>
        <v>11</v>
      </c>
      <c r="N25" s="99">
        <v>184.0</v>
      </c>
      <c r="O25" s="183">
        <f t="shared" si="2"/>
        <v>0.04055297542</v>
      </c>
      <c r="P25" s="184">
        <f t="shared" si="3"/>
        <v>0.02027648771</v>
      </c>
      <c r="Q25" s="185">
        <f t="shared" si="4"/>
        <v>0.1212181331</v>
      </c>
      <c r="R25" s="186">
        <f t="shared" si="5"/>
        <v>37.62321813</v>
      </c>
      <c r="S25" s="186">
        <f t="shared" si="6"/>
        <v>37.80321813</v>
      </c>
    </row>
    <row r="28">
      <c r="A28" s="193" t="s">
        <v>17</v>
      </c>
      <c r="B28" s="194"/>
      <c r="C28" s="194"/>
    </row>
    <row r="29">
      <c r="A29" s="195" t="s">
        <v>4</v>
      </c>
      <c r="B29" s="196">
        <v>45299.0</v>
      </c>
      <c r="C29" s="197">
        <v>45362.0</v>
      </c>
      <c r="D29" s="197">
        <v>45453.0</v>
      </c>
      <c r="E29" s="198">
        <v>45482.0</v>
      </c>
      <c r="F29" s="197">
        <v>45952.0</v>
      </c>
      <c r="G29" s="197">
        <v>46416.0</v>
      </c>
      <c r="H29" s="197">
        <v>46590.0</v>
      </c>
      <c r="I29" s="196">
        <v>46911.0</v>
      </c>
      <c r="J29" s="197">
        <v>47149.0</v>
      </c>
      <c r="K29" s="197">
        <v>47778.0</v>
      </c>
      <c r="L29" s="197">
        <v>48244.0</v>
      </c>
      <c r="M29" s="196">
        <v>48372.0</v>
      </c>
      <c r="N29" s="197">
        <v>48610.0</v>
      </c>
      <c r="O29" s="197">
        <v>49521.0</v>
      </c>
      <c r="P29" s="197">
        <v>50434.0</v>
      </c>
      <c r="Q29" s="196">
        <v>52207.0</v>
      </c>
      <c r="R29" s="197">
        <v>54445.0</v>
      </c>
      <c r="S29" s="197">
        <v>56179.0</v>
      </c>
      <c r="T29" s="197">
        <v>59831.0</v>
      </c>
      <c r="U29" s="197">
        <v>63484.0</v>
      </c>
    </row>
    <row r="30">
      <c r="A30" s="199">
        <v>45299.0</v>
      </c>
      <c r="B30" s="200">
        <f>100*(1+P6)</f>
        <v>102.6966167</v>
      </c>
      <c r="C30" s="200">
        <v>0.0</v>
      </c>
      <c r="D30" s="200">
        <v>0.0</v>
      </c>
      <c r="E30" s="200">
        <v>0.0</v>
      </c>
      <c r="F30" s="200">
        <v>0.0</v>
      </c>
      <c r="G30" s="200">
        <v>0.0</v>
      </c>
      <c r="H30" s="200">
        <v>0.0</v>
      </c>
      <c r="I30" s="200">
        <v>0.0</v>
      </c>
      <c r="J30" s="200">
        <v>0.0</v>
      </c>
      <c r="K30" s="200">
        <v>0.0</v>
      </c>
      <c r="L30" s="200">
        <v>0.0</v>
      </c>
      <c r="M30" s="200">
        <v>0.0</v>
      </c>
      <c r="N30" s="200">
        <v>0.0</v>
      </c>
      <c r="O30" s="200">
        <v>0.0</v>
      </c>
      <c r="P30" s="200">
        <v>0.0</v>
      </c>
      <c r="Q30" s="200">
        <v>0.0</v>
      </c>
      <c r="R30" s="200">
        <v>0.0</v>
      </c>
      <c r="S30" s="200">
        <v>0.0</v>
      </c>
      <c r="T30" s="200">
        <v>0.0</v>
      </c>
      <c r="U30" s="200">
        <v>0.0</v>
      </c>
    </row>
    <row r="31">
      <c r="A31" s="201">
        <v>45362.0</v>
      </c>
      <c r="B31" s="202">
        <f>100*P7</f>
        <v>2.645160255</v>
      </c>
      <c r="C31" s="200">
        <f>100+B31</f>
        <v>102.6451603</v>
      </c>
      <c r="D31" s="200">
        <v>0.0</v>
      </c>
      <c r="E31" s="200">
        <v>0.0</v>
      </c>
      <c r="F31" s="200">
        <v>0.0</v>
      </c>
      <c r="G31" s="200">
        <v>0.0</v>
      </c>
      <c r="H31" s="200">
        <v>0.0</v>
      </c>
      <c r="I31" s="200">
        <v>0.0</v>
      </c>
      <c r="J31" s="200">
        <v>0.0</v>
      </c>
      <c r="K31" s="200">
        <v>0.0</v>
      </c>
      <c r="L31" s="200">
        <v>0.0</v>
      </c>
      <c r="M31" s="200">
        <v>0.0</v>
      </c>
      <c r="N31" s="200">
        <v>0.0</v>
      </c>
      <c r="O31" s="200">
        <v>0.0</v>
      </c>
      <c r="P31" s="200">
        <v>0.0</v>
      </c>
      <c r="Q31" s="200">
        <v>0.0</v>
      </c>
      <c r="R31" s="200">
        <v>0.0</v>
      </c>
      <c r="S31" s="200">
        <v>0.0</v>
      </c>
      <c r="T31" s="200">
        <v>0.0</v>
      </c>
      <c r="U31" s="200">
        <v>0.0</v>
      </c>
    </row>
    <row r="32">
      <c r="A32" s="201">
        <v>45453.0</v>
      </c>
      <c r="B32" s="200">
        <f t="shared" ref="B32:C32" si="7">100*$P8</f>
        <v>2.670625301</v>
      </c>
      <c r="C32" s="200">
        <f t="shared" si="7"/>
        <v>2.670625301</v>
      </c>
      <c r="D32" s="200">
        <f>100+C32</f>
        <v>102.6706253</v>
      </c>
      <c r="E32" s="200">
        <v>0.0</v>
      </c>
      <c r="F32" s="200">
        <v>0.0</v>
      </c>
      <c r="G32" s="200">
        <v>0.0</v>
      </c>
      <c r="H32" s="200">
        <v>0.0</v>
      </c>
      <c r="I32" s="200">
        <v>0.0</v>
      </c>
      <c r="J32" s="200">
        <v>0.0</v>
      </c>
      <c r="K32" s="200">
        <v>0.0</v>
      </c>
      <c r="L32" s="200">
        <v>0.0</v>
      </c>
      <c r="M32" s="200">
        <v>0.0</v>
      </c>
      <c r="N32" s="200">
        <v>0.0</v>
      </c>
      <c r="O32" s="200">
        <v>0.0</v>
      </c>
      <c r="P32" s="200">
        <v>0.0</v>
      </c>
      <c r="Q32" s="200">
        <v>0.0</v>
      </c>
      <c r="R32" s="200">
        <v>0.0</v>
      </c>
      <c r="S32" s="200">
        <v>0.0</v>
      </c>
      <c r="T32" s="200">
        <v>0.0</v>
      </c>
      <c r="U32" s="200">
        <v>0.0</v>
      </c>
    </row>
    <row r="33">
      <c r="A33" s="203">
        <v>45482.0</v>
      </c>
      <c r="B33" s="200">
        <f t="shared" ref="B33:D33" si="8">100*$P9</f>
        <v>2.841575726</v>
      </c>
      <c r="C33" s="200">
        <f t="shared" si="8"/>
        <v>2.841575726</v>
      </c>
      <c r="D33" s="200">
        <f t="shared" si="8"/>
        <v>2.841575726</v>
      </c>
      <c r="E33" s="200">
        <f>100+D33</f>
        <v>102.8415757</v>
      </c>
      <c r="F33" s="200">
        <v>0.0</v>
      </c>
      <c r="G33" s="200">
        <v>0.0</v>
      </c>
      <c r="H33" s="200">
        <v>0.0</v>
      </c>
      <c r="I33" s="200">
        <v>0.0</v>
      </c>
      <c r="J33" s="200">
        <v>0.0</v>
      </c>
      <c r="K33" s="200">
        <v>0.0</v>
      </c>
      <c r="L33" s="200">
        <v>0.0</v>
      </c>
      <c r="M33" s="200">
        <v>0.0</v>
      </c>
      <c r="N33" s="200">
        <v>0.0</v>
      </c>
      <c r="O33" s="200">
        <v>0.0</v>
      </c>
      <c r="P33" s="200">
        <v>0.0</v>
      </c>
      <c r="Q33" s="200">
        <v>0.0</v>
      </c>
      <c r="R33" s="200">
        <v>0.0</v>
      </c>
      <c r="S33" s="200">
        <v>0.0</v>
      </c>
      <c r="T33" s="200">
        <v>0.0</v>
      </c>
      <c r="U33" s="200">
        <v>0.0</v>
      </c>
    </row>
    <row r="34">
      <c r="A34" s="204">
        <v>45952.0</v>
      </c>
      <c r="B34" s="200">
        <f t="shared" ref="B34:E34" si="9">100*$P10</f>
        <v>2.256232394</v>
      </c>
      <c r="C34" s="200">
        <f t="shared" si="9"/>
        <v>2.256232394</v>
      </c>
      <c r="D34" s="200">
        <f t="shared" si="9"/>
        <v>2.256232394</v>
      </c>
      <c r="E34" s="200">
        <f t="shared" si="9"/>
        <v>2.256232394</v>
      </c>
      <c r="F34" s="200">
        <f>100+E34</f>
        <v>102.2562324</v>
      </c>
      <c r="G34" s="200">
        <v>0.0</v>
      </c>
      <c r="H34" s="200">
        <v>0.0</v>
      </c>
      <c r="I34" s="200">
        <v>0.0</v>
      </c>
      <c r="J34" s="200">
        <v>0.0</v>
      </c>
      <c r="K34" s="200">
        <v>0.0</v>
      </c>
      <c r="L34" s="200">
        <v>0.0</v>
      </c>
      <c r="M34" s="200">
        <v>0.0</v>
      </c>
      <c r="N34" s="200">
        <v>0.0</v>
      </c>
      <c r="O34" s="200">
        <v>0.0</v>
      </c>
      <c r="P34" s="200">
        <v>0.0</v>
      </c>
      <c r="Q34" s="200">
        <v>0.0</v>
      </c>
      <c r="R34" s="200">
        <v>0.0</v>
      </c>
      <c r="S34" s="200">
        <v>0.0</v>
      </c>
      <c r="T34" s="200">
        <v>0.0</v>
      </c>
      <c r="U34" s="200">
        <v>0.0</v>
      </c>
    </row>
    <row r="35">
      <c r="A35" s="201">
        <v>46416.0</v>
      </c>
      <c r="B35" s="200">
        <f t="shared" ref="B35:F35" si="10">100*$P11</f>
        <v>2.094656904</v>
      </c>
      <c r="C35" s="200">
        <f t="shared" si="10"/>
        <v>2.094656904</v>
      </c>
      <c r="D35" s="200">
        <f t="shared" si="10"/>
        <v>2.094656904</v>
      </c>
      <c r="E35" s="200">
        <f t="shared" si="10"/>
        <v>2.094656904</v>
      </c>
      <c r="F35" s="200">
        <f t="shared" si="10"/>
        <v>2.094656904</v>
      </c>
      <c r="G35" s="200">
        <f>100+F35</f>
        <v>102.0946569</v>
      </c>
      <c r="H35" s="200">
        <v>0.0</v>
      </c>
      <c r="I35" s="200">
        <v>0.0</v>
      </c>
      <c r="J35" s="200">
        <v>0.0</v>
      </c>
      <c r="K35" s="200">
        <v>0.0</v>
      </c>
      <c r="L35" s="200">
        <v>0.0</v>
      </c>
      <c r="M35" s="200">
        <v>0.0</v>
      </c>
      <c r="N35" s="200">
        <v>0.0</v>
      </c>
      <c r="O35" s="200">
        <v>0.0</v>
      </c>
      <c r="P35" s="200">
        <v>0.0</v>
      </c>
      <c r="Q35" s="200">
        <v>0.0</v>
      </c>
      <c r="R35" s="200">
        <v>0.0</v>
      </c>
      <c r="S35" s="200">
        <v>0.0</v>
      </c>
      <c r="T35" s="200">
        <v>0.0</v>
      </c>
      <c r="U35" s="200">
        <v>0.0</v>
      </c>
    </row>
    <row r="36">
      <c r="A36" s="201">
        <v>46590.0</v>
      </c>
      <c r="B36" s="200">
        <f t="shared" ref="B36:G36" si="11">100*$P12</f>
        <v>1.994311007</v>
      </c>
      <c r="C36" s="200">
        <f t="shared" si="11"/>
        <v>1.994311007</v>
      </c>
      <c r="D36" s="200">
        <f t="shared" si="11"/>
        <v>1.994311007</v>
      </c>
      <c r="E36" s="200">
        <f t="shared" si="11"/>
        <v>1.994311007</v>
      </c>
      <c r="F36" s="200">
        <f t="shared" si="11"/>
        <v>1.994311007</v>
      </c>
      <c r="G36" s="200">
        <f t="shared" si="11"/>
        <v>1.994311007</v>
      </c>
      <c r="H36" s="200">
        <f>100+G36</f>
        <v>101.994311</v>
      </c>
      <c r="I36" s="200">
        <v>0.0</v>
      </c>
      <c r="J36" s="200">
        <v>0.0</v>
      </c>
      <c r="K36" s="200">
        <v>0.0</v>
      </c>
      <c r="L36" s="200">
        <v>0.0</v>
      </c>
      <c r="M36" s="200">
        <v>0.0</v>
      </c>
      <c r="N36" s="200">
        <v>0.0</v>
      </c>
      <c r="O36" s="200">
        <v>0.0</v>
      </c>
      <c r="P36" s="200">
        <v>0.0</v>
      </c>
      <c r="Q36" s="200">
        <v>0.0</v>
      </c>
      <c r="R36" s="200">
        <v>0.0</v>
      </c>
      <c r="S36" s="200">
        <v>0.0</v>
      </c>
      <c r="T36" s="200">
        <v>0.0</v>
      </c>
      <c r="U36" s="200">
        <v>0.0</v>
      </c>
    </row>
    <row r="37">
      <c r="A37" s="199">
        <v>46911.0</v>
      </c>
      <c r="B37" s="200">
        <f t="shared" ref="B37:H37" si="12">100*$P13</f>
        <v>2.021536867</v>
      </c>
      <c r="C37" s="200">
        <f t="shared" si="12"/>
        <v>2.021536867</v>
      </c>
      <c r="D37" s="200">
        <f t="shared" si="12"/>
        <v>2.021536867</v>
      </c>
      <c r="E37" s="200">
        <f t="shared" si="12"/>
        <v>2.021536867</v>
      </c>
      <c r="F37" s="200">
        <f t="shared" si="12"/>
        <v>2.021536867</v>
      </c>
      <c r="G37" s="200">
        <f t="shared" si="12"/>
        <v>2.021536867</v>
      </c>
      <c r="H37" s="200">
        <f t="shared" si="12"/>
        <v>2.021536867</v>
      </c>
      <c r="I37" s="200">
        <f>100+H37</f>
        <v>102.0215369</v>
      </c>
      <c r="J37" s="200">
        <v>0.0</v>
      </c>
      <c r="K37" s="200">
        <v>0.0</v>
      </c>
      <c r="L37" s="200">
        <v>0.0</v>
      </c>
      <c r="M37" s="200">
        <v>0.0</v>
      </c>
      <c r="N37" s="200">
        <v>0.0</v>
      </c>
      <c r="O37" s="200">
        <v>0.0</v>
      </c>
      <c r="P37" s="200">
        <v>0.0</v>
      </c>
      <c r="Q37" s="200">
        <v>0.0</v>
      </c>
      <c r="R37" s="200">
        <v>0.0</v>
      </c>
      <c r="S37" s="200">
        <v>0.0</v>
      </c>
      <c r="T37" s="200">
        <v>0.0</v>
      </c>
      <c r="U37" s="200">
        <v>0.0</v>
      </c>
    </row>
    <row r="38">
      <c r="A38" s="201">
        <v>47149.0</v>
      </c>
      <c r="B38" s="200">
        <f t="shared" ref="B38:I38" si="13">100*$P14</f>
        <v>1.963362697</v>
      </c>
      <c r="C38" s="200">
        <f t="shared" si="13"/>
        <v>1.963362697</v>
      </c>
      <c r="D38" s="200">
        <f t="shared" si="13"/>
        <v>1.963362697</v>
      </c>
      <c r="E38" s="200">
        <f t="shared" si="13"/>
        <v>1.963362697</v>
      </c>
      <c r="F38" s="200">
        <f t="shared" si="13"/>
        <v>1.963362697</v>
      </c>
      <c r="G38" s="200">
        <f t="shared" si="13"/>
        <v>1.963362697</v>
      </c>
      <c r="H38" s="200">
        <f t="shared" si="13"/>
        <v>1.963362697</v>
      </c>
      <c r="I38" s="200">
        <f t="shared" si="13"/>
        <v>1.963362697</v>
      </c>
      <c r="J38" s="200">
        <f>100+I38</f>
        <v>101.9633627</v>
      </c>
      <c r="K38" s="200">
        <f>100*$P14</f>
        <v>1.963362697</v>
      </c>
      <c r="L38" s="200">
        <v>0.0</v>
      </c>
      <c r="M38" s="200">
        <v>0.0</v>
      </c>
      <c r="N38" s="200">
        <v>0.0</v>
      </c>
      <c r="O38" s="200">
        <v>0.0</v>
      </c>
      <c r="P38" s="200">
        <v>0.0</v>
      </c>
      <c r="Q38" s="200">
        <v>0.0</v>
      </c>
      <c r="R38" s="200">
        <v>0.0</v>
      </c>
      <c r="S38" s="200">
        <v>0.0</v>
      </c>
      <c r="T38" s="200">
        <v>0.0</v>
      </c>
      <c r="U38" s="200">
        <v>0.0</v>
      </c>
    </row>
    <row r="39">
      <c r="A39" s="201">
        <v>47778.0</v>
      </c>
      <c r="B39" s="200">
        <f t="shared" ref="B39:J39" si="14">100*$P15</f>
        <v>1.929051234</v>
      </c>
      <c r="C39" s="200">
        <f t="shared" si="14"/>
        <v>1.929051234</v>
      </c>
      <c r="D39" s="200">
        <f t="shared" si="14"/>
        <v>1.929051234</v>
      </c>
      <c r="E39" s="200">
        <f t="shared" si="14"/>
        <v>1.929051234</v>
      </c>
      <c r="F39" s="200">
        <f t="shared" si="14"/>
        <v>1.929051234</v>
      </c>
      <c r="G39" s="200">
        <f t="shared" si="14"/>
        <v>1.929051234</v>
      </c>
      <c r="H39" s="200">
        <f t="shared" si="14"/>
        <v>1.929051234</v>
      </c>
      <c r="I39" s="200">
        <f t="shared" si="14"/>
        <v>1.929051234</v>
      </c>
      <c r="J39" s="200">
        <f t="shared" si="14"/>
        <v>1.929051234</v>
      </c>
      <c r="K39" s="200">
        <f>100+J39</f>
        <v>101.9290512</v>
      </c>
      <c r="L39" s="200">
        <v>0.0</v>
      </c>
      <c r="M39" s="200">
        <v>0.0</v>
      </c>
      <c r="N39" s="200">
        <v>0.0</v>
      </c>
      <c r="O39" s="200">
        <v>0.0</v>
      </c>
      <c r="P39" s="200">
        <v>0.0</v>
      </c>
      <c r="Q39" s="200">
        <v>0.0</v>
      </c>
      <c r="R39" s="200">
        <v>0.0</v>
      </c>
      <c r="S39" s="200">
        <v>0.0</v>
      </c>
      <c r="T39" s="200">
        <v>0.0</v>
      </c>
      <c r="U39" s="200">
        <v>0.0</v>
      </c>
    </row>
    <row r="40">
      <c r="A40" s="201">
        <v>48244.0</v>
      </c>
      <c r="B40" s="200">
        <f t="shared" ref="B40:K40" si="15">100*$P16</f>
        <v>1.960552459</v>
      </c>
      <c r="C40" s="200">
        <f t="shared" si="15"/>
        <v>1.960552459</v>
      </c>
      <c r="D40" s="200">
        <f t="shared" si="15"/>
        <v>1.960552459</v>
      </c>
      <c r="E40" s="200">
        <f t="shared" si="15"/>
        <v>1.960552459</v>
      </c>
      <c r="F40" s="200">
        <f t="shared" si="15"/>
        <v>1.960552459</v>
      </c>
      <c r="G40" s="200">
        <f t="shared" si="15"/>
        <v>1.960552459</v>
      </c>
      <c r="H40" s="200">
        <f t="shared" si="15"/>
        <v>1.960552459</v>
      </c>
      <c r="I40" s="200">
        <f t="shared" si="15"/>
        <v>1.960552459</v>
      </c>
      <c r="J40" s="200">
        <f t="shared" si="15"/>
        <v>1.960552459</v>
      </c>
      <c r="K40" s="200">
        <f t="shared" si="15"/>
        <v>1.960552459</v>
      </c>
      <c r="L40" s="200">
        <f>100+K40</f>
        <v>101.9605525</v>
      </c>
      <c r="M40" s="200">
        <v>0.0</v>
      </c>
      <c r="N40" s="200">
        <v>0.0</v>
      </c>
      <c r="O40" s="200">
        <v>0.0</v>
      </c>
      <c r="P40" s="200">
        <v>0.0</v>
      </c>
      <c r="Q40" s="200">
        <v>0.0</v>
      </c>
      <c r="R40" s="200">
        <v>0.0</v>
      </c>
      <c r="S40" s="200">
        <v>0.0</v>
      </c>
      <c r="T40" s="200">
        <v>0.0</v>
      </c>
      <c r="U40" s="200">
        <v>0.0</v>
      </c>
    </row>
    <row r="41">
      <c r="A41" s="199">
        <v>48372.0</v>
      </c>
      <c r="B41" s="200">
        <f t="shared" ref="B41:L41" si="16">100*$P17</f>
        <v>1.946118792</v>
      </c>
      <c r="C41" s="200">
        <f t="shared" si="16"/>
        <v>1.946118792</v>
      </c>
      <c r="D41" s="200">
        <f t="shared" si="16"/>
        <v>1.946118792</v>
      </c>
      <c r="E41" s="200">
        <f t="shared" si="16"/>
        <v>1.946118792</v>
      </c>
      <c r="F41" s="200">
        <f t="shared" si="16"/>
        <v>1.946118792</v>
      </c>
      <c r="G41" s="200">
        <f t="shared" si="16"/>
        <v>1.946118792</v>
      </c>
      <c r="H41" s="200">
        <f t="shared" si="16"/>
        <v>1.946118792</v>
      </c>
      <c r="I41" s="200">
        <f t="shared" si="16"/>
        <v>1.946118792</v>
      </c>
      <c r="J41" s="200">
        <f t="shared" si="16"/>
        <v>1.946118792</v>
      </c>
      <c r="K41" s="200">
        <f t="shared" si="16"/>
        <v>1.946118792</v>
      </c>
      <c r="L41" s="200">
        <f t="shared" si="16"/>
        <v>1.946118792</v>
      </c>
      <c r="M41" s="200">
        <f>100+L41</f>
        <v>101.9461188</v>
      </c>
      <c r="N41" s="200">
        <v>0.0</v>
      </c>
      <c r="O41" s="200">
        <v>0.0</v>
      </c>
      <c r="P41" s="200">
        <v>0.0</v>
      </c>
      <c r="Q41" s="200">
        <v>0.0</v>
      </c>
      <c r="R41" s="200">
        <v>0.0</v>
      </c>
      <c r="S41" s="200">
        <v>0.0</v>
      </c>
      <c r="T41" s="200">
        <v>0.0</v>
      </c>
      <c r="U41" s="200">
        <v>0.0</v>
      </c>
    </row>
    <row r="42">
      <c r="A42" s="201">
        <v>48610.0</v>
      </c>
      <c r="B42" s="200">
        <f t="shared" ref="B42:M42" si="17">100*$P18</f>
        <v>1.981402246</v>
      </c>
      <c r="C42" s="200">
        <f t="shared" si="17"/>
        <v>1.981402246</v>
      </c>
      <c r="D42" s="200">
        <f t="shared" si="17"/>
        <v>1.981402246</v>
      </c>
      <c r="E42" s="200">
        <f t="shared" si="17"/>
        <v>1.981402246</v>
      </c>
      <c r="F42" s="200">
        <f t="shared" si="17"/>
        <v>1.981402246</v>
      </c>
      <c r="G42" s="200">
        <f t="shared" si="17"/>
        <v>1.981402246</v>
      </c>
      <c r="H42" s="200">
        <f t="shared" si="17"/>
        <v>1.981402246</v>
      </c>
      <c r="I42" s="200">
        <f t="shared" si="17"/>
        <v>1.981402246</v>
      </c>
      <c r="J42" s="200">
        <f t="shared" si="17"/>
        <v>1.981402246</v>
      </c>
      <c r="K42" s="200">
        <f t="shared" si="17"/>
        <v>1.981402246</v>
      </c>
      <c r="L42" s="200">
        <f t="shared" si="17"/>
        <v>1.981402246</v>
      </c>
      <c r="M42" s="200">
        <f t="shared" si="17"/>
        <v>1.981402246</v>
      </c>
      <c r="N42" s="200">
        <f>100+M42</f>
        <v>101.9814022</v>
      </c>
      <c r="O42" s="200">
        <v>0.0</v>
      </c>
      <c r="P42" s="200">
        <v>0.0</v>
      </c>
      <c r="Q42" s="200">
        <v>0.0</v>
      </c>
      <c r="R42" s="200">
        <v>0.0</v>
      </c>
      <c r="S42" s="200">
        <v>0.0</v>
      </c>
      <c r="T42" s="200">
        <v>0.0</v>
      </c>
      <c r="U42" s="200">
        <v>0.0</v>
      </c>
    </row>
    <row r="43">
      <c r="A43" s="201">
        <v>49521.0</v>
      </c>
      <c r="B43" s="200">
        <f t="shared" ref="B43:N43" si="18">100*$P19</f>
        <v>2.062044072</v>
      </c>
      <c r="C43" s="200">
        <f t="shared" si="18"/>
        <v>2.062044072</v>
      </c>
      <c r="D43" s="200">
        <f t="shared" si="18"/>
        <v>2.062044072</v>
      </c>
      <c r="E43" s="200">
        <f t="shared" si="18"/>
        <v>2.062044072</v>
      </c>
      <c r="F43" s="200">
        <f t="shared" si="18"/>
        <v>2.062044072</v>
      </c>
      <c r="G43" s="200">
        <f t="shared" si="18"/>
        <v>2.062044072</v>
      </c>
      <c r="H43" s="200">
        <f t="shared" si="18"/>
        <v>2.062044072</v>
      </c>
      <c r="I43" s="200">
        <f t="shared" si="18"/>
        <v>2.062044072</v>
      </c>
      <c r="J43" s="200">
        <f t="shared" si="18"/>
        <v>2.062044072</v>
      </c>
      <c r="K43" s="200">
        <f t="shared" si="18"/>
        <v>2.062044072</v>
      </c>
      <c r="L43" s="200">
        <f t="shared" si="18"/>
        <v>2.062044072</v>
      </c>
      <c r="M43" s="200">
        <f t="shared" si="18"/>
        <v>2.062044072</v>
      </c>
      <c r="N43" s="200">
        <f t="shared" si="18"/>
        <v>2.062044072</v>
      </c>
      <c r="O43" s="200">
        <f>100+N43</f>
        <v>102.0620441</v>
      </c>
      <c r="P43" s="200">
        <v>0.0</v>
      </c>
      <c r="Q43" s="200">
        <v>0.0</v>
      </c>
      <c r="R43" s="200">
        <v>0.0</v>
      </c>
      <c r="S43" s="200">
        <v>0.0</v>
      </c>
      <c r="T43" s="200">
        <v>0.0</v>
      </c>
      <c r="U43" s="200">
        <v>0.0</v>
      </c>
    </row>
    <row r="44">
      <c r="A44" s="201">
        <v>50434.0</v>
      </c>
      <c r="B44" s="200">
        <f t="shared" ref="B44:O44" si="19">100*$P20</f>
        <v>2.145409267</v>
      </c>
      <c r="C44" s="200">
        <f t="shared" si="19"/>
        <v>2.145409267</v>
      </c>
      <c r="D44" s="200">
        <f t="shared" si="19"/>
        <v>2.145409267</v>
      </c>
      <c r="E44" s="200">
        <f t="shared" si="19"/>
        <v>2.145409267</v>
      </c>
      <c r="F44" s="200">
        <f t="shared" si="19"/>
        <v>2.145409267</v>
      </c>
      <c r="G44" s="200">
        <f t="shared" si="19"/>
        <v>2.145409267</v>
      </c>
      <c r="H44" s="200">
        <f t="shared" si="19"/>
        <v>2.145409267</v>
      </c>
      <c r="I44" s="200">
        <f t="shared" si="19"/>
        <v>2.145409267</v>
      </c>
      <c r="J44" s="200">
        <f t="shared" si="19"/>
        <v>2.145409267</v>
      </c>
      <c r="K44" s="200">
        <f t="shared" si="19"/>
        <v>2.145409267</v>
      </c>
      <c r="L44" s="200">
        <f t="shared" si="19"/>
        <v>2.145409267</v>
      </c>
      <c r="M44" s="200">
        <f t="shared" si="19"/>
        <v>2.145409267</v>
      </c>
      <c r="N44" s="200">
        <f t="shared" si="19"/>
        <v>2.145409267</v>
      </c>
      <c r="O44" s="200">
        <f t="shared" si="19"/>
        <v>2.145409267</v>
      </c>
      <c r="P44" s="200">
        <f>100+O44</f>
        <v>102.1454093</v>
      </c>
      <c r="Q44" s="200">
        <v>0.0</v>
      </c>
      <c r="R44" s="200">
        <v>0.0</v>
      </c>
      <c r="S44" s="200">
        <v>0.0</v>
      </c>
      <c r="T44" s="200">
        <v>0.0</v>
      </c>
      <c r="U44" s="200">
        <v>0.0</v>
      </c>
    </row>
    <row r="45">
      <c r="A45" s="199">
        <v>52207.0</v>
      </c>
      <c r="B45" s="200">
        <f t="shared" ref="B45:P45" si="20">100*$P21</f>
        <v>2.249421247</v>
      </c>
      <c r="C45" s="200">
        <f t="shared" si="20"/>
        <v>2.249421247</v>
      </c>
      <c r="D45" s="200">
        <f t="shared" si="20"/>
        <v>2.249421247</v>
      </c>
      <c r="E45" s="200">
        <f t="shared" si="20"/>
        <v>2.249421247</v>
      </c>
      <c r="F45" s="200">
        <f t="shared" si="20"/>
        <v>2.249421247</v>
      </c>
      <c r="G45" s="200">
        <f t="shared" si="20"/>
        <v>2.249421247</v>
      </c>
      <c r="H45" s="200">
        <f t="shared" si="20"/>
        <v>2.249421247</v>
      </c>
      <c r="I45" s="200">
        <f t="shared" si="20"/>
        <v>2.249421247</v>
      </c>
      <c r="J45" s="200">
        <f t="shared" si="20"/>
        <v>2.249421247</v>
      </c>
      <c r="K45" s="200">
        <f t="shared" si="20"/>
        <v>2.249421247</v>
      </c>
      <c r="L45" s="200">
        <f t="shared" si="20"/>
        <v>2.249421247</v>
      </c>
      <c r="M45" s="200">
        <f t="shared" si="20"/>
        <v>2.249421247</v>
      </c>
      <c r="N45" s="200">
        <f t="shared" si="20"/>
        <v>2.249421247</v>
      </c>
      <c r="O45" s="200">
        <f t="shared" si="20"/>
        <v>2.249421247</v>
      </c>
      <c r="P45" s="200">
        <f t="shared" si="20"/>
        <v>2.249421247</v>
      </c>
      <c r="Q45" s="200">
        <f>100+P45</f>
        <v>102.2494212</v>
      </c>
      <c r="R45" s="200">
        <v>0.0</v>
      </c>
      <c r="S45" s="200">
        <v>0.0</v>
      </c>
      <c r="T45" s="200">
        <v>0.0</v>
      </c>
      <c r="U45" s="200">
        <v>0.0</v>
      </c>
    </row>
    <row r="46">
      <c r="A46" s="201">
        <v>54445.0</v>
      </c>
      <c r="B46" s="200">
        <f t="shared" ref="B46:Q46" si="21">100*$P22</f>
        <v>2.225563058</v>
      </c>
      <c r="C46" s="200">
        <f t="shared" si="21"/>
        <v>2.225563058</v>
      </c>
      <c r="D46" s="200">
        <f t="shared" si="21"/>
        <v>2.225563058</v>
      </c>
      <c r="E46" s="200">
        <f t="shared" si="21"/>
        <v>2.225563058</v>
      </c>
      <c r="F46" s="200">
        <f t="shared" si="21"/>
        <v>2.225563058</v>
      </c>
      <c r="G46" s="200">
        <f t="shared" si="21"/>
        <v>2.225563058</v>
      </c>
      <c r="H46" s="200">
        <f t="shared" si="21"/>
        <v>2.225563058</v>
      </c>
      <c r="I46" s="200">
        <f t="shared" si="21"/>
        <v>2.225563058</v>
      </c>
      <c r="J46" s="200">
        <f t="shared" si="21"/>
        <v>2.225563058</v>
      </c>
      <c r="K46" s="200">
        <f t="shared" si="21"/>
        <v>2.225563058</v>
      </c>
      <c r="L46" s="200">
        <f t="shared" si="21"/>
        <v>2.225563058</v>
      </c>
      <c r="M46" s="200">
        <f t="shared" si="21"/>
        <v>2.225563058</v>
      </c>
      <c r="N46" s="200">
        <f t="shared" si="21"/>
        <v>2.225563058</v>
      </c>
      <c r="O46" s="200">
        <f t="shared" si="21"/>
        <v>2.225563058</v>
      </c>
      <c r="P46" s="200">
        <f t="shared" si="21"/>
        <v>2.225563058</v>
      </c>
      <c r="Q46" s="200">
        <f t="shared" si="21"/>
        <v>2.225563058</v>
      </c>
      <c r="R46" s="200">
        <f>100+Q46</f>
        <v>102.2255631</v>
      </c>
      <c r="S46" s="200">
        <v>0.0</v>
      </c>
      <c r="T46" s="200">
        <v>0.0</v>
      </c>
      <c r="U46" s="200">
        <v>0.0</v>
      </c>
    </row>
    <row r="47">
      <c r="A47" s="201">
        <v>56179.0</v>
      </c>
      <c r="B47" s="200">
        <f t="shared" ref="B47:R47" si="22">100*$P23</f>
        <v>2.234664078</v>
      </c>
      <c r="C47" s="200">
        <f t="shared" si="22"/>
        <v>2.234664078</v>
      </c>
      <c r="D47" s="200">
        <f t="shared" si="22"/>
        <v>2.234664078</v>
      </c>
      <c r="E47" s="200">
        <f t="shared" si="22"/>
        <v>2.234664078</v>
      </c>
      <c r="F47" s="200">
        <f t="shared" si="22"/>
        <v>2.234664078</v>
      </c>
      <c r="G47" s="200">
        <f t="shared" si="22"/>
        <v>2.234664078</v>
      </c>
      <c r="H47" s="200">
        <f t="shared" si="22"/>
        <v>2.234664078</v>
      </c>
      <c r="I47" s="200">
        <f t="shared" si="22"/>
        <v>2.234664078</v>
      </c>
      <c r="J47" s="200">
        <f t="shared" si="22"/>
        <v>2.234664078</v>
      </c>
      <c r="K47" s="200">
        <f t="shared" si="22"/>
        <v>2.234664078</v>
      </c>
      <c r="L47" s="200">
        <f t="shared" si="22"/>
        <v>2.234664078</v>
      </c>
      <c r="M47" s="200">
        <f t="shared" si="22"/>
        <v>2.234664078</v>
      </c>
      <c r="N47" s="200">
        <f t="shared" si="22"/>
        <v>2.234664078</v>
      </c>
      <c r="O47" s="200">
        <f t="shared" si="22"/>
        <v>2.234664078</v>
      </c>
      <c r="P47" s="200">
        <f t="shared" si="22"/>
        <v>2.234664078</v>
      </c>
      <c r="Q47" s="200">
        <f t="shared" si="22"/>
        <v>2.234664078</v>
      </c>
      <c r="R47" s="200">
        <f t="shared" si="22"/>
        <v>2.234664078</v>
      </c>
      <c r="S47" s="200">
        <f>100+R47</f>
        <v>102.2346641</v>
      </c>
      <c r="T47" s="200">
        <v>0.0</v>
      </c>
      <c r="U47" s="200">
        <v>0.0</v>
      </c>
    </row>
    <row r="48">
      <c r="A48" s="201">
        <v>59831.0</v>
      </c>
      <c r="B48" s="200">
        <f t="shared" ref="B48:S48" si="23">100*$P24</f>
        <v>2.196816681</v>
      </c>
      <c r="C48" s="200">
        <f t="shared" si="23"/>
        <v>2.196816681</v>
      </c>
      <c r="D48" s="200">
        <f t="shared" si="23"/>
        <v>2.196816681</v>
      </c>
      <c r="E48" s="200">
        <f t="shared" si="23"/>
        <v>2.196816681</v>
      </c>
      <c r="F48" s="200">
        <f t="shared" si="23"/>
        <v>2.196816681</v>
      </c>
      <c r="G48" s="200">
        <f t="shared" si="23"/>
        <v>2.196816681</v>
      </c>
      <c r="H48" s="200">
        <f t="shared" si="23"/>
        <v>2.196816681</v>
      </c>
      <c r="I48" s="200">
        <f t="shared" si="23"/>
        <v>2.196816681</v>
      </c>
      <c r="J48" s="200">
        <f t="shared" si="23"/>
        <v>2.196816681</v>
      </c>
      <c r="K48" s="200">
        <f t="shared" si="23"/>
        <v>2.196816681</v>
      </c>
      <c r="L48" s="200">
        <f t="shared" si="23"/>
        <v>2.196816681</v>
      </c>
      <c r="M48" s="200">
        <f t="shared" si="23"/>
        <v>2.196816681</v>
      </c>
      <c r="N48" s="200">
        <f t="shared" si="23"/>
        <v>2.196816681</v>
      </c>
      <c r="O48" s="200">
        <f t="shared" si="23"/>
        <v>2.196816681</v>
      </c>
      <c r="P48" s="200">
        <f t="shared" si="23"/>
        <v>2.196816681</v>
      </c>
      <c r="Q48" s="200">
        <f t="shared" si="23"/>
        <v>2.196816681</v>
      </c>
      <c r="R48" s="200">
        <f t="shared" si="23"/>
        <v>2.196816681</v>
      </c>
      <c r="S48" s="200">
        <f t="shared" si="23"/>
        <v>2.196816681</v>
      </c>
      <c r="T48" s="200">
        <f>100+S48</f>
        <v>102.1968167</v>
      </c>
      <c r="U48" s="200">
        <v>0.0</v>
      </c>
    </row>
    <row r="49">
      <c r="A49" s="201">
        <v>63484.0</v>
      </c>
      <c r="B49" s="200">
        <f t="shared" ref="B49:T49" si="24">100*$P25</f>
        <v>2.027648771</v>
      </c>
      <c r="C49" s="200">
        <f t="shared" si="24"/>
        <v>2.027648771</v>
      </c>
      <c r="D49" s="200">
        <f t="shared" si="24"/>
        <v>2.027648771</v>
      </c>
      <c r="E49" s="200">
        <f t="shared" si="24"/>
        <v>2.027648771</v>
      </c>
      <c r="F49" s="200">
        <f t="shared" si="24"/>
        <v>2.027648771</v>
      </c>
      <c r="G49" s="200">
        <f t="shared" si="24"/>
        <v>2.027648771</v>
      </c>
      <c r="H49" s="200">
        <f t="shared" si="24"/>
        <v>2.027648771</v>
      </c>
      <c r="I49" s="200">
        <f t="shared" si="24"/>
        <v>2.027648771</v>
      </c>
      <c r="J49" s="200">
        <f t="shared" si="24"/>
        <v>2.027648771</v>
      </c>
      <c r="K49" s="200">
        <f t="shared" si="24"/>
        <v>2.027648771</v>
      </c>
      <c r="L49" s="200">
        <f t="shared" si="24"/>
        <v>2.027648771</v>
      </c>
      <c r="M49" s="200">
        <f t="shared" si="24"/>
        <v>2.027648771</v>
      </c>
      <c r="N49" s="200">
        <f t="shared" si="24"/>
        <v>2.027648771</v>
      </c>
      <c r="O49" s="200">
        <f t="shared" si="24"/>
        <v>2.027648771</v>
      </c>
      <c r="P49" s="200">
        <f t="shared" si="24"/>
        <v>2.027648771</v>
      </c>
      <c r="Q49" s="200">
        <f t="shared" si="24"/>
        <v>2.027648771</v>
      </c>
      <c r="R49" s="200">
        <f t="shared" si="24"/>
        <v>2.027648771</v>
      </c>
      <c r="S49" s="200">
        <f t="shared" si="24"/>
        <v>2.027648771</v>
      </c>
      <c r="T49" s="200">
        <f t="shared" si="24"/>
        <v>2.027648771</v>
      </c>
      <c r="U49" s="200">
        <f>100+T49</f>
        <v>102.0276488</v>
      </c>
    </row>
    <row r="52">
      <c r="A52" s="193" t="s">
        <v>62</v>
      </c>
      <c r="B52" s="205"/>
      <c r="C52" s="205"/>
    </row>
    <row r="53">
      <c r="A53" s="195" t="s">
        <v>4</v>
      </c>
      <c r="B53" s="196">
        <v>45299.0</v>
      </c>
      <c r="C53" s="197">
        <v>45362.0</v>
      </c>
      <c r="D53" s="197">
        <v>45453.0</v>
      </c>
      <c r="E53" s="198">
        <v>45482.0</v>
      </c>
      <c r="F53" s="197">
        <v>45952.0</v>
      </c>
      <c r="G53" s="197">
        <v>46416.0</v>
      </c>
      <c r="H53" s="197">
        <v>46590.0</v>
      </c>
      <c r="I53" s="196">
        <v>46911.0</v>
      </c>
      <c r="J53" s="197">
        <v>47149.0</v>
      </c>
      <c r="K53" s="197">
        <v>47778.0</v>
      </c>
      <c r="L53" s="197">
        <v>48244.0</v>
      </c>
      <c r="M53" s="196">
        <v>48372.0</v>
      </c>
      <c r="N53" s="197">
        <v>48610.0</v>
      </c>
      <c r="O53" s="197">
        <v>49521.0</v>
      </c>
      <c r="P53" s="197">
        <v>50434.0</v>
      </c>
      <c r="Q53" s="196">
        <v>52207.0</v>
      </c>
      <c r="R53" s="197">
        <v>54445.0</v>
      </c>
      <c r="S53" s="197">
        <v>56179.0</v>
      </c>
      <c r="T53" s="197">
        <v>59831.0</v>
      </c>
      <c r="U53" s="197">
        <v>63484.0</v>
      </c>
    </row>
    <row r="54">
      <c r="A54" s="199">
        <v>45299.0</v>
      </c>
      <c r="B54" s="206">
        <f t="array" ref="B54:U73">minverse(B30:U49)</f>
        <v>0.009737419128</v>
      </c>
      <c r="C54" s="206">
        <v>0.0</v>
      </c>
      <c r="D54" s="206">
        <v>0.0</v>
      </c>
      <c r="E54" s="206">
        <v>0.0</v>
      </c>
      <c r="F54" s="206">
        <v>0.0</v>
      </c>
      <c r="G54" s="206">
        <v>0.0</v>
      </c>
      <c r="H54" s="206">
        <v>0.0</v>
      </c>
      <c r="I54" s="206">
        <v>0.0</v>
      </c>
      <c r="J54" s="206">
        <v>0.0</v>
      </c>
      <c r="K54" s="206">
        <v>0.0</v>
      </c>
      <c r="L54" s="206">
        <v>0.0</v>
      </c>
      <c r="M54" s="206">
        <v>0.0</v>
      </c>
      <c r="N54" s="206">
        <v>0.0</v>
      </c>
      <c r="O54" s="206">
        <v>0.0</v>
      </c>
      <c r="P54" s="206">
        <v>0.0</v>
      </c>
      <c r="Q54" s="206">
        <v>0.0</v>
      </c>
      <c r="R54" s="206">
        <v>0.0</v>
      </c>
      <c r="S54" s="206">
        <v>0.0</v>
      </c>
      <c r="T54" s="206">
        <v>0.0</v>
      </c>
      <c r="U54" s="206">
        <v>0.0</v>
      </c>
    </row>
    <row r="55">
      <c r="A55" s="201">
        <v>45362.0</v>
      </c>
      <c r="B55" s="206">
        <v>-2.509327668023678E-4</v>
      </c>
      <c r="C55" s="206">
        <v>0.009742300538254532</v>
      </c>
      <c r="D55" s="206">
        <v>0.0</v>
      </c>
      <c r="E55" s="206">
        <v>0.0</v>
      </c>
      <c r="F55" s="206">
        <v>0.0</v>
      </c>
      <c r="G55" s="206">
        <v>0.0</v>
      </c>
      <c r="H55" s="206">
        <v>0.0</v>
      </c>
      <c r="I55" s="206">
        <v>0.0</v>
      </c>
      <c r="J55" s="206">
        <v>0.0</v>
      </c>
      <c r="K55" s="206">
        <v>0.0</v>
      </c>
      <c r="L55" s="206">
        <v>0.0</v>
      </c>
      <c r="M55" s="206">
        <v>0.0</v>
      </c>
      <c r="N55" s="206">
        <v>0.0</v>
      </c>
      <c r="O55" s="206">
        <v>0.0</v>
      </c>
      <c r="P55" s="206">
        <v>0.0</v>
      </c>
      <c r="Q55" s="206">
        <v>0.0</v>
      </c>
      <c r="R55" s="206">
        <v>0.0</v>
      </c>
      <c r="S55" s="206">
        <v>0.0</v>
      </c>
      <c r="T55" s="206">
        <v>0.0</v>
      </c>
      <c r="U55" s="206">
        <v>0.0</v>
      </c>
    </row>
    <row r="56">
      <c r="A56" s="201">
        <v>45453.0</v>
      </c>
      <c r="B56" s="206">
        <v>-2.4675850977193205E-4</v>
      </c>
      <c r="C56" s="206">
        <v>-2.534126410020558E-4</v>
      </c>
      <c r="D56" s="206">
        <v>0.009739884188537405</v>
      </c>
      <c r="E56" s="206">
        <v>0.0</v>
      </c>
      <c r="F56" s="206">
        <v>0.0</v>
      </c>
      <c r="G56" s="206">
        <v>0.0</v>
      </c>
      <c r="H56" s="206">
        <v>0.0</v>
      </c>
      <c r="I56" s="206">
        <v>0.0</v>
      </c>
      <c r="J56" s="206">
        <v>0.0</v>
      </c>
      <c r="K56" s="206">
        <v>0.0</v>
      </c>
      <c r="L56" s="206">
        <v>0.0</v>
      </c>
      <c r="M56" s="206">
        <v>0.0</v>
      </c>
      <c r="N56" s="206">
        <v>0.0</v>
      </c>
      <c r="O56" s="206">
        <v>0.0</v>
      </c>
      <c r="P56" s="206">
        <v>0.0</v>
      </c>
      <c r="Q56" s="206">
        <v>0.0</v>
      </c>
      <c r="R56" s="206">
        <v>0.0</v>
      </c>
      <c r="S56" s="206">
        <v>0.0</v>
      </c>
      <c r="T56" s="206">
        <v>0.0</v>
      </c>
      <c r="U56" s="206">
        <v>0.0</v>
      </c>
    </row>
    <row r="57">
      <c r="A57" s="203">
        <v>45482.0</v>
      </c>
      <c r="B57" s="206">
        <v>-2.552993397241896E-4</v>
      </c>
      <c r="C57" s="206">
        <v>-2.621837844027493E-4</v>
      </c>
      <c r="D57" s="206">
        <v>-2.6911896566241954E-4</v>
      </c>
      <c r="E57" s="206">
        <v>0.009723693875149833</v>
      </c>
      <c r="F57" s="206">
        <v>0.0</v>
      </c>
      <c r="G57" s="206">
        <v>0.0</v>
      </c>
      <c r="H57" s="206">
        <v>0.0</v>
      </c>
      <c r="I57" s="206">
        <v>0.0</v>
      </c>
      <c r="J57" s="206">
        <v>0.0</v>
      </c>
      <c r="K57" s="206">
        <v>0.0</v>
      </c>
      <c r="L57" s="206">
        <v>0.0</v>
      </c>
      <c r="M57" s="206">
        <v>0.0</v>
      </c>
      <c r="N57" s="206">
        <v>0.0</v>
      </c>
      <c r="O57" s="206">
        <v>0.0</v>
      </c>
      <c r="P57" s="206">
        <v>0.0</v>
      </c>
      <c r="Q57" s="206">
        <v>0.0</v>
      </c>
      <c r="R57" s="206">
        <v>0.0</v>
      </c>
      <c r="S57" s="206">
        <v>0.0</v>
      </c>
      <c r="T57" s="206">
        <v>0.0</v>
      </c>
      <c r="U57" s="206">
        <v>0.0</v>
      </c>
    </row>
    <row r="58">
      <c r="A58" s="204">
        <v>45952.0</v>
      </c>
      <c r="B58" s="206">
        <v>-1.9823690127745327E-4</v>
      </c>
      <c r="C58" s="206">
        <v>-2.0358259070057567E-4</v>
      </c>
      <c r="D58" s="206">
        <v>-2.0896767647557123E-4</v>
      </c>
      <c r="E58" s="206">
        <v>-2.1454842011519955E-4</v>
      </c>
      <c r="F58" s="206">
        <v>0.009779355024057775</v>
      </c>
      <c r="G58" s="206">
        <v>0.0</v>
      </c>
      <c r="H58" s="206">
        <v>0.0</v>
      </c>
      <c r="I58" s="206">
        <v>0.0</v>
      </c>
      <c r="J58" s="206">
        <v>0.0</v>
      </c>
      <c r="K58" s="206">
        <v>0.0</v>
      </c>
      <c r="L58" s="206">
        <v>0.0</v>
      </c>
      <c r="M58" s="206">
        <v>0.0</v>
      </c>
      <c r="N58" s="206">
        <v>0.0</v>
      </c>
      <c r="O58" s="206">
        <v>0.0</v>
      </c>
      <c r="P58" s="206">
        <v>0.0</v>
      </c>
      <c r="Q58" s="206">
        <v>0.0</v>
      </c>
      <c r="R58" s="206">
        <v>0.0</v>
      </c>
      <c r="S58" s="206">
        <v>0.0</v>
      </c>
      <c r="T58" s="206">
        <v>0.0</v>
      </c>
      <c r="U58" s="206">
        <v>0.0</v>
      </c>
    </row>
    <row r="59">
      <c r="A59" s="201">
        <v>46416.0</v>
      </c>
      <c r="B59" s="206">
        <v>-1.8026464333804968E-4</v>
      </c>
      <c r="C59" s="206">
        <v>-1.8512568984879206E-4</v>
      </c>
      <c r="D59" s="206">
        <v>-1.9002256101818008E-4</v>
      </c>
      <c r="E59" s="206">
        <v>-1.9509735161103077E-4</v>
      </c>
      <c r="F59" s="206">
        <v>-2.006411905969474E-4</v>
      </c>
      <c r="G59" s="206">
        <v>0.009794831877865812</v>
      </c>
      <c r="H59" s="206">
        <v>0.0</v>
      </c>
      <c r="I59" s="206">
        <v>0.0</v>
      </c>
      <c r="J59" s="206">
        <v>0.0</v>
      </c>
      <c r="K59" s="206">
        <v>0.0</v>
      </c>
      <c r="L59" s="206">
        <v>0.0</v>
      </c>
      <c r="M59" s="206">
        <v>0.0</v>
      </c>
      <c r="N59" s="206">
        <v>0.0</v>
      </c>
      <c r="O59" s="206">
        <v>0.0</v>
      </c>
      <c r="P59" s="206">
        <v>0.0</v>
      </c>
      <c r="Q59" s="206">
        <v>0.0</v>
      </c>
      <c r="R59" s="206">
        <v>0.0</v>
      </c>
      <c r="S59" s="206">
        <v>0.0</v>
      </c>
      <c r="T59" s="206">
        <v>0.0</v>
      </c>
      <c r="U59" s="206">
        <v>0.0</v>
      </c>
    </row>
    <row r="60">
      <c r="A60" s="201">
        <v>46590.0</v>
      </c>
      <c r="B60" s="206">
        <v>-1.6827306062242367E-4</v>
      </c>
      <c r="C60" s="206">
        <v>-1.728107401087808E-4</v>
      </c>
      <c r="D60" s="206">
        <v>-1.7738186112224196E-4</v>
      </c>
      <c r="E60" s="206">
        <v>-1.8211906598540224E-4</v>
      </c>
      <c r="F60" s="206">
        <v>-1.872941171572989E-4</v>
      </c>
      <c r="G60" s="206">
        <v>-1.9151990769999106E-4</v>
      </c>
      <c r="H60" s="206">
        <v>0.009804468407331438</v>
      </c>
      <c r="I60" s="206">
        <v>0.0</v>
      </c>
      <c r="J60" s="206">
        <v>0.0</v>
      </c>
      <c r="K60" s="206">
        <v>0.0</v>
      </c>
      <c r="L60" s="206">
        <v>0.0</v>
      </c>
      <c r="M60" s="206">
        <v>0.0</v>
      </c>
      <c r="N60" s="206">
        <v>0.0</v>
      </c>
      <c r="O60" s="206">
        <v>0.0</v>
      </c>
      <c r="P60" s="206">
        <v>0.0</v>
      </c>
      <c r="Q60" s="206">
        <v>0.0</v>
      </c>
      <c r="R60" s="206">
        <v>0.0</v>
      </c>
      <c r="S60" s="206">
        <v>0.0</v>
      </c>
      <c r="T60" s="206">
        <v>0.0</v>
      </c>
      <c r="U60" s="206">
        <v>0.0</v>
      </c>
    </row>
    <row r="61">
      <c r="A61" s="199">
        <v>46911.0</v>
      </c>
      <c r="B61" s="206">
        <v>-1.6719046752314761E-4</v>
      </c>
      <c r="C61" s="206">
        <v>-1.7169895362299074E-4</v>
      </c>
      <c r="D61" s="206">
        <v>-1.7624066610221107E-4</v>
      </c>
      <c r="E61" s="206">
        <v>-1.8094739392242846E-4</v>
      </c>
      <c r="F61" s="206">
        <v>-1.8608915114539252E-4</v>
      </c>
      <c r="G61" s="206">
        <v>-1.9028775485459168E-4</v>
      </c>
      <c r="H61" s="206">
        <v>-1.9427363044852315E-4</v>
      </c>
      <c r="I61" s="206">
        <v>0.009801851949154885</v>
      </c>
      <c r="J61" s="206">
        <v>0.0</v>
      </c>
      <c r="K61" s="206">
        <v>0.0</v>
      </c>
      <c r="L61" s="206">
        <v>0.0</v>
      </c>
      <c r="M61" s="206">
        <v>0.0</v>
      </c>
      <c r="N61" s="206">
        <v>0.0</v>
      </c>
      <c r="O61" s="206">
        <v>0.0</v>
      </c>
      <c r="P61" s="206">
        <v>0.0</v>
      </c>
      <c r="Q61" s="206">
        <v>0.0</v>
      </c>
      <c r="R61" s="206">
        <v>0.0</v>
      </c>
      <c r="S61" s="206">
        <v>0.0</v>
      </c>
      <c r="T61" s="206">
        <v>0.0</v>
      </c>
      <c r="U61" s="206">
        <v>0.0</v>
      </c>
    </row>
    <row r="62">
      <c r="A62" s="201">
        <v>47149.0</v>
      </c>
      <c r="B62" s="206">
        <v>-1.5629552521428854E-4</v>
      </c>
      <c r="C62" s="206">
        <v>-1.6051021647830302E-4</v>
      </c>
      <c r="D62" s="206">
        <v>-1.6475596892955296E-4</v>
      </c>
      <c r="E62" s="206">
        <v>-1.6915598352129234E-4</v>
      </c>
      <c r="F62" s="206">
        <v>-1.7396267888851637E-4</v>
      </c>
      <c r="G62" s="206">
        <v>-1.7788768120244965E-4</v>
      </c>
      <c r="H62" s="206">
        <v>-1.8161381779756435E-4</v>
      </c>
      <c r="I62" s="206">
        <v>-1.8523576215693645E-4</v>
      </c>
      <c r="J62" s="206">
        <v>0.009811019628619357</v>
      </c>
      <c r="K62" s="206">
        <v>-1.889803713806425E-4</v>
      </c>
      <c r="L62" s="206">
        <v>0.0</v>
      </c>
      <c r="M62" s="206">
        <v>0.0</v>
      </c>
      <c r="N62" s="206">
        <v>0.0</v>
      </c>
      <c r="O62" s="206">
        <v>0.0</v>
      </c>
      <c r="P62" s="206">
        <v>0.0</v>
      </c>
      <c r="Q62" s="206">
        <v>0.0</v>
      </c>
      <c r="R62" s="206">
        <v>0.0</v>
      </c>
      <c r="S62" s="206">
        <v>0.0</v>
      </c>
      <c r="T62" s="206">
        <v>0.0</v>
      </c>
      <c r="U62" s="206">
        <v>0.0</v>
      </c>
    </row>
    <row r="63">
      <c r="A63" s="201">
        <v>47778.0</v>
      </c>
      <c r="B63" s="206">
        <v>-1.5356412561231238E-4</v>
      </c>
      <c r="C63" s="206">
        <v>-1.5770516149799654E-4</v>
      </c>
      <c r="D63" s="206">
        <v>-1.6187671574978088E-4</v>
      </c>
      <c r="E63" s="206">
        <v>-1.66199836277611E-4</v>
      </c>
      <c r="F63" s="206">
        <v>-1.7092253048232666E-4</v>
      </c>
      <c r="G63" s="206">
        <v>-1.7477893998310462E-4</v>
      </c>
      <c r="H63" s="206">
        <v>-1.7843995911565055E-4</v>
      </c>
      <c r="I63" s="206">
        <v>-1.8199860686196856E-4</v>
      </c>
      <c r="J63" s="206">
        <v>-1.8567777579793016E-4</v>
      </c>
      <c r="K63" s="206">
        <v>0.00981432222420207</v>
      </c>
      <c r="L63" s="206">
        <v>0.0</v>
      </c>
      <c r="M63" s="206">
        <v>0.0</v>
      </c>
      <c r="N63" s="206">
        <v>0.0</v>
      </c>
      <c r="O63" s="206">
        <v>0.0</v>
      </c>
      <c r="P63" s="206">
        <v>0.0</v>
      </c>
      <c r="Q63" s="206">
        <v>0.0</v>
      </c>
      <c r="R63" s="206">
        <v>0.0</v>
      </c>
      <c r="S63" s="206">
        <v>0.0</v>
      </c>
      <c r="T63" s="206">
        <v>0.0</v>
      </c>
      <c r="U63" s="206">
        <v>0.0</v>
      </c>
    </row>
    <row r="64">
      <c r="A64" s="201">
        <v>48244.0</v>
      </c>
      <c r="B64" s="206">
        <v>-1.530707803400797E-4</v>
      </c>
      <c r="C64" s="206">
        <v>-1.5719851259467037E-4</v>
      </c>
      <c r="D64" s="206">
        <v>-1.6135666517103222E-4</v>
      </c>
      <c r="E64" s="206">
        <v>-1.6566589709652647E-4</v>
      </c>
      <c r="F64" s="206">
        <v>-1.7037341901507947E-4</v>
      </c>
      <c r="G64" s="206">
        <v>-1.7421743928505622E-4</v>
      </c>
      <c r="H64" s="206">
        <v>-1.7786669690446623E-4</v>
      </c>
      <c r="I64" s="206">
        <v>-1.8141391201940513E-4</v>
      </c>
      <c r="J64" s="206">
        <v>-1.8508126113356223E-4</v>
      </c>
      <c r="K64" s="206">
        <v>-1.8508126113356223E-4</v>
      </c>
      <c r="L64" s="206">
        <v>0.00980771461007454</v>
      </c>
      <c r="M64" s="206">
        <v>0.0</v>
      </c>
      <c r="N64" s="206">
        <v>0.0</v>
      </c>
      <c r="O64" s="206">
        <v>0.0</v>
      </c>
      <c r="P64" s="206">
        <v>0.0</v>
      </c>
      <c r="Q64" s="206">
        <v>0.0</v>
      </c>
      <c r="R64" s="206">
        <v>0.0</v>
      </c>
      <c r="S64" s="206">
        <v>0.0</v>
      </c>
      <c r="T64" s="206">
        <v>0.0</v>
      </c>
      <c r="U64" s="206">
        <v>0.0</v>
      </c>
    </row>
    <row r="65">
      <c r="A65" s="199">
        <v>48372.0</v>
      </c>
      <c r="B65" s="206">
        <v>-1.490433072041781E-4</v>
      </c>
      <c r="C65" s="206">
        <v>-1.5306243394483187E-4</v>
      </c>
      <c r="D65" s="206">
        <v>-1.5711118061263906E-4</v>
      </c>
      <c r="E65" s="206">
        <v>-1.6130703155335126E-4</v>
      </c>
      <c r="F65" s="206">
        <v>-1.6589069300669E-4</v>
      </c>
      <c r="G65" s="206">
        <v>-1.6963357256034715E-4</v>
      </c>
      <c r="H65" s="206">
        <v>-1.7318681389895228E-4</v>
      </c>
      <c r="I65" s="206">
        <v>-1.7664069759197682E-4</v>
      </c>
      <c r="J65" s="206">
        <v>-1.8021155441672095E-4</v>
      </c>
      <c r="K65" s="206">
        <v>-1.8021155441672095E-4</v>
      </c>
      <c r="L65" s="206">
        <v>-1.8722613406597758E-4</v>
      </c>
      <c r="M65" s="206">
        <v>0.009809103199359352</v>
      </c>
      <c r="N65" s="206">
        <v>0.0</v>
      </c>
      <c r="O65" s="206">
        <v>0.0</v>
      </c>
      <c r="P65" s="206">
        <v>0.0</v>
      </c>
      <c r="Q65" s="206">
        <v>0.0</v>
      </c>
      <c r="R65" s="206">
        <v>0.0</v>
      </c>
      <c r="S65" s="206">
        <v>0.0</v>
      </c>
      <c r="T65" s="206">
        <v>0.0</v>
      </c>
      <c r="U65" s="206">
        <v>0.0</v>
      </c>
    </row>
    <row r="66">
      <c r="A66" s="201">
        <v>48610.0</v>
      </c>
      <c r="B66" s="206">
        <v>-1.4879721556287342E-4</v>
      </c>
      <c r="C66" s="206">
        <v>-1.5280970615518357E-4</v>
      </c>
      <c r="D66" s="206">
        <v>-1.5685176776794607E-4</v>
      </c>
      <c r="E66" s="206">
        <v>-1.6104069076359296E-4</v>
      </c>
      <c r="F66" s="206">
        <v>-1.6561678394170083E-4</v>
      </c>
      <c r="G66" s="206">
        <v>-1.693534834703046E-4</v>
      </c>
      <c r="H66" s="206">
        <v>-1.7290085790344864E-4</v>
      </c>
      <c r="I66" s="206">
        <v>-1.763490387445784E-4</v>
      </c>
      <c r="J66" s="206">
        <v>-1.7991399957819517E-4</v>
      </c>
      <c r="K66" s="206">
        <v>-1.7991399957819522E-4</v>
      </c>
      <c r="L66" s="206">
        <v>-1.869169971614649E-4</v>
      </c>
      <c r="M66" s="206">
        <v>-1.905816029449539E-4</v>
      </c>
      <c r="N66" s="206">
        <v>0.009805709452666986</v>
      </c>
      <c r="O66" s="206">
        <v>0.0</v>
      </c>
      <c r="P66" s="206">
        <v>0.0</v>
      </c>
      <c r="Q66" s="206">
        <v>0.0</v>
      </c>
      <c r="R66" s="206">
        <v>0.0</v>
      </c>
      <c r="S66" s="206">
        <v>0.0</v>
      </c>
      <c r="T66" s="206">
        <v>0.0</v>
      </c>
      <c r="U66" s="206">
        <v>0.0</v>
      </c>
    </row>
    <row r="67">
      <c r="A67" s="201">
        <v>49521.0</v>
      </c>
      <c r="B67" s="206">
        <v>-1.5172454178545867E-4</v>
      </c>
      <c r="C67" s="206">
        <v>-1.5581597114610747E-4</v>
      </c>
      <c r="D67" s="206">
        <v>-1.5993755328556523E-4</v>
      </c>
      <c r="E67" s="206">
        <v>-1.6420888604999146E-4</v>
      </c>
      <c r="F67" s="206">
        <v>-1.6887500589631759E-4</v>
      </c>
      <c r="G67" s="206">
        <v>-1.726852184841182E-4</v>
      </c>
      <c r="H67" s="206">
        <v>-1.7630238133474168E-4</v>
      </c>
      <c r="I67" s="206">
        <v>-1.798183991320824E-4</v>
      </c>
      <c r="J67" s="206">
        <v>-1.8345349436499732E-4</v>
      </c>
      <c r="K67" s="206">
        <v>-1.8345349436499732E-4</v>
      </c>
      <c r="L67" s="206">
        <v>-1.9059426373643293E-4</v>
      </c>
      <c r="M67" s="206">
        <v>-1.943309642601687E-4</v>
      </c>
      <c r="N67" s="206">
        <v>-1.981128756733447E-4</v>
      </c>
      <c r="O67" s="206">
        <v>0.009797961711358416</v>
      </c>
      <c r="P67" s="206">
        <v>0.0</v>
      </c>
      <c r="Q67" s="206">
        <v>0.0</v>
      </c>
      <c r="R67" s="206">
        <v>0.0</v>
      </c>
      <c r="S67" s="206">
        <v>0.0</v>
      </c>
      <c r="T67" s="206">
        <v>0.0</v>
      </c>
      <c r="U67" s="206">
        <v>0.0</v>
      </c>
    </row>
    <row r="68">
      <c r="A68" s="201">
        <v>50434.0</v>
      </c>
      <c r="B68" s="206">
        <v>-1.54542947396285E-4</v>
      </c>
      <c r="C68" s="206">
        <v>-1.5871037835384525E-4</v>
      </c>
      <c r="D68" s="206">
        <v>-1.6290852220237546E-4</v>
      </c>
      <c r="E68" s="206">
        <v>-1.6725919841438971E-4</v>
      </c>
      <c r="F68" s="206">
        <v>-1.72011995196437E-4</v>
      </c>
      <c r="G68" s="206">
        <v>-1.7589298555301203E-4</v>
      </c>
      <c r="H68" s="206">
        <v>-1.7957734011799832E-4</v>
      </c>
      <c r="I68" s="206">
        <v>-1.8315867077884268E-4</v>
      </c>
      <c r="J68" s="206">
        <v>-1.8686129083456986E-4</v>
      </c>
      <c r="K68" s="206">
        <v>-1.8686129083456989E-4</v>
      </c>
      <c r="L68" s="206">
        <v>-1.9413470575052477E-4</v>
      </c>
      <c r="M68" s="206">
        <v>-1.9794081849721496E-4</v>
      </c>
      <c r="N68" s="206">
        <v>-2.01792981962044E-4</v>
      </c>
      <c r="O68" s="206">
        <v>-2.0579131263894398E-4</v>
      </c>
      <c r="P68" s="206">
        <v>0.009789965179798184</v>
      </c>
      <c r="Q68" s="206">
        <v>0.0</v>
      </c>
      <c r="R68" s="206">
        <v>0.0</v>
      </c>
      <c r="S68" s="206">
        <v>0.0</v>
      </c>
      <c r="T68" s="206">
        <v>0.0</v>
      </c>
      <c r="U68" s="206">
        <v>0.0</v>
      </c>
    </row>
    <row r="69">
      <c r="A69" s="199">
        <v>52207.0</v>
      </c>
      <c r="B69" s="206">
        <v>-1.584706987948359E-4</v>
      </c>
      <c r="C69" s="206">
        <v>-1.6274404615329127E-4</v>
      </c>
      <c r="D69" s="206">
        <v>-1.6704888697926485E-4</v>
      </c>
      <c r="E69" s="206">
        <v>-1.7151013682057943E-4</v>
      </c>
      <c r="F69" s="206">
        <v>-1.7638372723651448E-4</v>
      </c>
      <c r="G69" s="206">
        <v>-1.8036335402754107E-4</v>
      </c>
      <c r="H69" s="206">
        <v>-1.841413474743992E-4</v>
      </c>
      <c r="I69" s="206">
        <v>-1.8781369863633276E-4</v>
      </c>
      <c r="J69" s="206">
        <v>-1.916104217963892E-4</v>
      </c>
      <c r="K69" s="206">
        <v>-1.916104217963892E-4</v>
      </c>
      <c r="L69" s="206">
        <v>-1.990686925475E-4</v>
      </c>
      <c r="M69" s="206">
        <v>-2.0297153869364785E-4</v>
      </c>
      <c r="N69" s="206">
        <v>-2.0692160594956762E-4</v>
      </c>
      <c r="O69" s="206">
        <v>-2.110215552973461E-4</v>
      </c>
      <c r="P69" s="206">
        <v>-2.1537291276890438E-4</v>
      </c>
      <c r="Q69" s="206">
        <v>0.009780006456801979</v>
      </c>
      <c r="R69" s="206">
        <v>0.0</v>
      </c>
      <c r="S69" s="206">
        <v>0.0</v>
      </c>
      <c r="T69" s="206">
        <v>0.0</v>
      </c>
      <c r="U69" s="206">
        <v>0.0</v>
      </c>
    </row>
    <row r="70">
      <c r="A70" s="201">
        <v>54445.0</v>
      </c>
      <c r="B70" s="206">
        <v>-1.5337641153359671E-4</v>
      </c>
      <c r="C70" s="206">
        <v>-1.5751238549005042E-4</v>
      </c>
      <c r="D70" s="206">
        <v>-1.6167884050749157E-4</v>
      </c>
      <c r="E70" s="206">
        <v>-1.6599667652903607E-4</v>
      </c>
      <c r="F70" s="206">
        <v>-1.7071359779565067E-4</v>
      </c>
      <c r="G70" s="206">
        <v>-1.7456529328947087E-4</v>
      </c>
      <c r="H70" s="206">
        <v>-1.7822183725679916E-4</v>
      </c>
      <c r="I70" s="206">
        <v>-1.817761349748765E-4</v>
      </c>
      <c r="J70" s="206">
        <v>-1.854508065596208E-4</v>
      </c>
      <c r="K70" s="206">
        <v>-1.8545080655962083E-4</v>
      </c>
      <c r="L70" s="206">
        <v>-1.926693195891641E-4</v>
      </c>
      <c r="M70" s="206">
        <v>-1.9644670267143896E-4</v>
      </c>
      <c r="N70" s="206">
        <v>-2.0026978886741577E-4</v>
      </c>
      <c r="O70" s="206">
        <v>-2.0423793896212755E-4</v>
      </c>
      <c r="P70" s="206">
        <v>-2.084494152751812E-4</v>
      </c>
      <c r="Q70" s="206">
        <v>-2.1292150834746718E-4</v>
      </c>
      <c r="R70" s="206">
        <v>0.009782288990004316</v>
      </c>
      <c r="S70" s="206">
        <v>0.0</v>
      </c>
      <c r="T70" s="206">
        <v>0.0</v>
      </c>
      <c r="U70" s="206">
        <v>0.0</v>
      </c>
    </row>
    <row r="71">
      <c r="A71" s="201">
        <v>56179.0</v>
      </c>
      <c r="B71" s="206">
        <v>-1.5063737608861925E-4</v>
      </c>
      <c r="C71" s="206">
        <v>-1.5469948875732368E-4</v>
      </c>
      <c r="D71" s="206">
        <v>-1.5879153814838084E-4</v>
      </c>
      <c r="E71" s="206">
        <v>-1.630322651425961E-4</v>
      </c>
      <c r="F71" s="206">
        <v>-1.6766495041482766E-4</v>
      </c>
      <c r="G71" s="206">
        <v>-1.7144786133887382E-4</v>
      </c>
      <c r="H71" s="206">
        <v>-1.7503910580263124E-4</v>
      </c>
      <c r="I71" s="206">
        <v>-1.7852992995698072E-4</v>
      </c>
      <c r="J71" s="206">
        <v>-1.8213897831049523E-4</v>
      </c>
      <c r="K71" s="206">
        <v>-1.8213897831049526E-4</v>
      </c>
      <c r="L71" s="206">
        <v>-1.8922858127590114E-4</v>
      </c>
      <c r="M71" s="206">
        <v>-1.9293850687857953E-4</v>
      </c>
      <c r="N71" s="206">
        <v>-1.9669331941698883E-4</v>
      </c>
      <c r="O71" s="206">
        <v>-2.005906052656818E-4</v>
      </c>
      <c r="P71" s="206">
        <v>-2.0472687195046338E-4</v>
      </c>
      <c r="Q71" s="206">
        <v>-2.091191012332934E-4</v>
      </c>
      <c r="R71" s="206">
        <v>-2.1382307072798649E-4</v>
      </c>
      <c r="S71" s="206">
        <v>0.00978141816200025</v>
      </c>
      <c r="T71" s="206">
        <v>0.0</v>
      </c>
      <c r="U71" s="206">
        <v>0.0</v>
      </c>
    </row>
    <row r="72">
      <c r="A72" s="201">
        <v>59831.0</v>
      </c>
      <c r="B72" s="206">
        <v>-1.4490285543903051E-4</v>
      </c>
      <c r="C72" s="206">
        <v>-1.488103300651422E-4</v>
      </c>
      <c r="D72" s="206">
        <v>-1.527466017711292E-4</v>
      </c>
      <c r="E72" s="206">
        <v>-1.5682589116500212E-4</v>
      </c>
      <c r="F72" s="206">
        <v>-1.6128221762080666E-4</v>
      </c>
      <c r="G72" s="206">
        <v>-1.649211192599545E-4</v>
      </c>
      <c r="H72" s="206">
        <v>-1.6837565087016992E-4</v>
      </c>
      <c r="I72" s="206">
        <v>-1.717335850093255E-4</v>
      </c>
      <c r="J72" s="206">
        <v>-1.7520524274408398E-4</v>
      </c>
      <c r="K72" s="206">
        <v>-1.7520524274408398E-4</v>
      </c>
      <c r="L72" s="206">
        <v>-1.820249560203693E-4</v>
      </c>
      <c r="M72" s="206">
        <v>-1.8559365077098813E-4</v>
      </c>
      <c r="N72" s="206">
        <v>-1.8920552368447875E-4</v>
      </c>
      <c r="O72" s="206">
        <v>-1.929544461803506E-4</v>
      </c>
      <c r="P72" s="206">
        <v>-1.9693325189938811E-4</v>
      </c>
      <c r="Q72" s="206">
        <v>-2.0115827613540886E-4</v>
      </c>
      <c r="R72" s="206">
        <v>-2.05683173138913E-4</v>
      </c>
      <c r="S72" s="206">
        <v>-2.102607818569693E-4</v>
      </c>
      <c r="T72" s="206">
        <v>0.009785040595980439</v>
      </c>
      <c r="U72" s="206">
        <v>0.0</v>
      </c>
    </row>
    <row r="73">
      <c r="A73" s="201">
        <v>63484.0</v>
      </c>
      <c r="B73" s="206">
        <v>-1.3108650257149653E-4</v>
      </c>
      <c r="C73" s="206">
        <v>-1.34621403116223E-4</v>
      </c>
      <c r="D73" s="206">
        <v>-1.3818235496596814E-4</v>
      </c>
      <c r="E73" s="206">
        <v>-1.4187268789970934E-4</v>
      </c>
      <c r="F73" s="206">
        <v>-1.4590410776123213E-4</v>
      </c>
      <c r="G73" s="206">
        <v>-1.49196043504198E-4</v>
      </c>
      <c r="H73" s="206">
        <v>-1.5232118872948557E-4</v>
      </c>
      <c r="I73" s="206">
        <v>-1.5535894696298378E-4</v>
      </c>
      <c r="J73" s="206">
        <v>-1.58499585352724E-4</v>
      </c>
      <c r="K73" s="206">
        <v>-1.5849958535272402E-4</v>
      </c>
      <c r="L73" s="206">
        <v>-1.6466904529345504E-4</v>
      </c>
      <c r="M73" s="206">
        <v>-1.6789746830959588E-4</v>
      </c>
      <c r="N73" s="206">
        <v>-1.7116495249082662E-4</v>
      </c>
      <c r="O73" s="206">
        <v>-1.7455641870387325E-4</v>
      </c>
      <c r="P73" s="206">
        <v>-1.7815584898797513E-4</v>
      </c>
      <c r="Q73" s="206">
        <v>-1.819780210818357E-4</v>
      </c>
      <c r="R73" s="206">
        <v>-1.8607147335293446E-4</v>
      </c>
      <c r="S73" s="206">
        <v>-1.9021261132549344E-4</v>
      </c>
      <c r="T73" s="206">
        <v>-1.944632242228932E-4</v>
      </c>
      <c r="U73" s="206">
        <v>0.009801264775229674</v>
      </c>
    </row>
    <row r="76">
      <c r="A76" s="207" t="s">
        <v>4</v>
      </c>
      <c r="B76" s="208" t="s">
        <v>5</v>
      </c>
      <c r="C76" s="208" t="s">
        <v>19</v>
      </c>
      <c r="D76" s="207" t="s">
        <v>75</v>
      </c>
    </row>
    <row r="77">
      <c r="A77" s="209">
        <v>45299.0</v>
      </c>
      <c r="B77" s="210">
        <f t="shared" ref="B77:B96" si="25">(A77-$B$4)/184</f>
        <v>0.1467391304</v>
      </c>
      <c r="C77" s="211">
        <f t="array" ref="C77:C96">MMULT(B54:U73,R6:R25)</f>
        <v>0.9715335711</v>
      </c>
      <c r="D77" s="212">
        <f t="shared" ref="D77:D96" si="26">(1/C77)^(1/B77)-1</f>
        <v>0.2175104224</v>
      </c>
    </row>
    <row r="78">
      <c r="A78" s="213">
        <v>45362.0</v>
      </c>
      <c r="B78" s="210">
        <f t="shared" si="25"/>
        <v>0.4891304348</v>
      </c>
      <c r="C78" s="211">
        <v>0.9381569706045155</v>
      </c>
      <c r="D78" s="212">
        <f t="shared" si="26"/>
        <v>0.1394130258</v>
      </c>
    </row>
    <row r="79">
      <c r="A79" s="213">
        <v>45453.0</v>
      </c>
      <c r="B79" s="210">
        <f t="shared" si="25"/>
        <v>0.9836956522</v>
      </c>
      <c r="C79" s="211">
        <v>0.900808666523762</v>
      </c>
      <c r="D79" s="212">
        <f t="shared" si="26"/>
        <v>0.1120373926</v>
      </c>
    </row>
    <row r="80">
      <c r="A80" s="214">
        <v>45482.0</v>
      </c>
      <c r="B80" s="210">
        <f t="shared" si="25"/>
        <v>1.141304348</v>
      </c>
      <c r="C80" s="211">
        <v>0.8804282688355023</v>
      </c>
      <c r="D80" s="212">
        <f t="shared" si="26"/>
        <v>0.1180432639</v>
      </c>
    </row>
    <row r="81">
      <c r="A81" s="215">
        <v>45952.0</v>
      </c>
      <c r="B81" s="210">
        <f t="shared" si="25"/>
        <v>3.695652174</v>
      </c>
      <c r="C81" s="211">
        <v>0.8802915109900273</v>
      </c>
      <c r="D81" s="212">
        <f t="shared" si="26"/>
        <v>0.03510263445</v>
      </c>
    </row>
    <row r="82">
      <c r="A82" s="213">
        <v>46416.0</v>
      </c>
      <c r="B82" s="210">
        <f t="shared" si="25"/>
        <v>6.217391304</v>
      </c>
      <c r="C82" s="211">
        <v>0.8850520818895927</v>
      </c>
      <c r="D82" s="212">
        <f t="shared" si="26"/>
        <v>0.01983400585</v>
      </c>
    </row>
    <row r="83">
      <c r="A83" s="213">
        <v>46590.0</v>
      </c>
      <c r="B83" s="210">
        <f t="shared" si="25"/>
        <v>7.163043478</v>
      </c>
      <c r="C83" s="211">
        <v>0.7854430592146732</v>
      </c>
      <c r="D83" s="212">
        <f t="shared" si="26"/>
        <v>0.03429055783</v>
      </c>
    </row>
    <row r="84">
      <c r="A84" s="209">
        <v>46911.0</v>
      </c>
      <c r="B84" s="210">
        <f t="shared" si="25"/>
        <v>8.907608696</v>
      </c>
      <c r="C84" s="211">
        <v>0.8758934658610782</v>
      </c>
      <c r="D84" s="212">
        <f t="shared" si="26"/>
        <v>0.01498733773</v>
      </c>
    </row>
    <row r="85">
      <c r="A85" s="213">
        <v>47149.0</v>
      </c>
      <c r="B85" s="210">
        <f t="shared" si="25"/>
        <v>10.20108696</v>
      </c>
      <c r="C85" s="211">
        <v>0.6778242143358831</v>
      </c>
      <c r="D85" s="212">
        <f t="shared" si="26"/>
        <v>0.0388560776</v>
      </c>
    </row>
    <row r="86">
      <c r="A86" s="213">
        <v>47778.0</v>
      </c>
      <c r="B86" s="210">
        <f t="shared" si="25"/>
        <v>13.61956522</v>
      </c>
      <c r="C86" s="211">
        <v>0.6303947263801031</v>
      </c>
      <c r="D86" s="212">
        <f t="shared" si="26"/>
        <v>0.03445881099</v>
      </c>
    </row>
    <row r="87">
      <c r="A87" s="213">
        <v>48244.0</v>
      </c>
      <c r="B87" s="210">
        <f t="shared" si="25"/>
        <v>16.15217391</v>
      </c>
      <c r="C87" s="211">
        <v>0.6220242091699346</v>
      </c>
      <c r="D87" s="212">
        <f t="shared" si="26"/>
        <v>0.02983022085</v>
      </c>
    </row>
    <row r="88">
      <c r="A88" s="209">
        <v>48372.0</v>
      </c>
      <c r="B88" s="210">
        <f t="shared" si="25"/>
        <v>16.84782609</v>
      </c>
      <c r="C88" s="211">
        <v>0.834481515424617</v>
      </c>
      <c r="D88" s="212">
        <f t="shared" si="26"/>
        <v>0.0107978229</v>
      </c>
    </row>
    <row r="89">
      <c r="A89" s="213">
        <v>48610.0</v>
      </c>
      <c r="B89" s="210">
        <f t="shared" si="25"/>
        <v>18.14130435</v>
      </c>
      <c r="C89" s="211">
        <v>0.7365713395213973</v>
      </c>
      <c r="D89" s="212">
        <f t="shared" si="26"/>
        <v>0.01699658561</v>
      </c>
    </row>
    <row r="90">
      <c r="A90" s="213">
        <v>49521.0</v>
      </c>
      <c r="B90" s="210">
        <f t="shared" si="25"/>
        <v>23.0923913</v>
      </c>
      <c r="C90" s="211">
        <v>0.45218207782082653</v>
      </c>
      <c r="D90" s="212">
        <f t="shared" si="26"/>
        <v>0.03496679549</v>
      </c>
    </row>
    <row r="91">
      <c r="A91" s="213">
        <v>50434.0</v>
      </c>
      <c r="B91" s="210">
        <f t="shared" si="25"/>
        <v>28.05434783</v>
      </c>
      <c r="C91" s="211">
        <v>0.6920159100785094</v>
      </c>
      <c r="D91" s="212">
        <f t="shared" si="26"/>
        <v>0.01320909173</v>
      </c>
    </row>
    <row r="92">
      <c r="A92" s="209">
        <v>52207.0</v>
      </c>
      <c r="B92" s="210">
        <f t="shared" si="25"/>
        <v>37.69021739</v>
      </c>
      <c r="C92" s="211">
        <v>0.7206721048324478</v>
      </c>
      <c r="D92" s="212">
        <f t="shared" si="26"/>
        <v>0.008729019417</v>
      </c>
    </row>
    <row r="93">
      <c r="A93" s="213">
        <v>54445.0</v>
      </c>
      <c r="B93" s="210">
        <f t="shared" si="25"/>
        <v>49.85326087</v>
      </c>
      <c r="C93" s="211">
        <v>0.31062313045691714</v>
      </c>
      <c r="D93" s="212">
        <f t="shared" si="26"/>
        <v>0.02372949378</v>
      </c>
    </row>
    <row r="94">
      <c r="A94" s="213">
        <v>56179.0</v>
      </c>
      <c r="B94" s="210">
        <f t="shared" si="25"/>
        <v>59.27717391</v>
      </c>
      <c r="C94" s="211">
        <v>0.5843753251874211</v>
      </c>
      <c r="D94" s="212">
        <f t="shared" si="26"/>
        <v>0.009103900451</v>
      </c>
    </row>
    <row r="95">
      <c r="A95" s="213">
        <v>59831.0</v>
      </c>
      <c r="B95" s="210">
        <f t="shared" si="25"/>
        <v>79.125</v>
      </c>
      <c r="C95" s="211">
        <v>0.6199960396840059</v>
      </c>
      <c r="D95" s="212">
        <f t="shared" si="26"/>
        <v>0.006059894758</v>
      </c>
    </row>
    <row r="96">
      <c r="A96" s="213">
        <v>63484.0</v>
      </c>
      <c r="B96" s="210">
        <f t="shared" si="25"/>
        <v>98.97826087</v>
      </c>
      <c r="C96" s="211">
        <v>0.09055028838485912</v>
      </c>
      <c r="D96" s="212">
        <f t="shared" si="26"/>
        <v>0.02456326493</v>
      </c>
    </row>
  </sheetData>
  <drawing r:id="rId1"/>
</worksheet>
</file>