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girias/OneDrive/ATT_Bill/"/>
    </mc:Choice>
  </mc:AlternateContent>
  <xr:revisionPtr revIDLastSave="0" documentId="10_ncr:8100000_{FEA49756-70F6-E747-B3F4-BA2FB8A49533}" xr6:coauthVersionLast="33" xr6:coauthVersionMax="33" xr10:uidLastSave="{00000000-0000-0000-0000-000000000000}"/>
  <bookViews>
    <workbookView xWindow="940" yWindow="440" windowWidth="32100" windowHeight="18680" firstSheet="1" activeTab="3" xr2:uid="{00000000-000D-0000-FFFF-FFFF00000000}"/>
  </bookViews>
  <sheets>
    <sheet name="2015" sheetId="1" r:id="rId1"/>
    <sheet name="2016" sheetId="2" r:id="rId2"/>
    <sheet name="2017" sheetId="3" r:id="rId3"/>
    <sheet name="2018" sheetId="4" r:id="rId4"/>
  </sheets>
  <calcPr calcId="162913" concurrentCalc="0"/>
</workbook>
</file>

<file path=xl/calcChain.xml><?xml version="1.0" encoding="utf-8"?>
<calcChain xmlns="http://schemas.openxmlformats.org/spreadsheetml/2006/main">
  <c r="N8" i="4" l="1"/>
  <c r="O4" i="4"/>
  <c r="H9" i="4"/>
  <c r="I9" i="4"/>
  <c r="D28" i="4"/>
  <c r="O9" i="4"/>
  <c r="G18" i="4"/>
  <c r="G19" i="4"/>
  <c r="G20" i="4"/>
  <c r="G21" i="4"/>
  <c r="G22" i="4"/>
  <c r="G23" i="4"/>
  <c r="G24" i="4"/>
  <c r="G25" i="4"/>
  <c r="G27" i="4"/>
  <c r="N10" i="4"/>
  <c r="O10" i="4"/>
  <c r="P10" i="4"/>
  <c r="N9" i="4"/>
  <c r="P9" i="4"/>
  <c r="M8" i="3"/>
  <c r="O8" i="3"/>
  <c r="Q8" i="4"/>
  <c r="P8" i="4"/>
  <c r="N7" i="4"/>
  <c r="M6" i="3"/>
  <c r="M7" i="3"/>
  <c r="N6" i="3"/>
  <c r="O6" i="3"/>
  <c r="Q6" i="4"/>
  <c r="N6" i="4"/>
  <c r="O6" i="4"/>
  <c r="P6" i="4"/>
  <c r="M5" i="3"/>
  <c r="O5" i="3"/>
  <c r="Q5" i="4"/>
  <c r="N5" i="4"/>
  <c r="P5" i="4"/>
  <c r="M4" i="3"/>
  <c r="N4" i="3"/>
  <c r="O4" i="3"/>
  <c r="Q4" i="4"/>
  <c r="N4" i="4"/>
  <c r="P4" i="4"/>
  <c r="H20" i="3"/>
  <c r="H21" i="3"/>
  <c r="H22" i="3"/>
  <c r="H23" i="3"/>
  <c r="H24" i="3"/>
  <c r="M10" i="3"/>
  <c r="M9" i="3"/>
  <c r="N9" i="3"/>
  <c r="O9" i="3"/>
  <c r="E19" i="2"/>
  <c r="H19" i="2"/>
  <c r="E20" i="2"/>
  <c r="H20" i="2"/>
  <c r="E21" i="2"/>
  <c r="H21" i="2"/>
  <c r="E22" i="2"/>
  <c r="H22" i="2"/>
  <c r="E23" i="2"/>
  <c r="H23" i="2"/>
  <c r="E24" i="2"/>
  <c r="H24" i="2"/>
  <c r="E25" i="2"/>
  <c r="H25" i="2"/>
  <c r="H26" i="2"/>
  <c r="I4" i="2"/>
  <c r="I10" i="2"/>
  <c r="M10" i="2"/>
  <c r="N10" i="2"/>
  <c r="O10" i="2"/>
  <c r="G10" i="2"/>
  <c r="F10" i="2"/>
  <c r="B10" i="2"/>
  <c r="H3" i="2"/>
  <c r="H4" i="2"/>
  <c r="H7" i="2"/>
  <c r="M9" i="2"/>
  <c r="G9" i="2"/>
  <c r="F9" i="2"/>
  <c r="G3" i="2"/>
  <c r="G4" i="2"/>
  <c r="G5" i="2"/>
  <c r="G6" i="2"/>
  <c r="G7" i="2"/>
  <c r="G8" i="2"/>
  <c r="M8" i="2"/>
  <c r="N8" i="2"/>
  <c r="O8" i="2"/>
  <c r="F8" i="2"/>
  <c r="F3" i="2"/>
  <c r="F4" i="2"/>
  <c r="F5" i="2"/>
  <c r="F6" i="2"/>
  <c r="F7" i="2"/>
  <c r="M7" i="2"/>
  <c r="O7" i="2"/>
  <c r="C7" i="2"/>
  <c r="E3" i="2"/>
  <c r="M6" i="2"/>
  <c r="N6" i="2"/>
  <c r="O6" i="2"/>
  <c r="D3" i="2"/>
  <c r="D4" i="2"/>
  <c r="M5" i="2"/>
  <c r="C3" i="2"/>
  <c r="M4" i="2"/>
  <c r="N4" i="2"/>
  <c r="O4" i="2"/>
  <c r="J15" i="1"/>
  <c r="I15" i="1"/>
  <c r="G15" i="1"/>
  <c r="F15" i="1"/>
  <c r="D15" i="1"/>
  <c r="C15" i="1"/>
  <c r="I14" i="1"/>
  <c r="H14" i="1"/>
  <c r="G14" i="1"/>
  <c r="F14" i="1"/>
  <c r="N11" i="1"/>
  <c r="P11" i="1"/>
  <c r="N10" i="1"/>
  <c r="N9" i="1"/>
  <c r="O9" i="1"/>
  <c r="P9" i="1"/>
  <c r="N8" i="1"/>
  <c r="N7" i="1"/>
  <c r="P7" i="1"/>
  <c r="N6" i="1"/>
  <c r="O6" i="1"/>
  <c r="P6" i="1"/>
  <c r="N5" i="1"/>
  <c r="N4" i="1"/>
  <c r="O4" i="1"/>
  <c r="P4" i="1"/>
</calcChain>
</file>

<file path=xl/sharedStrings.xml><?xml version="1.0" encoding="utf-8"?>
<sst xmlns="http://schemas.openxmlformats.org/spreadsheetml/2006/main" count="283" uniqueCount="60">
  <si>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</si>
  <si>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</si>
  <si>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</si>
  <si>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</si>
  <si>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</si>
  <si>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</si>
  <si>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</si>
  <si>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</si>
  <si>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</si>
  <si>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</si>
  <si>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Sankari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</si>
  <si>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</si>
  <si>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</si>
  <si>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</si>
  <si>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</si>
  <si>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</si>
  <si>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</si>
  <si>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</si>
  <si>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</si>
  <si>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</si>
  <si>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 xml:space="preserve"> 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</si>
  <si>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</si>
  <si>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</si>
  <si>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</si>
  <si>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</si>
  <si>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</si>
  <si>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</si>
  <si>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</si>
  <si>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</si>
  <si>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</si>
  <si>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>ATT discount claimed for incorrect billing in 2015.</t>
  </si>
  <si>
    <t>Previous Balance - 2015</t>
  </si>
  <si>
    <t>Balaji Contract - $25 extra
Giri India Calling - $15 extra</t>
  </si>
  <si>
    <t>Balaji Contract - $25 extra
Giri India Calling - $15 extra
Sundar roaming - $15 extra</t>
  </si>
  <si>
    <t>Balaji Contract - $25 extra
Giri India Calling and Roaming - $79 extra</t>
  </si>
  <si>
    <t>Balaji Contract - $25 extra
Giri International Calling - $67.77 extra</t>
  </si>
  <si>
    <t>Balaji Contract - $25 extra
Giri last month duplicate charge for International roaming. - refund $67.76
Sankari - Activation fee and International calling - $55.16 extra
Veera - International calling - $3.52 extra</t>
  </si>
  <si>
    <t>Balaji Contract - $25 extra
Sankari - International calling - $501.52 extra</t>
  </si>
  <si>
    <t>Balaji Contract - $25 extra
Sankari - International calling - $15 extra</t>
  </si>
  <si>
    <t>Sankari - International calling - $15 extra</t>
  </si>
  <si>
    <t>Current month Calculation</t>
  </si>
  <si>
    <t>Names</t>
  </si>
  <si>
    <t>Data</t>
  </si>
  <si>
    <t>Monthly Charge</t>
  </si>
  <si>
    <t>Govt Fees and Other Charges</t>
  </si>
  <si>
    <t>Refund</t>
  </si>
  <si>
    <t>Deposit</t>
  </si>
  <si>
    <t>Veera</t>
  </si>
  <si>
    <t>Priya</t>
  </si>
  <si>
    <t>Giri - India calling extra $44.32
Sankari - India calling extra $15</t>
  </si>
  <si>
    <t>Previous Balance - 2016</t>
  </si>
  <si>
    <t>Sankari - India calling extra $15</t>
  </si>
  <si>
    <t>Previous + Current month Calculation</t>
  </si>
  <si>
    <t>Ravi</t>
  </si>
  <si>
    <t>Allen</t>
  </si>
  <si>
    <t>Previous Balance - 2017</t>
  </si>
  <si>
    <t>Mugunthan no bill - India vacation</t>
  </si>
  <si>
    <t>Mugunthan Extra for new connection</t>
  </si>
  <si>
    <t>Ravi - Extra device cost
Allen/Agalya - Activation charge and half data plan as they joined mid of month</t>
  </si>
  <si>
    <t>Ravi - 4.75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</si>
</sst>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6" formatCode="[$-409]mmm\-yy;@"/>
  </numFmts>
  <fonts count="10" x14ac:knownFonts="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00B050"/>
      <name val="Calibri"/>
      <charset val="134"/>
    </font>
    <font>
      <sz val="11"/>
      <color rgb="FFFF0000"/>
      <name val="Calibri"/>
      <charset val="134"/>
    </font>
    <font>
      <b/>
      <sz val="11"/>
      <color theme="1"/>
      <name val="Calibri"/>
      <charset val="134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right" vertical="center" wrapText="1"/>
    </xf>
    <xf numFmtId="44" fontId="3" fillId="0" borderId="1" xfId="1" applyFont="1" applyFill="1" applyBorder="1" applyAlignment="1">
      <alignment vertical="center" wrapText="1"/>
    </xf>
    <xf numFmtId="44" fontId="3" fillId="0" borderId="1" xfId="1" applyFont="1" applyFill="1" applyBorder="1" applyAlignment="1">
      <alignment horizontal="right" vertical="center" wrapText="1"/>
    </xf>
    <xf numFmtId="0" fontId="3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44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/>
    <xf numFmtId="44" fontId="1" fillId="0" borderId="1" xfId="1" applyFont="1" applyFill="1" applyBorder="1"/>
    <xf numFmtId="0" fontId="3" fillId="0" borderId="1" xfId="0" applyFont="1" applyFill="1" applyBorder="1" applyAlignment="1">
      <alignment vertical="center" wrapText="1"/>
    </xf>
    <xf numFmtId="44" fontId="3" fillId="0" borderId="0" xfId="0" applyNumberFormat="1" applyFont="1" applyFill="1" applyAlignment="1">
      <alignment vertical="center" wrapText="1"/>
    </xf>
    <xf numFmtId="0" fontId="1" fillId="3" borderId="0" xfId="0" applyFont="1" applyFill="1"/>
    <xf numFmtId="44" fontId="1" fillId="3" borderId="0" xfId="0" applyNumberFormat="1" applyFont="1" applyFill="1"/>
    <xf numFmtId="8" fontId="1" fillId="0" borderId="0" xfId="0" applyNumberFormat="1" applyFont="1" applyFill="1"/>
    <xf numFmtId="44" fontId="1" fillId="0" borderId="0" xfId="0" applyNumberFormat="1" applyFont="1" applyFill="1"/>
    <xf numFmtId="0" fontId="2" fillId="4" borderId="1" xfId="0" applyFont="1" applyFill="1" applyBorder="1" applyAlignment="1">
      <alignment vertical="center" wrapText="1"/>
    </xf>
    <xf numFmtId="44" fontId="3" fillId="0" borderId="1" xfId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44" fontId="4" fillId="0" borderId="1" xfId="1" applyFont="1" applyFill="1" applyBorder="1" applyAlignment="1">
      <alignment vertical="center" wrapText="1"/>
    </xf>
    <xf numFmtId="44" fontId="5" fillId="6" borderId="1" xfId="1" applyFont="1" applyFill="1" applyBorder="1" applyAlignment="1"/>
    <xf numFmtId="44" fontId="4" fillId="6" borderId="1" xfId="1" applyFont="1" applyFill="1" applyBorder="1" applyAlignment="1"/>
    <xf numFmtId="44" fontId="5" fillId="0" borderId="1" xfId="1" applyFont="1" applyFill="1" applyBorder="1" applyAlignment="1">
      <alignment vertical="center" wrapText="1"/>
    </xf>
    <xf numFmtId="44" fontId="5" fillId="6" borderId="1" xfId="1" applyFont="1" applyFill="1" applyBorder="1" applyAlignment="1">
      <alignment vertical="center" wrapText="1"/>
    </xf>
    <xf numFmtId="44" fontId="3" fillId="0" borderId="7" xfId="1" applyFont="1" applyFill="1" applyBorder="1" applyAlignment="1">
      <alignment horizontal="right" vertical="center" wrapText="1"/>
    </xf>
    <xf numFmtId="44" fontId="3" fillId="0" borderId="8" xfId="1" applyFont="1" applyFill="1" applyBorder="1" applyAlignment="1">
      <alignment vertical="center" wrapText="1"/>
    </xf>
    <xf numFmtId="44" fontId="4" fillId="6" borderId="7" xfId="1" applyFont="1" applyFill="1" applyBorder="1" applyAlignment="1"/>
    <xf numFmtId="44" fontId="4" fillId="6" borderId="11" xfId="1" applyFont="1" applyFill="1" applyBorder="1" applyAlignment="1"/>
    <xf numFmtId="0" fontId="6" fillId="7" borderId="1" xfId="0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right" vertical="center" wrapText="1"/>
    </xf>
    <xf numFmtId="44" fontId="1" fillId="0" borderId="1" xfId="1" applyFont="1" applyBorder="1" applyAlignment="1">
      <alignment horizontal="right" vertical="center" wrapText="1"/>
    </xf>
    <xf numFmtId="44" fontId="1" fillId="0" borderId="1" xfId="1" applyFont="1" applyBorder="1" applyAlignment="1">
      <alignment vertical="center" wrapText="1"/>
    </xf>
    <xf numFmtId="44" fontId="1" fillId="0" borderId="7" xfId="1" applyFont="1" applyBorder="1" applyAlignment="1">
      <alignment horizontal="right" vertical="center" wrapText="1"/>
    </xf>
    <xf numFmtId="44" fontId="1" fillId="0" borderId="8" xfId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44" fontId="1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4" fontId="0" fillId="0" borderId="1" xfId="1" applyFont="1" applyBorder="1"/>
    <xf numFmtId="0" fontId="0" fillId="0" borderId="1" xfId="0" applyBorder="1"/>
    <xf numFmtId="0" fontId="0" fillId="8" borderId="0" xfId="0" applyFill="1"/>
    <xf numFmtId="44" fontId="0" fillId="8" borderId="0" xfId="0" applyNumberFormat="1" applyFill="1"/>
    <xf numFmtId="0" fontId="6" fillId="9" borderId="1" xfId="0" applyFont="1" applyFill="1" applyBorder="1" applyAlignment="1">
      <alignment vertical="center" wrapText="1"/>
    </xf>
    <xf numFmtId="44" fontId="4" fillId="0" borderId="1" xfId="1" applyFont="1" applyBorder="1" applyAlignment="1">
      <alignment vertical="center" wrapText="1"/>
    </xf>
    <xf numFmtId="44" fontId="7" fillId="10" borderId="1" xfId="1" applyFont="1" applyFill="1" applyBorder="1" applyAlignment="1"/>
    <xf numFmtId="44" fontId="5" fillId="0" borderId="1" xfId="1" applyFont="1" applyBorder="1" applyAlignment="1">
      <alignment vertical="center" wrapText="1"/>
    </xf>
    <xf numFmtId="44" fontId="4" fillId="10" borderId="1" xfId="1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4" fontId="1" fillId="0" borderId="1" xfId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5" fontId="1" fillId="0" borderId="1" xfId="1" applyNumberFormat="1" applyFont="1" applyBorder="1" applyAlignment="1">
      <alignment horizontal="right" vertical="center" wrapText="1"/>
    </xf>
    <xf numFmtId="165" fontId="1" fillId="0" borderId="1" xfId="1" applyNumberFormat="1" applyFont="1" applyBorder="1" applyAlignment="1">
      <alignment vertical="center" wrapText="1"/>
    </xf>
    <xf numFmtId="16" fontId="1" fillId="0" borderId="0" xfId="0" applyNumberFormat="1" applyFont="1" applyAlignment="1">
      <alignment vertical="center" wrapText="1"/>
    </xf>
    <xf numFmtId="16" fontId="0" fillId="0" borderId="0" xfId="0" applyNumberFormat="1"/>
    <xf numFmtId="44" fontId="0" fillId="0" borderId="0" xfId="0" applyNumberFormat="1"/>
    <xf numFmtId="165" fontId="4" fillId="0" borderId="1" xfId="1" applyNumberFormat="1" applyFont="1" applyBorder="1" applyAlignment="1">
      <alignment horizontal="center" vertical="center" wrapText="1"/>
    </xf>
    <xf numFmtId="165" fontId="1" fillId="0" borderId="0" xfId="0" applyNumberFormat="1" applyFont="1" applyAlignment="1">
      <alignment vertical="center" wrapText="1"/>
    </xf>
    <xf numFmtId="165" fontId="1" fillId="0" borderId="1" xfId="1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7" xfId="1" applyNumberFormat="1" applyFont="1" applyBorder="1" applyAlignment="1">
      <alignment horizontal="center" vertical="center" wrapText="1"/>
    </xf>
    <xf numFmtId="165" fontId="1" fillId="0" borderId="8" xfId="1" applyNumberFormat="1" applyFont="1" applyBorder="1" applyAlignment="1">
      <alignment horizontal="center" vertical="center" wrapText="1"/>
    </xf>
    <xf numFmtId="165" fontId="1" fillId="0" borderId="11" xfId="1" applyNumberFormat="1" applyFont="1" applyBorder="1" applyAlignment="1">
      <alignment horizontal="center" vertical="center" wrapText="1"/>
    </xf>
    <xf numFmtId="165" fontId="4" fillId="0" borderId="7" xfId="1" applyNumberFormat="1" applyFont="1" applyBorder="1" applyAlignment="1">
      <alignment horizontal="center" vertical="center" wrapText="1"/>
    </xf>
    <xf numFmtId="165" fontId="4" fillId="0" borderId="11" xfId="1" applyNumberFormat="1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44" fontId="1" fillId="0" borderId="7" xfId="1" applyFont="1" applyBorder="1" applyAlignment="1">
      <alignment vertical="center" wrapText="1"/>
    </xf>
    <xf numFmtId="44" fontId="1" fillId="0" borderId="11" xfId="1" applyFont="1" applyBorder="1" applyAlignment="1">
      <alignment vertical="center" wrapText="1"/>
    </xf>
    <xf numFmtId="44" fontId="5" fillId="0" borderId="7" xfId="1" applyFont="1" applyBorder="1" applyAlignment="1">
      <alignment vertical="center" wrapText="1"/>
    </xf>
    <xf numFmtId="44" fontId="5" fillId="0" borderId="11" xfId="1" applyFont="1" applyBorder="1" applyAlignment="1">
      <alignment vertical="center" wrapText="1"/>
    </xf>
    <xf numFmtId="44" fontId="4" fillId="0" borderId="7" xfId="1" applyFont="1" applyBorder="1" applyAlignment="1">
      <alignment vertical="center" wrapText="1"/>
    </xf>
    <xf numFmtId="44" fontId="4" fillId="0" borderId="11" xfId="1" applyFont="1" applyBorder="1" applyAlignment="1">
      <alignment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44" fontId="7" fillId="10" borderId="7" xfId="1" applyFont="1" applyFill="1" applyBorder="1" applyAlignment="1"/>
    <xf numFmtId="44" fontId="7" fillId="10" borderId="11" xfId="1" applyFont="1" applyFill="1" applyBorder="1" applyAlignment="1"/>
    <xf numFmtId="44" fontId="4" fillId="10" borderId="7" xfId="1" applyFont="1" applyFill="1" applyBorder="1" applyAlignment="1"/>
    <xf numFmtId="44" fontId="4" fillId="10" borderId="11" xfId="1" applyFont="1" applyFill="1" applyBorder="1" applyAlignment="1"/>
    <xf numFmtId="164" fontId="3" fillId="0" borderId="1" xfId="0" applyNumberFormat="1" applyFont="1" applyFill="1" applyBorder="1" applyAlignment="1">
      <alignment horizontal="center" vertical="center" wrapText="1"/>
    </xf>
    <xf numFmtId="44" fontId="3" fillId="0" borderId="7" xfId="1" applyFont="1" applyFill="1" applyBorder="1" applyAlignment="1">
      <alignment horizontal="center" vertical="center" wrapText="1"/>
    </xf>
    <xf numFmtId="44" fontId="3" fillId="0" borderId="11" xfId="1" applyFont="1" applyFill="1" applyBorder="1" applyAlignment="1">
      <alignment horizontal="center" vertical="center" wrapText="1"/>
    </xf>
    <xf numFmtId="44" fontId="3" fillId="0" borderId="7" xfId="1" applyFont="1" applyFill="1" applyBorder="1" applyAlignment="1">
      <alignment vertical="center" wrapText="1"/>
    </xf>
    <xf numFmtId="44" fontId="3" fillId="0" borderId="11" xfId="1" applyFont="1" applyFill="1" applyBorder="1" applyAlignment="1">
      <alignment vertical="center" wrapText="1"/>
    </xf>
    <xf numFmtId="44" fontId="5" fillId="0" borderId="7" xfId="1" applyFont="1" applyFill="1" applyBorder="1" applyAlignment="1">
      <alignment horizontal="center" vertical="center" wrapText="1"/>
    </xf>
    <xf numFmtId="44" fontId="5" fillId="0" borderId="11" xfId="1" applyFont="1" applyFill="1" applyBorder="1" applyAlignment="1">
      <alignment horizontal="center" vertical="center" wrapText="1"/>
    </xf>
    <xf numFmtId="44" fontId="5" fillId="0" borderId="7" xfId="1" applyFont="1" applyFill="1" applyBorder="1" applyAlignment="1">
      <alignment vertical="center" wrapText="1"/>
    </xf>
    <xf numFmtId="44" fontId="5" fillId="0" borderId="11" xfId="1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44" fontId="4" fillId="6" borderId="7" xfId="1" applyFont="1" applyFill="1" applyBorder="1" applyAlignment="1"/>
    <xf numFmtId="44" fontId="4" fillId="6" borderId="11" xfId="1" applyFont="1" applyFill="1" applyBorder="1" applyAlignment="1"/>
    <xf numFmtId="44" fontId="3" fillId="0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4" fontId="9" fillId="0" borderId="1" xfId="1" applyFont="1" applyFill="1" applyBorder="1" applyAlignment="1">
      <alignment vertical="center" wrapText="1"/>
    </xf>
    <xf numFmtId="44" fontId="9" fillId="0" borderId="1" xfId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opLeftCell="D1" workbookViewId="0">
      <pane ySplit="2" topLeftCell="A14" activePane="bottomLeft" state="frozen"/>
      <selection pane="bottomLeft" activeCell="H14" sqref="H14"/>
    </sheetView>
  </sheetViews>
  <sheetFormatPr baseColWidth="10" defaultColWidth="8.83203125" defaultRowHeight="15" x14ac:dyDescent="0.2"/>
  <cols>
    <col min="1" max="1" width="9.6640625" customWidth="1"/>
    <col min="2" max="2" width="12" customWidth="1"/>
    <col min="3" max="3" width="11.5" customWidth="1"/>
    <col min="4" max="4" width="11.83203125" customWidth="1"/>
    <col min="6" max="6" width="11.5" customWidth="1"/>
    <col min="8" max="8" width="12" customWidth="1"/>
    <col min="9" max="10" width="10.83203125" customWidth="1"/>
    <col min="11" max="11" width="36.6640625" customWidth="1"/>
    <col min="13" max="13" width="12.83203125" customWidth="1"/>
    <col min="14" max="14" width="11.1640625" customWidth="1"/>
    <col min="16" max="16" width="12.1640625" customWidth="1"/>
    <col min="17" max="17" width="10" customWidth="1"/>
  </cols>
  <sheetData>
    <row r="1" spans="1:18" x14ac:dyDescent="0.2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37"/>
      <c r="M1" s="37"/>
      <c r="N1" s="37"/>
      <c r="O1" s="37"/>
      <c r="P1" s="37"/>
      <c r="Q1" s="37"/>
      <c r="R1" s="37"/>
    </row>
    <row r="2" spans="1:18" x14ac:dyDescent="0.2">
      <c r="A2" s="31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1" t="s">
        <v>9</v>
      </c>
      <c r="J2" s="31" t="s">
        <v>10</v>
      </c>
      <c r="K2" s="31" t="s">
        <v>11</v>
      </c>
      <c r="L2" s="37"/>
      <c r="M2" s="37"/>
      <c r="N2" s="37"/>
      <c r="O2" s="37"/>
      <c r="P2" s="37"/>
      <c r="Q2" s="37"/>
      <c r="R2" s="37"/>
    </row>
    <row r="3" spans="1:18" ht="24.75" customHeight="1" x14ac:dyDescent="0.2">
      <c r="A3" s="32">
        <v>41987</v>
      </c>
      <c r="B3" s="56">
        <v>243.84</v>
      </c>
      <c r="C3" s="56">
        <v>56.56</v>
      </c>
      <c r="D3" s="56">
        <v>56.56</v>
      </c>
      <c r="E3" s="56">
        <v>77.28</v>
      </c>
      <c r="F3" s="56">
        <v>53.44</v>
      </c>
      <c r="G3" s="65">
        <v>0</v>
      </c>
      <c r="H3" s="65">
        <v>0</v>
      </c>
      <c r="I3" s="65">
        <v>0</v>
      </c>
      <c r="J3" s="65">
        <v>0</v>
      </c>
      <c r="K3" s="41"/>
      <c r="L3" s="37"/>
      <c r="M3" s="46" t="s">
        <v>12</v>
      </c>
      <c r="N3" s="46" t="s">
        <v>13</v>
      </c>
      <c r="O3" s="46" t="s">
        <v>14</v>
      </c>
      <c r="P3" s="46" t="s">
        <v>15</v>
      </c>
      <c r="R3" s="37"/>
    </row>
    <row r="4" spans="1:18" x14ac:dyDescent="0.2">
      <c r="A4" s="32">
        <v>42019</v>
      </c>
      <c r="B4" s="56">
        <v>154.16</v>
      </c>
      <c r="C4" s="56">
        <v>38.54</v>
      </c>
      <c r="D4" s="56">
        <v>38.54</v>
      </c>
      <c r="E4" s="56">
        <v>38.54</v>
      </c>
      <c r="F4" s="56">
        <v>38.54</v>
      </c>
      <c r="G4" s="66"/>
      <c r="H4" s="66"/>
      <c r="I4" s="66"/>
      <c r="J4" s="66"/>
      <c r="K4" s="41"/>
      <c r="L4" s="37"/>
      <c r="M4" s="41" t="s">
        <v>3</v>
      </c>
      <c r="N4" s="56">
        <f>SUM(C3:C15)</f>
        <v>482.77999999999992</v>
      </c>
      <c r="O4" s="65">
        <f>200+490.45</f>
        <v>690.45</v>
      </c>
      <c r="P4" s="68">
        <f>N4+N5-O4</f>
        <v>-207.67000000000013</v>
      </c>
      <c r="R4" s="37"/>
    </row>
    <row r="5" spans="1:18" x14ac:dyDescent="0.2">
      <c r="A5" s="32">
        <v>42050</v>
      </c>
      <c r="B5" s="56">
        <v>152.91999999999999</v>
      </c>
      <c r="C5" s="56">
        <v>38.229999999999997</v>
      </c>
      <c r="D5" s="56">
        <v>38.229999999999997</v>
      </c>
      <c r="E5" s="56">
        <v>38.229999999999997</v>
      </c>
      <c r="F5" s="56">
        <v>38.229999999999997</v>
      </c>
      <c r="G5" s="66"/>
      <c r="H5" s="66"/>
      <c r="I5" s="66"/>
      <c r="J5" s="66"/>
      <c r="K5" s="41"/>
      <c r="L5" s="37"/>
      <c r="M5" s="41" t="s">
        <v>10</v>
      </c>
      <c r="N5" s="56">
        <f>SUM(J3:J15)</f>
        <v>0</v>
      </c>
      <c r="O5" s="67"/>
      <c r="P5" s="69"/>
      <c r="R5" s="37"/>
    </row>
    <row r="6" spans="1:18" x14ac:dyDescent="0.2">
      <c r="A6" s="32">
        <v>42078</v>
      </c>
      <c r="B6" s="56">
        <v>154.16</v>
      </c>
      <c r="C6" s="56">
        <v>38.54</v>
      </c>
      <c r="D6" s="56">
        <v>38.54</v>
      </c>
      <c r="E6" s="56">
        <v>38.54</v>
      </c>
      <c r="F6" s="56">
        <v>38.54</v>
      </c>
      <c r="G6" s="66"/>
      <c r="H6" s="66"/>
      <c r="I6" s="66"/>
      <c r="J6" s="66"/>
      <c r="K6" s="41"/>
      <c r="L6" s="37"/>
      <c r="M6" s="41" t="s">
        <v>4</v>
      </c>
      <c r="N6" s="56">
        <f>SUM(D3:D15)</f>
        <v>479.25999999999993</v>
      </c>
      <c r="O6" s="56">
        <f>368+80</f>
        <v>448</v>
      </c>
      <c r="P6" s="61">
        <f t="shared" ref="P6:P11" si="0">N6-O6</f>
        <v>31.259999999999934</v>
      </c>
      <c r="R6" s="37"/>
    </row>
    <row r="7" spans="1:18" x14ac:dyDescent="0.2">
      <c r="A7" s="32">
        <v>42109</v>
      </c>
      <c r="B7" s="56">
        <v>154.76</v>
      </c>
      <c r="C7" s="56">
        <v>38.69</v>
      </c>
      <c r="D7" s="56">
        <v>38.69</v>
      </c>
      <c r="E7" s="56">
        <v>38.69</v>
      </c>
      <c r="F7" s="56">
        <v>38.69</v>
      </c>
      <c r="G7" s="66"/>
      <c r="H7" s="66"/>
      <c r="I7" s="66"/>
      <c r="J7" s="66"/>
      <c r="K7" s="41"/>
      <c r="L7" s="37"/>
      <c r="M7" s="41" t="s">
        <v>6</v>
      </c>
      <c r="N7" s="56">
        <f>SUM(F3:F15)</f>
        <v>491.13999999999993</v>
      </c>
      <c r="O7" s="65">
        <v>1024.28</v>
      </c>
      <c r="P7" s="68">
        <f>N7+N8-O7</f>
        <v>0</v>
      </c>
      <c r="R7" s="37"/>
    </row>
    <row r="8" spans="1:18" x14ac:dyDescent="0.2">
      <c r="A8" s="32">
        <v>42139</v>
      </c>
      <c r="B8" s="56">
        <v>159.19</v>
      </c>
      <c r="C8" s="56">
        <v>39.799999999999997</v>
      </c>
      <c r="D8" s="56">
        <v>39.799999999999997</v>
      </c>
      <c r="E8" s="56">
        <v>39.799999999999997</v>
      </c>
      <c r="F8" s="56">
        <v>39.799999999999997</v>
      </c>
      <c r="G8" s="66"/>
      <c r="H8" s="66"/>
      <c r="I8" s="66"/>
      <c r="J8" s="66"/>
      <c r="K8" s="41"/>
      <c r="L8" s="37"/>
      <c r="M8" s="41" t="s">
        <v>5</v>
      </c>
      <c r="N8" s="56">
        <f>SUM(E3:E14)</f>
        <v>533.14</v>
      </c>
      <c r="O8" s="67"/>
      <c r="P8" s="69"/>
      <c r="R8" s="37"/>
    </row>
    <row r="9" spans="1:18" x14ac:dyDescent="0.2">
      <c r="A9" s="32">
        <v>42170</v>
      </c>
      <c r="B9" s="56">
        <v>154.76</v>
      </c>
      <c r="C9" s="56">
        <v>38.69</v>
      </c>
      <c r="D9" s="56">
        <v>38.69</v>
      </c>
      <c r="E9" s="56">
        <v>38.69</v>
      </c>
      <c r="F9" s="56">
        <v>38.69</v>
      </c>
      <c r="G9" s="66"/>
      <c r="H9" s="66"/>
      <c r="I9" s="66"/>
      <c r="J9" s="66"/>
      <c r="K9" s="41"/>
      <c r="L9" s="37"/>
      <c r="M9" s="41" t="s">
        <v>7</v>
      </c>
      <c r="N9" s="56">
        <f>SUM(G3:G15)</f>
        <v>175.34</v>
      </c>
      <c r="O9" s="65">
        <f>113.35+61.99+51.99</f>
        <v>227.33</v>
      </c>
      <c r="P9" s="68">
        <f>N9+N10-O9</f>
        <v>0</v>
      </c>
      <c r="Q9" s="37"/>
      <c r="R9" s="37"/>
    </row>
    <row r="10" spans="1:18" x14ac:dyDescent="0.2">
      <c r="A10" s="32">
        <v>42200</v>
      </c>
      <c r="B10" s="56">
        <v>163.56</v>
      </c>
      <c r="C10" s="56">
        <v>39.14</v>
      </c>
      <c r="D10" s="56">
        <v>39.14</v>
      </c>
      <c r="E10" s="56">
        <v>46.15</v>
      </c>
      <c r="F10" s="56">
        <v>39.14</v>
      </c>
      <c r="G10" s="66"/>
      <c r="H10" s="66"/>
      <c r="I10" s="66"/>
      <c r="J10" s="66"/>
      <c r="K10" s="41" t="s">
        <v>16</v>
      </c>
      <c r="L10" s="37"/>
      <c r="M10" s="41" t="s">
        <v>9</v>
      </c>
      <c r="N10" s="56">
        <f>SUM(I3:I15)</f>
        <v>51.99</v>
      </c>
      <c r="O10" s="67"/>
      <c r="P10" s="69"/>
      <c r="Q10" s="37"/>
      <c r="R10" s="37"/>
    </row>
    <row r="11" spans="1:18" x14ac:dyDescent="0.2">
      <c r="A11" s="32">
        <v>42231</v>
      </c>
      <c r="B11" s="56">
        <v>159.18</v>
      </c>
      <c r="C11" s="56">
        <v>42.44</v>
      </c>
      <c r="D11" s="56">
        <v>38.92</v>
      </c>
      <c r="E11" s="56">
        <v>38.92</v>
      </c>
      <c r="F11" s="56">
        <v>38.92</v>
      </c>
      <c r="G11" s="67"/>
      <c r="H11" s="66"/>
      <c r="I11" s="66"/>
      <c r="J11" s="66"/>
      <c r="K11" s="41" t="s">
        <v>17</v>
      </c>
      <c r="L11" s="37"/>
      <c r="M11" s="41" t="s">
        <v>8</v>
      </c>
      <c r="N11" s="56">
        <f>SUM(H3:H15)</f>
        <v>106.63</v>
      </c>
      <c r="O11" s="56">
        <v>0</v>
      </c>
      <c r="P11" s="61">
        <f t="shared" si="0"/>
        <v>106.63</v>
      </c>
      <c r="Q11" s="37"/>
      <c r="R11" s="37"/>
    </row>
    <row r="12" spans="1:18" x14ac:dyDescent="0.2">
      <c r="A12" s="32">
        <v>42262</v>
      </c>
      <c r="B12" s="56">
        <v>225.22</v>
      </c>
      <c r="C12" s="56">
        <v>39.590000000000003</v>
      </c>
      <c r="D12" s="56">
        <v>39.590000000000003</v>
      </c>
      <c r="E12" s="56">
        <v>53.67</v>
      </c>
      <c r="F12" s="56">
        <v>39.590000000000003</v>
      </c>
      <c r="G12" s="56">
        <v>52.78</v>
      </c>
      <c r="H12" s="66"/>
      <c r="I12" s="66"/>
      <c r="J12" s="66"/>
      <c r="K12" s="41" t="s">
        <v>18</v>
      </c>
      <c r="L12" s="37"/>
      <c r="M12" s="37"/>
      <c r="N12" s="37"/>
      <c r="O12" s="37"/>
      <c r="P12" s="37"/>
      <c r="Q12" s="37"/>
      <c r="R12" s="37"/>
    </row>
    <row r="13" spans="1:18" x14ac:dyDescent="0.2">
      <c r="A13" s="32">
        <v>42292</v>
      </c>
      <c r="B13" s="56">
        <v>202.83</v>
      </c>
      <c r="C13" s="56">
        <v>35.57</v>
      </c>
      <c r="D13" s="56">
        <v>35.57</v>
      </c>
      <c r="E13" s="56">
        <v>35.57</v>
      </c>
      <c r="F13" s="56">
        <v>35.57</v>
      </c>
      <c r="G13" s="56">
        <v>60.57</v>
      </c>
      <c r="H13" s="67"/>
      <c r="I13" s="67"/>
      <c r="J13" s="66"/>
      <c r="K13" s="41" t="s">
        <v>19</v>
      </c>
      <c r="L13" s="37"/>
      <c r="M13" s="37" t="s">
        <v>20</v>
      </c>
      <c r="N13" s="37"/>
      <c r="O13" s="37"/>
      <c r="P13" s="37"/>
      <c r="Q13" s="37"/>
      <c r="R13" s="37"/>
    </row>
    <row r="14" spans="1:18" ht="105" x14ac:dyDescent="0.2">
      <c r="A14" s="32">
        <v>42323</v>
      </c>
      <c r="B14" s="57">
        <v>395.67</v>
      </c>
      <c r="C14" s="57">
        <v>36.99</v>
      </c>
      <c r="D14" s="57">
        <v>36.99</v>
      </c>
      <c r="E14" s="57">
        <v>49.06</v>
      </c>
      <c r="F14" s="57">
        <f>36.99+15</f>
        <v>51.99</v>
      </c>
      <c r="G14" s="57">
        <f>36.99+25</f>
        <v>61.99</v>
      </c>
      <c r="H14" s="57">
        <f>29.64+15+36.99+25</f>
        <v>106.63</v>
      </c>
      <c r="I14" s="57">
        <f>36.99+15</f>
        <v>51.99</v>
      </c>
      <c r="J14" s="67"/>
      <c r="K14" s="41" t="s">
        <v>21</v>
      </c>
      <c r="L14" s="37"/>
      <c r="M14" s="37"/>
      <c r="N14" s="37"/>
      <c r="O14" s="37"/>
      <c r="P14" s="37"/>
      <c r="Q14" s="37"/>
      <c r="R14" s="37"/>
    </row>
    <row r="15" spans="1:18" ht="34.5" customHeight="1" x14ac:dyDescent="0.2">
      <c r="A15" s="32">
        <v>42353</v>
      </c>
      <c r="B15" s="34">
        <v>0</v>
      </c>
      <c r="C15" s="34">
        <f>B15/6</f>
        <v>0</v>
      </c>
      <c r="D15" s="34">
        <f>B15/6</f>
        <v>0</v>
      </c>
      <c r="E15" s="34">
        <v>0</v>
      </c>
      <c r="F15" s="34">
        <f>B15/6</f>
        <v>0</v>
      </c>
      <c r="G15" s="34">
        <f>B15/6</f>
        <v>0</v>
      </c>
      <c r="H15" s="34">
        <v>0</v>
      </c>
      <c r="I15" s="34">
        <f>B15/6</f>
        <v>0</v>
      </c>
      <c r="J15" s="34">
        <f>B15/6</f>
        <v>0</v>
      </c>
      <c r="K15" s="41"/>
      <c r="L15" s="37"/>
      <c r="M15" s="71" t="s">
        <v>22</v>
      </c>
      <c r="N15" s="72"/>
      <c r="O15" s="72"/>
      <c r="P15" s="72"/>
      <c r="Q15" s="72"/>
      <c r="R15" s="73"/>
    </row>
    <row r="16" spans="1:18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1" t="s">
        <v>23</v>
      </c>
      <c r="N16" s="51" t="s">
        <v>12</v>
      </c>
      <c r="O16" s="74" t="s">
        <v>24</v>
      </c>
      <c r="P16" s="74"/>
      <c r="Q16" s="51" t="s">
        <v>25</v>
      </c>
      <c r="R16" s="51" t="s">
        <v>26</v>
      </c>
    </row>
    <row r="17" spans="1:18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2">
        <v>1</v>
      </c>
      <c r="N17" s="53" t="s">
        <v>4</v>
      </c>
      <c r="O17" s="64">
        <v>42053</v>
      </c>
      <c r="P17" s="64"/>
      <c r="Q17" s="63">
        <v>108</v>
      </c>
      <c r="R17" s="52" t="s">
        <v>27</v>
      </c>
    </row>
    <row r="18" spans="1:18" x14ac:dyDescent="0.2">
      <c r="A18" s="37"/>
      <c r="B18" s="37"/>
      <c r="C18" s="37"/>
      <c r="D18" s="37"/>
      <c r="E18" s="37"/>
      <c r="F18" s="37"/>
      <c r="G18" s="37"/>
      <c r="I18" s="62"/>
      <c r="J18" s="62"/>
      <c r="K18" s="37"/>
      <c r="L18" s="37"/>
      <c r="M18" s="52">
        <v>2</v>
      </c>
      <c r="N18" s="53" t="s">
        <v>3</v>
      </c>
      <c r="O18" s="64">
        <v>42086</v>
      </c>
      <c r="P18" s="64"/>
      <c r="Q18" s="63">
        <v>200</v>
      </c>
      <c r="R18" s="52" t="s">
        <v>27</v>
      </c>
    </row>
    <row r="19" spans="1:18" x14ac:dyDescent="0.2">
      <c r="A19" s="37"/>
      <c r="B19" s="37"/>
      <c r="C19" s="37"/>
      <c r="D19" s="37"/>
      <c r="E19" s="37"/>
      <c r="F19" s="37"/>
      <c r="G19" s="37"/>
      <c r="I19" s="38"/>
      <c r="J19" s="38"/>
      <c r="K19" s="37"/>
      <c r="L19" s="37"/>
      <c r="M19" s="52">
        <v>3</v>
      </c>
      <c r="N19" s="53" t="s">
        <v>4</v>
      </c>
      <c r="O19" s="64">
        <v>42111</v>
      </c>
      <c r="P19" s="64"/>
      <c r="Q19" s="63">
        <v>100</v>
      </c>
      <c r="R19" s="52" t="s">
        <v>27</v>
      </c>
    </row>
    <row r="20" spans="1:18" x14ac:dyDescent="0.2">
      <c r="A20" s="37"/>
      <c r="B20" s="37"/>
      <c r="C20" s="37"/>
      <c r="D20" s="37"/>
      <c r="E20" s="58"/>
      <c r="F20" s="58"/>
      <c r="G20" s="37"/>
      <c r="H20" s="37"/>
      <c r="K20" s="37"/>
      <c r="L20" s="37"/>
      <c r="M20" s="52">
        <v>4</v>
      </c>
      <c r="N20" s="53" t="s">
        <v>4</v>
      </c>
      <c r="O20" s="64">
        <v>42214</v>
      </c>
      <c r="P20" s="64"/>
      <c r="Q20" s="63">
        <v>160</v>
      </c>
      <c r="R20" s="52" t="s">
        <v>27</v>
      </c>
    </row>
    <row r="21" spans="1:18" x14ac:dyDescent="0.2">
      <c r="B21" s="37"/>
      <c r="C21" s="37"/>
      <c r="E21" s="58"/>
      <c r="F21" s="59"/>
      <c r="M21" s="52">
        <v>5</v>
      </c>
      <c r="N21" s="53" t="s">
        <v>7</v>
      </c>
      <c r="O21" s="64">
        <v>42325</v>
      </c>
      <c r="P21" s="64"/>
      <c r="Q21" s="63">
        <v>113.35</v>
      </c>
      <c r="R21" s="52" t="s">
        <v>28</v>
      </c>
    </row>
    <row r="22" spans="1:18" x14ac:dyDescent="0.2">
      <c r="B22" s="37"/>
      <c r="C22" s="37"/>
      <c r="E22" s="60"/>
      <c r="H22" s="60"/>
      <c r="M22" s="52">
        <v>6</v>
      </c>
      <c r="N22" s="53" t="s">
        <v>4</v>
      </c>
      <c r="O22" s="64">
        <v>42325</v>
      </c>
      <c r="P22" s="64"/>
      <c r="Q22" s="63">
        <v>80</v>
      </c>
      <c r="R22" s="52" t="s">
        <v>29</v>
      </c>
    </row>
    <row r="23" spans="1:18" x14ac:dyDescent="0.2">
      <c r="B23" s="37"/>
      <c r="C23" s="37"/>
      <c r="G23" s="37"/>
      <c r="M23" s="52">
        <v>7</v>
      </c>
      <c r="N23" s="53" t="s">
        <v>3</v>
      </c>
      <c r="O23" s="64">
        <v>42341</v>
      </c>
      <c r="P23" s="64"/>
      <c r="Q23" s="63">
        <v>490.45</v>
      </c>
      <c r="R23" s="52" t="s">
        <v>27</v>
      </c>
    </row>
    <row r="24" spans="1:18" x14ac:dyDescent="0.2">
      <c r="G24" s="37"/>
      <c r="M24" s="52">
        <v>8</v>
      </c>
      <c r="N24" s="53" t="s">
        <v>7</v>
      </c>
      <c r="O24" s="64">
        <v>42364</v>
      </c>
      <c r="P24" s="64"/>
      <c r="Q24" s="63">
        <v>113.98</v>
      </c>
      <c r="R24" s="52" t="s">
        <v>28</v>
      </c>
    </row>
    <row r="25" spans="1:18" x14ac:dyDescent="0.2">
      <c r="G25" s="37"/>
      <c r="M25" s="52"/>
      <c r="N25" s="53"/>
      <c r="O25" s="64"/>
      <c r="P25" s="64"/>
      <c r="Q25" s="63"/>
      <c r="R25" s="52"/>
    </row>
    <row r="26" spans="1:18" x14ac:dyDescent="0.2">
      <c r="G26" s="37"/>
    </row>
    <row r="27" spans="1:18" x14ac:dyDescent="0.2">
      <c r="G27" s="37"/>
    </row>
    <row r="28" spans="1:18" x14ac:dyDescent="0.2">
      <c r="G28" s="37"/>
    </row>
    <row r="29" spans="1:18" x14ac:dyDescent="0.2">
      <c r="G29" s="37"/>
    </row>
    <row r="30" spans="1:18" x14ac:dyDescent="0.2">
      <c r="G30" s="37"/>
    </row>
  </sheetData>
  <mergeCells count="22">
    <mergeCell ref="O23:P23"/>
    <mergeCell ref="A1:K1"/>
    <mergeCell ref="M15:R15"/>
    <mergeCell ref="O16:P16"/>
    <mergeCell ref="O17:P17"/>
    <mergeCell ref="O18:P18"/>
    <mergeCell ref="O24:P24"/>
    <mergeCell ref="O25:P25"/>
    <mergeCell ref="G3:G11"/>
    <mergeCell ref="H3:H13"/>
    <mergeCell ref="I3:I13"/>
    <mergeCell ref="J3:J14"/>
    <mergeCell ref="O4:O5"/>
    <mergeCell ref="O7:O8"/>
    <mergeCell ref="O9:O10"/>
    <mergeCell ref="P4:P5"/>
    <mergeCell ref="P7:P8"/>
    <mergeCell ref="P9:P10"/>
    <mergeCell ref="O19:P19"/>
    <mergeCell ref="O20:P20"/>
    <mergeCell ref="O21:P21"/>
    <mergeCell ref="O22:P22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zoomScale="115" zoomScaleNormal="115" workbookViewId="0">
      <pane ySplit="2" topLeftCell="A3" activePane="bottomLeft" state="frozen"/>
      <selection pane="bottomLeft" activeCell="O4" sqref="O4:O5"/>
    </sheetView>
  </sheetViews>
  <sheetFormatPr baseColWidth="10" defaultColWidth="8.83203125" defaultRowHeight="15" x14ac:dyDescent="0.2"/>
  <cols>
    <col min="1" max="1" width="9.6640625" customWidth="1"/>
    <col min="2" max="2" width="12" customWidth="1"/>
    <col min="3" max="3" width="11.5" customWidth="1"/>
    <col min="4" max="4" width="11.83203125" customWidth="1"/>
    <col min="5" max="6" width="11.5" customWidth="1"/>
    <col min="7" max="7" width="12" customWidth="1"/>
    <col min="8" max="8" width="10.83203125" customWidth="1"/>
    <col min="9" max="9" width="13.1640625" customWidth="1"/>
    <col min="10" max="10" width="27.83203125" customWidth="1"/>
    <col min="11" max="11" width="12.83203125" customWidth="1"/>
    <col min="12" max="12" width="15" customWidth="1"/>
    <col min="13" max="13" width="9.33203125" customWidth="1"/>
    <col min="14" max="14" width="12.1640625" customWidth="1"/>
    <col min="15" max="15" width="10.1640625" customWidth="1"/>
    <col min="16" max="16" width="9.6640625" customWidth="1"/>
  </cols>
  <sheetData>
    <row r="1" spans="1:17" ht="15" customHeight="1" x14ac:dyDescent="0.2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37"/>
      <c r="L1" s="37"/>
      <c r="M1" s="37"/>
      <c r="N1" s="37"/>
      <c r="O1" s="37"/>
      <c r="P1" s="37"/>
    </row>
    <row r="2" spans="1:17" x14ac:dyDescent="0.2">
      <c r="A2" s="31" t="s">
        <v>1</v>
      </c>
      <c r="B2" s="31" t="s">
        <v>2</v>
      </c>
      <c r="C2" s="31" t="s">
        <v>3</v>
      </c>
      <c r="D2" s="31" t="s">
        <v>10</v>
      </c>
      <c r="E2" s="31" t="s">
        <v>4</v>
      </c>
      <c r="F2" s="31" t="s">
        <v>6</v>
      </c>
      <c r="G2" s="31" t="s">
        <v>7</v>
      </c>
      <c r="H2" s="31" t="s">
        <v>9</v>
      </c>
      <c r="I2" s="31" t="s">
        <v>8</v>
      </c>
      <c r="J2" s="31" t="s">
        <v>11</v>
      </c>
      <c r="K2" s="37"/>
      <c r="L2" s="37"/>
      <c r="M2" s="37"/>
      <c r="N2" s="37"/>
      <c r="O2" s="37"/>
      <c r="P2" s="37"/>
      <c r="Q2" s="37"/>
    </row>
    <row r="3" spans="1:17" ht="45" x14ac:dyDescent="0.2">
      <c r="A3" s="32">
        <v>42384</v>
      </c>
      <c r="B3" s="33">
        <v>45.96</v>
      </c>
      <c r="C3" s="34">
        <f>B3/6</f>
        <v>7.66</v>
      </c>
      <c r="D3" s="34">
        <f>B3/6</f>
        <v>7.66</v>
      </c>
      <c r="E3" s="34">
        <f>B3/6</f>
        <v>7.66</v>
      </c>
      <c r="F3" s="34">
        <f>B3/6</f>
        <v>7.66</v>
      </c>
      <c r="G3" s="34">
        <f>B3/6</f>
        <v>7.66</v>
      </c>
      <c r="H3" s="34">
        <f>B3/6</f>
        <v>7.66</v>
      </c>
      <c r="I3" s="34">
        <v>0</v>
      </c>
      <c r="J3" s="41" t="s">
        <v>30</v>
      </c>
      <c r="K3" s="37"/>
      <c r="L3" s="46" t="s">
        <v>12</v>
      </c>
      <c r="M3" s="46" t="s">
        <v>13</v>
      </c>
      <c r="N3" s="46" t="s">
        <v>14</v>
      </c>
      <c r="O3" s="46" t="s">
        <v>15</v>
      </c>
      <c r="P3" s="46" t="s">
        <v>31</v>
      </c>
      <c r="Q3" s="37"/>
    </row>
    <row r="4" spans="1:17" ht="30" x14ac:dyDescent="0.2">
      <c r="A4" s="32">
        <v>42415</v>
      </c>
      <c r="B4" s="35">
        <v>263.16000000000003</v>
      </c>
      <c r="C4" s="35">
        <v>31.88</v>
      </c>
      <c r="D4" s="36">
        <f>31.88</f>
        <v>31.88</v>
      </c>
      <c r="E4" s="35">
        <v>31.88</v>
      </c>
      <c r="F4" s="35">
        <f>31.88+15</f>
        <v>46.879999999999995</v>
      </c>
      <c r="G4" s="36">
        <f>31.88+25</f>
        <v>56.879999999999995</v>
      </c>
      <c r="H4" s="36">
        <f>31.88</f>
        <v>31.88</v>
      </c>
      <c r="I4" s="36">
        <f>31.88</f>
        <v>31.88</v>
      </c>
      <c r="J4" s="41" t="s">
        <v>32</v>
      </c>
      <c r="K4" s="37"/>
      <c r="L4" s="41" t="s">
        <v>3</v>
      </c>
      <c r="M4" s="34">
        <f>SUM(C3:C14)</f>
        <v>375.303</v>
      </c>
      <c r="N4" s="75">
        <f>207.67+O28+O31+O32</f>
        <v>807.67</v>
      </c>
      <c r="O4" s="77">
        <f>SUM(M4:M5)-N4+P4</f>
        <v>144.58299999999997</v>
      </c>
      <c r="P4" s="86">
        <v>0</v>
      </c>
      <c r="Q4" s="37"/>
    </row>
    <row r="5" spans="1:17" ht="30" x14ac:dyDescent="0.2">
      <c r="A5" s="32">
        <v>42444</v>
      </c>
      <c r="B5" s="33">
        <v>242.97</v>
      </c>
      <c r="C5" s="33">
        <v>33.83</v>
      </c>
      <c r="D5" s="34">
        <v>0</v>
      </c>
      <c r="E5" s="33">
        <v>33.83</v>
      </c>
      <c r="F5" s="33">
        <f>33.83+15</f>
        <v>48.83</v>
      </c>
      <c r="G5" s="34">
        <f>33.83+25</f>
        <v>58.83</v>
      </c>
      <c r="H5" s="34">
        <v>33.83</v>
      </c>
      <c r="I5" s="34">
        <v>33.83</v>
      </c>
      <c r="J5" s="41" t="s">
        <v>32</v>
      </c>
      <c r="K5" s="37"/>
      <c r="L5" s="41" t="s">
        <v>10</v>
      </c>
      <c r="M5" s="34">
        <f>SUM(D3:D14)</f>
        <v>576.94999999999993</v>
      </c>
      <c r="N5" s="76"/>
      <c r="O5" s="78"/>
      <c r="P5" s="87"/>
      <c r="Q5" s="37"/>
    </row>
    <row r="6" spans="1:17" ht="30" x14ac:dyDescent="0.2">
      <c r="A6" s="32">
        <v>42475</v>
      </c>
      <c r="B6" s="33">
        <v>242.97</v>
      </c>
      <c r="C6" s="33">
        <v>33.83</v>
      </c>
      <c r="D6" s="34">
        <v>0</v>
      </c>
      <c r="E6" s="33">
        <v>33.83</v>
      </c>
      <c r="F6" s="33">
        <f>33.83+15</f>
        <v>48.83</v>
      </c>
      <c r="G6" s="34">
        <f>33.83+25</f>
        <v>58.83</v>
      </c>
      <c r="H6" s="34">
        <v>33.83</v>
      </c>
      <c r="I6" s="34">
        <v>33.83</v>
      </c>
      <c r="J6" s="41" t="s">
        <v>32</v>
      </c>
      <c r="K6" s="37"/>
      <c r="L6" s="41" t="s">
        <v>4</v>
      </c>
      <c r="M6" s="34">
        <f>SUM(E3:E14)</f>
        <v>360.29999999999995</v>
      </c>
      <c r="N6" s="34">
        <f>SUM(O16,O19,O22,O26,O33,O35,O38)</f>
        <v>452</v>
      </c>
      <c r="O6" s="47">
        <f>M6-N6+P6</f>
        <v>-60.44000000000004</v>
      </c>
      <c r="P6" s="48">
        <v>31.26</v>
      </c>
      <c r="Q6" s="37"/>
    </row>
    <row r="7" spans="1:17" ht="45" x14ac:dyDescent="0.2">
      <c r="A7" s="32">
        <v>42505</v>
      </c>
      <c r="B7" s="33">
        <v>225.68</v>
      </c>
      <c r="C7" s="33">
        <f>28.45+15</f>
        <v>43.45</v>
      </c>
      <c r="D7" s="34">
        <v>0</v>
      </c>
      <c r="E7" s="33">
        <v>28.45</v>
      </c>
      <c r="F7" s="33">
        <f>28.45+15</f>
        <v>43.45</v>
      </c>
      <c r="G7" s="34">
        <f>28.45+25</f>
        <v>53.45</v>
      </c>
      <c r="H7" s="34">
        <f>28.45</f>
        <v>28.45</v>
      </c>
      <c r="I7" s="34">
        <v>28.45</v>
      </c>
      <c r="J7" s="41" t="s">
        <v>33</v>
      </c>
      <c r="K7" s="37"/>
      <c r="L7" s="41" t="s">
        <v>6</v>
      </c>
      <c r="M7" s="34">
        <f>SUM(F3:F14)</f>
        <v>499.30999999999995</v>
      </c>
      <c r="N7" s="34">
        <v>499.31</v>
      </c>
      <c r="O7" s="47">
        <f>M7-N7</f>
        <v>0</v>
      </c>
      <c r="P7" s="48">
        <v>0</v>
      </c>
      <c r="Q7" s="37"/>
    </row>
    <row r="8" spans="1:17" ht="45" x14ac:dyDescent="0.2">
      <c r="A8" s="32">
        <v>42536</v>
      </c>
      <c r="B8" s="33">
        <v>309.58</v>
      </c>
      <c r="C8" s="33">
        <v>34.262999999999998</v>
      </c>
      <c r="D8" s="34">
        <v>0</v>
      </c>
      <c r="E8" s="33">
        <v>34.26</v>
      </c>
      <c r="F8" s="33">
        <f>34.26+79</f>
        <v>113.25999999999999</v>
      </c>
      <c r="G8" s="34">
        <f>34.26+25</f>
        <v>59.26</v>
      </c>
      <c r="H8" s="34">
        <v>34.26</v>
      </c>
      <c r="I8" s="34">
        <v>34.26</v>
      </c>
      <c r="J8" s="41" t="s">
        <v>34</v>
      </c>
      <c r="K8" s="37"/>
      <c r="L8" s="41" t="s">
        <v>7</v>
      </c>
      <c r="M8" s="34">
        <f>SUM(G3:G14)</f>
        <v>620.59999999999991</v>
      </c>
      <c r="N8" s="75">
        <f>SUM(O17,O20:O21,O23:O24,O25,O27,O30,O34,O36,O37)</f>
        <v>980.89999999999975</v>
      </c>
      <c r="O8" s="79">
        <f>M8+M9-N8</f>
        <v>0</v>
      </c>
      <c r="P8" s="88">
        <v>0</v>
      </c>
      <c r="Q8" s="37"/>
    </row>
    <row r="9" spans="1:17" ht="45" x14ac:dyDescent="0.2">
      <c r="A9" s="32">
        <v>42566</v>
      </c>
      <c r="B9" s="33">
        <v>291.07</v>
      </c>
      <c r="C9" s="33">
        <v>33.049999999999997</v>
      </c>
      <c r="D9" s="34">
        <v>0</v>
      </c>
      <c r="E9" s="33">
        <v>33.049999999999997</v>
      </c>
      <c r="F9" s="33">
        <f>33.05+67.77</f>
        <v>100.82</v>
      </c>
      <c r="G9" s="34">
        <f>33.05+25</f>
        <v>58.05</v>
      </c>
      <c r="H9" s="34">
        <v>33.049999999999997</v>
      </c>
      <c r="I9" s="34">
        <v>33.049999999999997</v>
      </c>
      <c r="J9" s="41" t="s">
        <v>35</v>
      </c>
      <c r="K9" s="37"/>
      <c r="L9" s="41" t="s">
        <v>9</v>
      </c>
      <c r="M9" s="34">
        <f>SUM(H3:H14)</f>
        <v>360.29999999999995</v>
      </c>
      <c r="N9" s="76"/>
      <c r="O9" s="80"/>
      <c r="P9" s="89"/>
      <c r="Q9" s="37"/>
    </row>
    <row r="10" spans="1:17" ht="120" x14ac:dyDescent="0.2">
      <c r="A10" s="32">
        <v>42597</v>
      </c>
      <c r="B10" s="33">
        <f>248.34+67.76</f>
        <v>316.10000000000002</v>
      </c>
      <c r="C10" s="33">
        <v>33.200000000000003</v>
      </c>
      <c r="D10" s="34">
        <v>88.36</v>
      </c>
      <c r="E10" s="33">
        <v>33.200000000000003</v>
      </c>
      <c r="F10" s="33">
        <f>33.2-67.76</f>
        <v>-34.56</v>
      </c>
      <c r="G10" s="34">
        <f>33.2+25</f>
        <v>58.2</v>
      </c>
      <c r="H10" s="34">
        <v>33.200000000000003</v>
      </c>
      <c r="I10" s="34">
        <f>33.2+3.52</f>
        <v>36.720000000000006</v>
      </c>
      <c r="J10" s="41" t="s">
        <v>36</v>
      </c>
      <c r="K10" s="37"/>
      <c r="L10" s="41" t="s">
        <v>8</v>
      </c>
      <c r="M10" s="34">
        <f>SUM(I3:I14)</f>
        <v>353.47</v>
      </c>
      <c r="N10" s="34">
        <f>138.51+O29</f>
        <v>338.51</v>
      </c>
      <c r="O10" s="49">
        <f>M10-N10+P10</f>
        <v>121.59000000000003</v>
      </c>
      <c r="P10" s="50">
        <v>106.63</v>
      </c>
      <c r="Q10" s="37"/>
    </row>
    <row r="11" spans="1:17" ht="45" x14ac:dyDescent="0.2">
      <c r="A11" s="32">
        <v>42628</v>
      </c>
      <c r="B11" s="33">
        <v>746.8</v>
      </c>
      <c r="C11" s="33">
        <v>31.06</v>
      </c>
      <c r="D11" s="34">
        <v>282.14</v>
      </c>
      <c r="E11" s="33">
        <v>31.06</v>
      </c>
      <c r="F11" s="33">
        <v>31.06</v>
      </c>
      <c r="G11" s="33">
        <v>59.51</v>
      </c>
      <c r="H11" s="34">
        <v>31.06</v>
      </c>
      <c r="I11" s="34">
        <v>30.44</v>
      </c>
      <c r="J11" s="41" t="s">
        <v>37</v>
      </c>
      <c r="K11" s="37"/>
      <c r="L11" s="37"/>
      <c r="M11" s="37"/>
      <c r="N11" s="37"/>
      <c r="O11" s="37"/>
      <c r="P11" s="37"/>
      <c r="Q11" s="37"/>
    </row>
    <row r="12" spans="1:17" ht="45" x14ac:dyDescent="0.2">
      <c r="A12" s="32">
        <v>42658</v>
      </c>
      <c r="B12" s="33">
        <v>281.33</v>
      </c>
      <c r="C12" s="33">
        <v>31.06</v>
      </c>
      <c r="D12" s="34">
        <v>67.11</v>
      </c>
      <c r="E12" s="33">
        <v>31.06</v>
      </c>
      <c r="F12" s="33">
        <v>31.06</v>
      </c>
      <c r="G12" s="33">
        <v>59.51</v>
      </c>
      <c r="H12" s="34">
        <v>31.06</v>
      </c>
      <c r="I12" s="34">
        <v>30.44</v>
      </c>
      <c r="J12" s="41" t="s">
        <v>38</v>
      </c>
      <c r="K12" s="37"/>
      <c r="L12" s="37" t="s">
        <v>20</v>
      </c>
      <c r="M12" s="37"/>
      <c r="N12" s="38"/>
      <c r="O12" s="37"/>
      <c r="P12" s="37"/>
      <c r="Q12" s="37"/>
    </row>
    <row r="13" spans="1:17" ht="46.5" customHeight="1" x14ac:dyDescent="0.2">
      <c r="A13" s="32">
        <v>42689</v>
      </c>
      <c r="B13" s="34">
        <v>263.77</v>
      </c>
      <c r="C13" s="34">
        <v>31.01</v>
      </c>
      <c r="D13" s="34">
        <v>49.9</v>
      </c>
      <c r="E13" s="34">
        <v>31.01</v>
      </c>
      <c r="F13" s="34">
        <v>31.01</v>
      </c>
      <c r="G13" s="34">
        <v>59.41</v>
      </c>
      <c r="H13" s="34">
        <v>31.01</v>
      </c>
      <c r="I13" s="34">
        <v>30.29</v>
      </c>
      <c r="J13" s="41" t="s">
        <v>38</v>
      </c>
      <c r="K13" s="37"/>
      <c r="L13" s="37"/>
      <c r="M13" s="37"/>
      <c r="N13" s="37"/>
      <c r="O13" s="37"/>
      <c r="P13" s="37"/>
      <c r="Q13" s="37"/>
    </row>
    <row r="14" spans="1:17" ht="37" customHeight="1" x14ac:dyDescent="0.2">
      <c r="A14" s="32">
        <v>42719</v>
      </c>
      <c r="B14" s="34">
        <v>235.26</v>
      </c>
      <c r="C14" s="34">
        <v>31.01</v>
      </c>
      <c r="D14" s="34">
        <v>49.9</v>
      </c>
      <c r="E14" s="34">
        <v>31.01</v>
      </c>
      <c r="F14" s="34">
        <v>31.01</v>
      </c>
      <c r="G14" s="34">
        <v>31.01</v>
      </c>
      <c r="H14" s="34">
        <v>31.01</v>
      </c>
      <c r="I14" s="34">
        <v>30.28</v>
      </c>
      <c r="J14" s="41" t="s">
        <v>39</v>
      </c>
      <c r="K14" s="74" t="s">
        <v>22</v>
      </c>
      <c r="L14" s="74"/>
      <c r="M14" s="74"/>
      <c r="N14" s="74"/>
      <c r="O14" s="74"/>
      <c r="P14" s="74"/>
    </row>
    <row r="15" spans="1:17" ht="15" customHeight="1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51" t="s">
        <v>23</v>
      </c>
      <c r="L15" s="51" t="s">
        <v>12</v>
      </c>
      <c r="M15" s="74" t="s">
        <v>24</v>
      </c>
      <c r="N15" s="74"/>
      <c r="O15" s="51" t="s">
        <v>25</v>
      </c>
      <c r="P15" s="51" t="s">
        <v>26</v>
      </c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52">
        <v>1</v>
      </c>
      <c r="L16" s="53" t="s">
        <v>4</v>
      </c>
      <c r="M16" s="64">
        <v>42401</v>
      </c>
      <c r="N16" s="64"/>
      <c r="O16" s="54">
        <v>100</v>
      </c>
      <c r="P16" s="52" t="s">
        <v>27</v>
      </c>
    </row>
    <row r="17" spans="1:16" ht="15" customHeight="1" x14ac:dyDescent="0.2">
      <c r="A17" s="37"/>
      <c r="B17" s="37"/>
      <c r="C17" s="38"/>
      <c r="D17" s="83" t="s">
        <v>40</v>
      </c>
      <c r="E17" s="84"/>
      <c r="F17" s="84"/>
      <c r="G17" s="84"/>
      <c r="H17" s="84"/>
      <c r="I17" s="85"/>
      <c r="J17" s="37"/>
      <c r="K17" s="52">
        <v>2</v>
      </c>
      <c r="L17" s="53" t="s">
        <v>7</v>
      </c>
      <c r="M17" s="64">
        <v>42402</v>
      </c>
      <c r="N17" s="64"/>
      <c r="O17" s="54">
        <v>104.08</v>
      </c>
      <c r="P17" s="52" t="s">
        <v>28</v>
      </c>
    </row>
    <row r="18" spans="1:16" ht="30" x14ac:dyDescent="0.2">
      <c r="A18" s="37"/>
      <c r="B18" s="37"/>
      <c r="C18" s="37"/>
      <c r="D18" s="39" t="s">
        <v>41</v>
      </c>
      <c r="E18" s="40" t="s">
        <v>42</v>
      </c>
      <c r="F18" s="39" t="s">
        <v>43</v>
      </c>
      <c r="G18" s="39" t="s">
        <v>44</v>
      </c>
      <c r="H18" s="40" t="s">
        <v>13</v>
      </c>
      <c r="I18" s="40" t="s">
        <v>45</v>
      </c>
      <c r="J18" s="37"/>
      <c r="K18" s="52">
        <v>3</v>
      </c>
      <c r="L18" s="53" t="s">
        <v>8</v>
      </c>
      <c r="M18" s="64">
        <v>42402</v>
      </c>
      <c r="N18" s="64"/>
      <c r="O18" s="54">
        <v>138.5</v>
      </c>
      <c r="P18" s="52" t="s">
        <v>46</v>
      </c>
    </row>
    <row r="19" spans="1:16" x14ac:dyDescent="0.2">
      <c r="A19" s="37"/>
      <c r="B19" s="37"/>
      <c r="C19" s="37"/>
      <c r="D19" s="41" t="s">
        <v>3</v>
      </c>
      <c r="E19" s="34">
        <f t="shared" ref="E19:E25" si="0">75/7</f>
        <v>10.714285714285714</v>
      </c>
      <c r="F19" s="34">
        <v>15</v>
      </c>
      <c r="G19" s="34">
        <v>5.3</v>
      </c>
      <c r="H19" s="42">
        <f t="shared" ref="H19:H25" si="1">SUM(E19:G19)</f>
        <v>31.014285714285716</v>
      </c>
      <c r="I19" s="42"/>
      <c r="J19" s="37"/>
      <c r="K19" s="52">
        <v>4</v>
      </c>
      <c r="L19" s="53" t="s">
        <v>4</v>
      </c>
      <c r="M19" s="64">
        <v>42433</v>
      </c>
      <c r="N19" s="64"/>
      <c r="O19" s="54">
        <v>20</v>
      </c>
      <c r="P19" s="52" t="s">
        <v>29</v>
      </c>
    </row>
    <row r="20" spans="1:16" x14ac:dyDescent="0.2">
      <c r="B20" s="37"/>
      <c r="C20" s="37"/>
      <c r="D20" s="43" t="s">
        <v>10</v>
      </c>
      <c r="E20" s="34">
        <f t="shared" si="0"/>
        <v>10.714285714285714</v>
      </c>
      <c r="F20" s="42">
        <v>30</v>
      </c>
      <c r="G20" s="42">
        <v>9.19</v>
      </c>
      <c r="H20" s="42">
        <f t="shared" si="1"/>
        <v>49.904285714285713</v>
      </c>
      <c r="I20" s="42"/>
      <c r="K20" s="52">
        <v>5</v>
      </c>
      <c r="L20" s="53" t="s">
        <v>7</v>
      </c>
      <c r="M20" s="64">
        <v>42433</v>
      </c>
      <c r="N20" s="64"/>
      <c r="O20" s="54">
        <v>92.66</v>
      </c>
      <c r="P20" s="52" t="s">
        <v>28</v>
      </c>
    </row>
    <row r="21" spans="1:16" x14ac:dyDescent="0.2">
      <c r="B21" s="37"/>
      <c r="C21" s="37"/>
      <c r="D21" s="43" t="s">
        <v>4</v>
      </c>
      <c r="E21" s="34">
        <f t="shared" si="0"/>
        <v>10.714285714285714</v>
      </c>
      <c r="F21" s="42">
        <v>15</v>
      </c>
      <c r="G21" s="42">
        <v>5.3</v>
      </c>
      <c r="H21" s="42">
        <f t="shared" si="1"/>
        <v>31.014285714285716</v>
      </c>
      <c r="I21" s="42"/>
      <c r="K21" s="52">
        <v>6</v>
      </c>
      <c r="L21" s="53" t="s">
        <v>7</v>
      </c>
      <c r="M21" s="64">
        <v>42465</v>
      </c>
      <c r="N21" s="64"/>
      <c r="O21" s="54">
        <v>92.66</v>
      </c>
      <c r="P21" s="52" t="s">
        <v>28</v>
      </c>
    </row>
    <row r="22" spans="1:16" x14ac:dyDescent="0.2">
      <c r="B22" s="37"/>
      <c r="C22" s="37"/>
      <c r="D22" s="41" t="s">
        <v>6</v>
      </c>
      <c r="E22" s="34">
        <f t="shared" si="0"/>
        <v>10.714285714285714</v>
      </c>
      <c r="F22" s="42">
        <v>15</v>
      </c>
      <c r="G22" s="42">
        <v>5.3</v>
      </c>
      <c r="H22" s="42">
        <f t="shared" si="1"/>
        <v>31.014285714285716</v>
      </c>
      <c r="I22" s="42"/>
      <c r="K22" s="52">
        <v>7</v>
      </c>
      <c r="L22" s="53" t="s">
        <v>4</v>
      </c>
      <c r="M22" s="64">
        <v>42493</v>
      </c>
      <c r="N22" s="64"/>
      <c r="O22" s="54">
        <v>100</v>
      </c>
      <c r="P22" s="52" t="s">
        <v>29</v>
      </c>
    </row>
    <row r="23" spans="1:16" x14ac:dyDescent="0.2">
      <c r="D23" s="41" t="s">
        <v>47</v>
      </c>
      <c r="E23" s="34">
        <f t="shared" si="0"/>
        <v>10.714285714285714</v>
      </c>
      <c r="F23" s="42">
        <v>15</v>
      </c>
      <c r="G23" s="42">
        <v>4.57</v>
      </c>
      <c r="H23" s="42">
        <f t="shared" si="1"/>
        <v>30.284285714285716</v>
      </c>
      <c r="I23" s="42"/>
      <c r="K23" s="52">
        <v>8</v>
      </c>
      <c r="L23" s="53" t="s">
        <v>7</v>
      </c>
      <c r="M23" s="64">
        <v>42494</v>
      </c>
      <c r="N23" s="64"/>
      <c r="O23" s="54">
        <v>81.900000000000006</v>
      </c>
      <c r="P23" s="52" t="s">
        <v>28</v>
      </c>
    </row>
    <row r="24" spans="1:16" x14ac:dyDescent="0.2">
      <c r="D24" s="41" t="s">
        <v>7</v>
      </c>
      <c r="E24" s="34">
        <f t="shared" si="0"/>
        <v>10.714285714285714</v>
      </c>
      <c r="F24" s="34">
        <v>15</v>
      </c>
      <c r="G24" s="42">
        <v>5.3</v>
      </c>
      <c r="H24" s="42">
        <f t="shared" si="1"/>
        <v>31.014285714285716</v>
      </c>
      <c r="I24" s="42"/>
      <c r="K24" s="52">
        <v>9</v>
      </c>
      <c r="L24" s="53" t="s">
        <v>7</v>
      </c>
      <c r="M24" s="64">
        <v>42531</v>
      </c>
      <c r="N24" s="64"/>
      <c r="O24" s="54">
        <v>93.52</v>
      </c>
      <c r="P24" s="52" t="s">
        <v>28</v>
      </c>
    </row>
    <row r="25" spans="1:16" x14ac:dyDescent="0.2">
      <c r="D25" s="41" t="s">
        <v>48</v>
      </c>
      <c r="E25" s="34">
        <f t="shared" si="0"/>
        <v>10.714285714285714</v>
      </c>
      <c r="F25" s="34">
        <v>15</v>
      </c>
      <c r="G25" s="42">
        <v>5.3</v>
      </c>
      <c r="H25" s="42">
        <f t="shared" si="1"/>
        <v>31.014285714285716</v>
      </c>
      <c r="I25" s="42"/>
      <c r="K25" s="52">
        <v>10</v>
      </c>
      <c r="L25" s="53" t="s">
        <v>7</v>
      </c>
      <c r="M25" s="64">
        <v>42558</v>
      </c>
      <c r="N25" s="64"/>
      <c r="O25" s="54">
        <v>91.1</v>
      </c>
      <c r="P25" s="52" t="s">
        <v>28</v>
      </c>
    </row>
    <row r="26" spans="1:16" x14ac:dyDescent="0.2">
      <c r="F26" s="37"/>
      <c r="G26" s="44" t="s">
        <v>13</v>
      </c>
      <c r="H26" s="45">
        <f>SUM(H19:I25)</f>
        <v>235.26</v>
      </c>
      <c r="K26" s="52">
        <v>10</v>
      </c>
      <c r="L26" s="53" t="s">
        <v>4</v>
      </c>
      <c r="M26" s="64">
        <v>42590</v>
      </c>
      <c r="N26" s="64"/>
      <c r="O26" s="54">
        <v>100</v>
      </c>
      <c r="P26" s="52" t="s">
        <v>27</v>
      </c>
    </row>
    <row r="27" spans="1:16" x14ac:dyDescent="0.2">
      <c r="F27" s="37"/>
      <c r="K27" s="52">
        <v>11</v>
      </c>
      <c r="L27" s="53" t="s">
        <v>7</v>
      </c>
      <c r="M27" s="64">
        <v>42598</v>
      </c>
      <c r="N27" s="64"/>
      <c r="O27" s="54">
        <v>91.4</v>
      </c>
      <c r="P27" s="52" t="s">
        <v>28</v>
      </c>
    </row>
    <row r="28" spans="1:16" x14ac:dyDescent="0.2">
      <c r="F28" s="37"/>
      <c r="K28" s="52">
        <v>11</v>
      </c>
      <c r="L28" s="53" t="s">
        <v>3</v>
      </c>
      <c r="M28" s="64">
        <v>42599</v>
      </c>
      <c r="N28" s="64"/>
      <c r="O28" s="54">
        <v>200</v>
      </c>
      <c r="P28" s="52" t="s">
        <v>29</v>
      </c>
    </row>
    <row r="29" spans="1:16" x14ac:dyDescent="0.2">
      <c r="K29" s="52">
        <v>12</v>
      </c>
      <c r="L29" s="53" t="s">
        <v>8</v>
      </c>
      <c r="M29" s="64">
        <v>42600</v>
      </c>
      <c r="N29" s="64"/>
      <c r="O29" s="54">
        <v>200</v>
      </c>
      <c r="P29" s="52" t="s">
        <v>46</v>
      </c>
    </row>
    <row r="30" spans="1:16" x14ac:dyDescent="0.2">
      <c r="K30" s="52">
        <v>13</v>
      </c>
      <c r="L30" s="53" t="s">
        <v>7</v>
      </c>
      <c r="M30" s="64">
        <v>42615</v>
      </c>
      <c r="N30" s="64"/>
      <c r="O30" s="54">
        <v>90.57</v>
      </c>
      <c r="P30" s="52" t="s">
        <v>28</v>
      </c>
    </row>
    <row r="31" spans="1:16" x14ac:dyDescent="0.2">
      <c r="K31" s="52">
        <v>14</v>
      </c>
      <c r="L31" s="53" t="s">
        <v>3</v>
      </c>
      <c r="M31" s="64">
        <v>42648</v>
      </c>
      <c r="N31" s="64"/>
      <c r="O31" s="54">
        <v>200</v>
      </c>
      <c r="P31" s="52" t="s">
        <v>29</v>
      </c>
    </row>
    <row r="32" spans="1:16" x14ac:dyDescent="0.2">
      <c r="K32" s="52">
        <v>15</v>
      </c>
      <c r="L32" s="53" t="s">
        <v>3</v>
      </c>
      <c r="M32" s="64">
        <v>42656</v>
      </c>
      <c r="N32" s="64"/>
      <c r="O32" s="54">
        <v>200</v>
      </c>
      <c r="P32" s="52" t="s">
        <v>29</v>
      </c>
    </row>
    <row r="33" spans="11:16" x14ac:dyDescent="0.2">
      <c r="K33" s="52">
        <v>16</v>
      </c>
      <c r="L33" s="53" t="s">
        <v>4</v>
      </c>
      <c r="M33" s="64">
        <v>42656</v>
      </c>
      <c r="N33" s="64"/>
      <c r="O33" s="54">
        <v>22</v>
      </c>
      <c r="P33" s="52" t="s">
        <v>29</v>
      </c>
    </row>
    <row r="34" spans="11:16" x14ac:dyDescent="0.2">
      <c r="K34" s="52">
        <v>17</v>
      </c>
      <c r="L34" s="53" t="s">
        <v>7</v>
      </c>
      <c r="M34" s="64">
        <v>42657</v>
      </c>
      <c r="N34" s="64"/>
      <c r="O34" s="54">
        <v>90.57</v>
      </c>
      <c r="P34" s="52" t="s">
        <v>28</v>
      </c>
    </row>
    <row r="35" spans="11:16" x14ac:dyDescent="0.2">
      <c r="K35" s="52">
        <v>18</v>
      </c>
      <c r="L35" s="53" t="s">
        <v>4</v>
      </c>
      <c r="M35" s="64">
        <v>42651</v>
      </c>
      <c r="N35" s="64"/>
      <c r="O35" s="54">
        <v>10</v>
      </c>
      <c r="P35" s="52" t="s">
        <v>29</v>
      </c>
    </row>
    <row r="36" spans="11:16" x14ac:dyDescent="0.2">
      <c r="K36" s="55">
        <v>19</v>
      </c>
      <c r="L36" s="53" t="s">
        <v>7</v>
      </c>
      <c r="M36" s="64">
        <v>42687</v>
      </c>
      <c r="N36" s="64"/>
      <c r="O36" s="54">
        <v>90.42</v>
      </c>
      <c r="P36" s="52" t="s">
        <v>28</v>
      </c>
    </row>
    <row r="37" spans="11:16" x14ac:dyDescent="0.2">
      <c r="K37" s="55">
        <v>20</v>
      </c>
      <c r="L37" s="53" t="s">
        <v>7</v>
      </c>
      <c r="M37" s="64">
        <v>42717</v>
      </c>
      <c r="N37" s="64"/>
      <c r="O37" s="54">
        <v>62.02</v>
      </c>
      <c r="P37" s="52" t="s">
        <v>28</v>
      </c>
    </row>
    <row r="38" spans="11:16" x14ac:dyDescent="0.2">
      <c r="K38" s="55">
        <v>21</v>
      </c>
      <c r="L38" s="53" t="s">
        <v>4</v>
      </c>
      <c r="M38" s="64">
        <v>42726</v>
      </c>
      <c r="N38" s="64"/>
      <c r="O38" s="54">
        <v>100</v>
      </c>
      <c r="P38" s="52" t="s">
        <v>27</v>
      </c>
    </row>
  </sheetData>
  <mergeCells count="33">
    <mergeCell ref="A1:J1"/>
    <mergeCell ref="K14:P14"/>
    <mergeCell ref="M15:N15"/>
    <mergeCell ref="M16:N16"/>
    <mergeCell ref="D17:I17"/>
    <mergeCell ref="M17:N17"/>
    <mergeCell ref="P4:P5"/>
    <mergeCell ref="P8:P9"/>
    <mergeCell ref="M24:N24"/>
    <mergeCell ref="M25:N25"/>
    <mergeCell ref="M26:N26"/>
    <mergeCell ref="M27:N27"/>
    <mergeCell ref="M18:N18"/>
    <mergeCell ref="M19:N19"/>
    <mergeCell ref="M20:N20"/>
    <mergeCell ref="M21:N21"/>
    <mergeCell ref="M22:N22"/>
    <mergeCell ref="M38:N38"/>
    <mergeCell ref="N4:N5"/>
    <mergeCell ref="N8:N9"/>
    <mergeCell ref="O4:O5"/>
    <mergeCell ref="O8:O9"/>
    <mergeCell ref="M33:N33"/>
    <mergeCell ref="M34:N34"/>
    <mergeCell ref="M35:N35"/>
    <mergeCell ref="M36:N36"/>
    <mergeCell ref="M37:N37"/>
    <mergeCell ref="M28:N28"/>
    <mergeCell ref="M29:N29"/>
    <mergeCell ref="M30:N30"/>
    <mergeCell ref="M31:N31"/>
    <mergeCell ref="M32:N32"/>
    <mergeCell ref="M23:N23"/>
  </mergeCell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8"/>
  <sheetViews>
    <sheetView zoomScale="117" zoomScaleNormal="117" workbookViewId="0">
      <selection activeCell="B28" sqref="B28"/>
    </sheetView>
  </sheetViews>
  <sheetFormatPr baseColWidth="10" defaultColWidth="8.83203125" defaultRowHeight="15" x14ac:dyDescent="0.2"/>
  <cols>
    <col min="1" max="1" width="9.6640625" style="1" customWidth="1"/>
    <col min="2" max="2" width="12" style="1" customWidth="1"/>
    <col min="3" max="3" width="11.5" style="1" customWidth="1"/>
    <col min="4" max="4" width="11.83203125" style="1" customWidth="1"/>
    <col min="5" max="6" width="11.5" style="1" customWidth="1"/>
    <col min="7" max="7" width="12" style="1" customWidth="1"/>
    <col min="8" max="8" width="10.83203125" style="1" customWidth="1"/>
    <col min="9" max="9" width="13.1640625" style="1" customWidth="1"/>
    <col min="10" max="10" width="27.83203125" style="1" customWidth="1"/>
    <col min="11" max="11" width="12.83203125" style="1" customWidth="1"/>
    <col min="12" max="12" width="15" style="1" customWidth="1"/>
    <col min="13" max="13" width="12.1640625" style="1" customWidth="1"/>
    <col min="14" max="14" width="13.1640625" style="1" customWidth="1"/>
    <col min="15" max="15" width="12.6640625" style="1" customWidth="1"/>
    <col min="16" max="16" width="19.5" style="1" customWidth="1"/>
    <col min="17" max="16384" width="8.83203125" style="1"/>
  </cols>
  <sheetData>
    <row r="1" spans="1:17" ht="15" customHeight="1" x14ac:dyDescent="0.2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6"/>
      <c r="L1" s="6"/>
      <c r="M1" s="6"/>
      <c r="N1" s="6"/>
      <c r="O1" s="6"/>
      <c r="P1" s="6"/>
    </row>
    <row r="2" spans="1:17" x14ac:dyDescent="0.2">
      <c r="A2" s="2" t="s">
        <v>1</v>
      </c>
      <c r="B2" s="2" t="s">
        <v>2</v>
      </c>
      <c r="C2" s="2" t="s">
        <v>3</v>
      </c>
      <c r="D2" s="2" t="s">
        <v>10</v>
      </c>
      <c r="E2" s="2" t="s">
        <v>4</v>
      </c>
      <c r="F2" s="2" t="s">
        <v>6</v>
      </c>
      <c r="G2" s="2" t="s">
        <v>7</v>
      </c>
      <c r="H2" s="2" t="s">
        <v>9</v>
      </c>
      <c r="I2" s="2" t="s">
        <v>8</v>
      </c>
      <c r="J2" s="2" t="s">
        <v>11</v>
      </c>
      <c r="K2" s="6"/>
      <c r="L2" s="6"/>
      <c r="M2" s="6"/>
      <c r="N2" s="6"/>
      <c r="O2" s="6"/>
      <c r="P2" s="6"/>
      <c r="Q2" s="6"/>
    </row>
    <row r="3" spans="1:17" ht="30" x14ac:dyDescent="0.2">
      <c r="A3" s="3">
        <v>42750</v>
      </c>
      <c r="B3" s="5">
        <v>279.58</v>
      </c>
      <c r="C3" s="4">
        <v>31.01</v>
      </c>
      <c r="D3" s="4">
        <v>49.9</v>
      </c>
      <c r="E3" s="4">
        <v>31.01</v>
      </c>
      <c r="F3" s="4">
        <v>75.33</v>
      </c>
      <c r="G3" s="4">
        <v>31.01</v>
      </c>
      <c r="H3" s="4">
        <v>31.01</v>
      </c>
      <c r="I3" s="4">
        <v>30.28</v>
      </c>
      <c r="J3" s="11" t="s">
        <v>49</v>
      </c>
      <c r="K3" s="6"/>
      <c r="L3" s="17" t="s">
        <v>12</v>
      </c>
      <c r="M3" s="17" t="s">
        <v>13</v>
      </c>
      <c r="N3" s="17" t="s">
        <v>14</v>
      </c>
      <c r="O3" s="17" t="s">
        <v>15</v>
      </c>
      <c r="P3" s="17" t="s">
        <v>50</v>
      </c>
      <c r="Q3" s="6"/>
    </row>
    <row r="4" spans="1:17" x14ac:dyDescent="0.2">
      <c r="A4" s="3">
        <v>42781</v>
      </c>
      <c r="B4" s="27">
        <v>234.97</v>
      </c>
      <c r="C4" s="27">
        <v>30.99</v>
      </c>
      <c r="D4" s="28">
        <v>49.77</v>
      </c>
      <c r="E4" s="27">
        <v>30.99</v>
      </c>
      <c r="F4" s="27">
        <v>30.99</v>
      </c>
      <c r="G4" s="28">
        <v>30.99</v>
      </c>
      <c r="H4" s="28">
        <v>30.99</v>
      </c>
      <c r="I4" s="28">
        <v>30.22</v>
      </c>
      <c r="J4" s="11" t="s">
        <v>51</v>
      </c>
      <c r="K4" s="6"/>
      <c r="L4" s="11" t="s">
        <v>4</v>
      </c>
      <c r="M4" s="4">
        <f>SUM(E3:E14)</f>
        <v>411.04999999999995</v>
      </c>
      <c r="N4" s="4">
        <f>SUM(O19,O26)</f>
        <v>250</v>
      </c>
      <c r="O4" s="25">
        <f>M4-N4+P4</f>
        <v>100.60999999999996</v>
      </c>
      <c r="P4" s="24">
        <v>-60.44</v>
      </c>
      <c r="Q4" s="6"/>
    </row>
    <row r="5" spans="1:17" x14ac:dyDescent="0.2">
      <c r="A5" s="3">
        <v>42809</v>
      </c>
      <c r="B5" s="5">
        <v>179.07</v>
      </c>
      <c r="C5" s="5">
        <v>14.11</v>
      </c>
      <c r="D5" s="4">
        <v>10.71</v>
      </c>
      <c r="E5" s="5">
        <v>30.99</v>
      </c>
      <c r="F5" s="5">
        <v>30.99</v>
      </c>
      <c r="G5" s="4">
        <v>30.99</v>
      </c>
      <c r="H5" s="4">
        <v>30.99</v>
      </c>
      <c r="I5" s="4">
        <v>30.26</v>
      </c>
      <c r="J5" s="11"/>
      <c r="K5" s="6"/>
      <c r="L5" s="11" t="s">
        <v>6</v>
      </c>
      <c r="M5" s="4">
        <f>SUM(F3:F14)</f>
        <v>455.48</v>
      </c>
      <c r="N5" s="4">
        <v>455.48</v>
      </c>
      <c r="O5" s="22">
        <f>M5-N5</f>
        <v>0</v>
      </c>
      <c r="P5" s="24">
        <v>0</v>
      </c>
      <c r="Q5" s="6"/>
    </row>
    <row r="6" spans="1:17" x14ac:dyDescent="0.2">
      <c r="A6" s="3">
        <v>42840</v>
      </c>
      <c r="B6" s="5">
        <v>176.13</v>
      </c>
      <c r="C6" s="5">
        <v>0</v>
      </c>
      <c r="D6" s="4">
        <v>0</v>
      </c>
      <c r="E6" s="5">
        <v>35.28</v>
      </c>
      <c r="F6" s="5">
        <v>35.28</v>
      </c>
      <c r="G6" s="4">
        <v>35.28</v>
      </c>
      <c r="H6" s="4">
        <v>35.28</v>
      </c>
      <c r="I6" s="4">
        <v>35.01</v>
      </c>
      <c r="J6" s="11"/>
      <c r="K6" s="6"/>
      <c r="L6" s="11" t="s">
        <v>7</v>
      </c>
      <c r="M6" s="4">
        <f>SUM(G3:G14)</f>
        <v>411.04999999999995</v>
      </c>
      <c r="N6" s="91">
        <f>SUM(O16,O18,O20:O25)</f>
        <v>918.45999999999992</v>
      </c>
      <c r="O6" s="95">
        <f>M6+M7-N6</f>
        <v>-96.360000000000014</v>
      </c>
      <c r="P6" s="29">
        <v>0</v>
      </c>
      <c r="Q6" s="6"/>
    </row>
    <row r="7" spans="1:17" x14ac:dyDescent="0.2">
      <c r="A7" s="3">
        <v>42870</v>
      </c>
      <c r="B7" s="5">
        <v>176.33</v>
      </c>
      <c r="C7" s="5">
        <v>0</v>
      </c>
      <c r="D7" s="4">
        <v>0</v>
      </c>
      <c r="E7" s="5">
        <v>35.32</v>
      </c>
      <c r="F7" s="5">
        <v>35.32</v>
      </c>
      <c r="G7" s="5">
        <v>35.32</v>
      </c>
      <c r="H7" s="5">
        <v>35.32</v>
      </c>
      <c r="I7" s="4">
        <v>35.049999999999997</v>
      </c>
      <c r="J7" s="11"/>
      <c r="K7" s="6"/>
      <c r="L7" s="11" t="s">
        <v>9</v>
      </c>
      <c r="M7" s="4">
        <f>SUM(H3:H14)</f>
        <v>411.04999999999995</v>
      </c>
      <c r="N7" s="92"/>
      <c r="O7" s="96"/>
      <c r="P7" s="30"/>
      <c r="Q7" s="6"/>
    </row>
    <row r="8" spans="1:17" x14ac:dyDescent="0.2">
      <c r="A8" s="3">
        <v>42901</v>
      </c>
      <c r="B8" s="5">
        <v>176.33</v>
      </c>
      <c r="C8" s="5">
        <v>0</v>
      </c>
      <c r="D8" s="4">
        <v>0</v>
      </c>
      <c r="E8" s="5">
        <v>35.32</v>
      </c>
      <c r="F8" s="5">
        <v>35.32</v>
      </c>
      <c r="G8" s="5">
        <v>35.32</v>
      </c>
      <c r="H8" s="5">
        <v>35.32</v>
      </c>
      <c r="I8" s="4">
        <v>35.049999999999997</v>
      </c>
      <c r="J8" s="11"/>
      <c r="K8" s="6"/>
      <c r="L8" s="11" t="s">
        <v>8</v>
      </c>
      <c r="M8" s="4">
        <f>SUM(I3:I14)</f>
        <v>406.40999999999997</v>
      </c>
      <c r="N8" s="4">
        <v>0</v>
      </c>
      <c r="O8" s="25">
        <f>M8-N8+P8</f>
        <v>528</v>
      </c>
      <c r="P8" s="26">
        <v>121.59</v>
      </c>
      <c r="Q8" s="6"/>
    </row>
    <row r="9" spans="1:17" x14ac:dyDescent="0.2">
      <c r="A9" s="3">
        <v>42931</v>
      </c>
      <c r="B9" s="5">
        <v>176.33</v>
      </c>
      <c r="C9" s="5">
        <v>0</v>
      </c>
      <c r="D9" s="4">
        <v>0</v>
      </c>
      <c r="E9" s="5">
        <v>35.32</v>
      </c>
      <c r="F9" s="5">
        <v>35.32</v>
      </c>
      <c r="G9" s="5">
        <v>35.32</v>
      </c>
      <c r="H9" s="5">
        <v>35.32</v>
      </c>
      <c r="I9" s="4">
        <v>35.049999999999997</v>
      </c>
      <c r="J9" s="11"/>
      <c r="K9" s="6"/>
      <c r="L9" s="11" t="s">
        <v>3</v>
      </c>
      <c r="M9" s="4">
        <f>SUM(C3:C14)</f>
        <v>76.11</v>
      </c>
      <c r="N9" s="93">
        <f>SUM(O17)</f>
        <v>200</v>
      </c>
      <c r="O9" s="97">
        <f>SUM(M9:M10)-N9+P9</f>
        <v>131.07000000000002</v>
      </c>
      <c r="P9" s="105">
        <v>144.58000000000001</v>
      </c>
      <c r="Q9" s="6"/>
    </row>
    <row r="10" spans="1:17" x14ac:dyDescent="0.2">
      <c r="A10" s="3">
        <v>42962</v>
      </c>
      <c r="B10" s="5">
        <v>176.23</v>
      </c>
      <c r="C10" s="5">
        <v>0</v>
      </c>
      <c r="D10" s="4">
        <v>0</v>
      </c>
      <c r="E10" s="5">
        <v>35.299999999999997</v>
      </c>
      <c r="F10" s="5">
        <v>35.299999999999997</v>
      </c>
      <c r="G10" s="4">
        <v>35.299999999999997</v>
      </c>
      <c r="H10" s="4">
        <v>35.299999999999997</v>
      </c>
      <c r="I10" s="4">
        <v>35.03</v>
      </c>
      <c r="J10" s="11"/>
      <c r="K10" s="6"/>
      <c r="L10" s="11" t="s">
        <v>10</v>
      </c>
      <c r="M10" s="4">
        <f>SUM(D3:D14)</f>
        <v>110.38</v>
      </c>
      <c r="N10" s="94"/>
      <c r="O10" s="98"/>
      <c r="P10" s="106"/>
      <c r="Q10" s="6"/>
    </row>
    <row r="11" spans="1:17" x14ac:dyDescent="0.2">
      <c r="A11" s="3">
        <v>42993</v>
      </c>
      <c r="B11" s="5">
        <v>176.23</v>
      </c>
      <c r="C11" s="5">
        <v>0</v>
      </c>
      <c r="D11" s="4">
        <v>0</v>
      </c>
      <c r="E11" s="5">
        <v>35.299999999999997</v>
      </c>
      <c r="F11" s="5">
        <v>35.299999999999997</v>
      </c>
      <c r="G11" s="4">
        <v>35.299999999999997</v>
      </c>
      <c r="H11" s="4">
        <v>35.299999999999997</v>
      </c>
      <c r="I11" s="4">
        <v>35.03</v>
      </c>
      <c r="J11" s="11"/>
      <c r="K11" s="6"/>
      <c r="Q11" s="6"/>
    </row>
    <row r="12" spans="1:17" x14ac:dyDescent="0.2">
      <c r="A12" s="3">
        <v>43023</v>
      </c>
      <c r="B12" s="5">
        <v>176.23</v>
      </c>
      <c r="C12" s="5">
        <v>0</v>
      </c>
      <c r="D12" s="4">
        <v>0</v>
      </c>
      <c r="E12" s="5">
        <v>35.299999999999997</v>
      </c>
      <c r="F12" s="5">
        <v>35.299999999999997</v>
      </c>
      <c r="G12" s="4">
        <v>35.299999999999997</v>
      </c>
      <c r="H12" s="4">
        <v>35.299999999999997</v>
      </c>
      <c r="I12" s="4">
        <v>35.03</v>
      </c>
      <c r="J12" s="11"/>
      <c r="K12" s="6"/>
      <c r="Q12" s="6"/>
    </row>
    <row r="13" spans="1:17" ht="46.5" customHeight="1" x14ac:dyDescent="0.2">
      <c r="A13" s="3">
        <v>43054</v>
      </c>
      <c r="B13" s="5">
        <v>177.1</v>
      </c>
      <c r="C13" s="5">
        <v>0</v>
      </c>
      <c r="D13" s="4">
        <v>0</v>
      </c>
      <c r="E13" s="5">
        <v>35.46</v>
      </c>
      <c r="F13" s="5">
        <v>35.57</v>
      </c>
      <c r="G13" s="5">
        <v>35.46</v>
      </c>
      <c r="H13" s="4">
        <v>35.46</v>
      </c>
      <c r="I13" s="4">
        <v>35.15</v>
      </c>
      <c r="J13" s="11"/>
      <c r="K13" s="6"/>
      <c r="L13" s="6"/>
      <c r="M13" s="6"/>
      <c r="N13" s="6"/>
      <c r="O13" s="6"/>
      <c r="P13" s="6"/>
      <c r="Q13" s="12"/>
    </row>
    <row r="14" spans="1:17" ht="37" customHeight="1" x14ac:dyDescent="0.2">
      <c r="A14" s="3">
        <v>43084</v>
      </c>
      <c r="B14" s="5">
        <v>177.09</v>
      </c>
      <c r="C14" s="5">
        <v>0</v>
      </c>
      <c r="D14" s="4">
        <v>0</v>
      </c>
      <c r="E14" s="5">
        <v>35.46</v>
      </c>
      <c r="F14" s="5">
        <v>35.46</v>
      </c>
      <c r="G14" s="5">
        <v>35.46</v>
      </c>
      <c r="H14" s="4">
        <v>35.46</v>
      </c>
      <c r="I14" s="4">
        <v>35.25</v>
      </c>
      <c r="J14" s="11"/>
      <c r="K14" s="101" t="s">
        <v>22</v>
      </c>
      <c r="L14" s="101"/>
      <c r="M14" s="101"/>
      <c r="N14" s="101"/>
      <c r="O14" s="101"/>
      <c r="P14" s="101"/>
    </row>
    <row r="15" spans="1:17" ht="1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19" t="s">
        <v>23</v>
      </c>
      <c r="L15" s="19" t="s">
        <v>12</v>
      </c>
      <c r="M15" s="101" t="s">
        <v>24</v>
      </c>
      <c r="N15" s="101"/>
      <c r="O15" s="19" t="s">
        <v>25</v>
      </c>
      <c r="P15" s="19" t="s">
        <v>26</v>
      </c>
    </row>
    <row r="16" spans="1:17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20">
        <v>1</v>
      </c>
      <c r="L16" s="21" t="s">
        <v>7</v>
      </c>
      <c r="M16" s="90">
        <v>42750</v>
      </c>
      <c r="N16" s="90"/>
      <c r="O16" s="18">
        <v>62.02</v>
      </c>
      <c r="P16" s="20" t="s">
        <v>28</v>
      </c>
    </row>
    <row r="17" spans="1:16" ht="15" customHeight="1" x14ac:dyDescent="0.2">
      <c r="A17" s="6"/>
      <c r="B17" s="6"/>
      <c r="C17" s="12"/>
      <c r="D17" s="102" t="s">
        <v>52</v>
      </c>
      <c r="E17" s="103"/>
      <c r="F17" s="103"/>
      <c r="G17" s="103"/>
      <c r="H17" s="103"/>
      <c r="I17" s="104"/>
      <c r="J17" s="6"/>
      <c r="K17" s="20">
        <v>2</v>
      </c>
      <c r="L17" s="21" t="s">
        <v>3</v>
      </c>
      <c r="M17" s="90">
        <v>42751</v>
      </c>
      <c r="N17" s="90"/>
      <c r="O17" s="18">
        <v>200</v>
      </c>
      <c r="P17" s="20" t="s">
        <v>29</v>
      </c>
    </row>
    <row r="18" spans="1:16" ht="30" x14ac:dyDescent="0.2">
      <c r="A18" s="6"/>
      <c r="B18" s="6"/>
      <c r="C18" s="6"/>
      <c r="D18" s="7" t="s">
        <v>41</v>
      </c>
      <c r="E18" s="8" t="s">
        <v>42</v>
      </c>
      <c r="F18" s="7" t="s">
        <v>43</v>
      </c>
      <c r="G18" s="7" t="s">
        <v>44</v>
      </c>
      <c r="H18" s="8" t="s">
        <v>13</v>
      </c>
      <c r="I18" s="8" t="s">
        <v>45</v>
      </c>
      <c r="J18" s="6"/>
      <c r="K18" s="20">
        <v>3</v>
      </c>
      <c r="L18" s="21" t="s">
        <v>7</v>
      </c>
      <c r="M18" s="90">
        <v>42768</v>
      </c>
      <c r="N18" s="90"/>
      <c r="O18" s="18">
        <v>61.98</v>
      </c>
      <c r="P18" s="20" t="s">
        <v>28</v>
      </c>
    </row>
    <row r="19" spans="1:16" x14ac:dyDescent="0.2">
      <c r="A19" s="6"/>
      <c r="B19" s="6"/>
      <c r="C19" s="6"/>
      <c r="D19" s="9" t="s">
        <v>4</v>
      </c>
      <c r="E19" s="4">
        <v>15</v>
      </c>
      <c r="F19" s="10">
        <v>15</v>
      </c>
      <c r="G19" s="10">
        <v>5.46</v>
      </c>
      <c r="H19" s="10"/>
      <c r="I19" s="10"/>
      <c r="J19" s="6"/>
      <c r="K19" s="20">
        <v>4</v>
      </c>
      <c r="L19" s="21" t="s">
        <v>4</v>
      </c>
      <c r="M19" s="90">
        <v>42793</v>
      </c>
      <c r="N19" s="90"/>
      <c r="O19" s="18">
        <v>150</v>
      </c>
      <c r="P19" s="20" t="s">
        <v>29</v>
      </c>
    </row>
    <row r="20" spans="1:16" x14ac:dyDescent="0.2">
      <c r="B20" s="6"/>
      <c r="C20" s="6"/>
      <c r="D20" s="11" t="s">
        <v>6</v>
      </c>
      <c r="E20" s="4">
        <v>15</v>
      </c>
      <c r="F20" s="10">
        <v>15</v>
      </c>
      <c r="G20" s="10">
        <v>5.46</v>
      </c>
      <c r="H20" s="10">
        <f t="shared" ref="H20:H23" si="0">SUM(E20:G20)</f>
        <v>35.46</v>
      </c>
      <c r="I20" s="10"/>
      <c r="K20" s="20">
        <v>5</v>
      </c>
      <c r="L20" s="21" t="s">
        <v>7</v>
      </c>
      <c r="M20" s="90">
        <v>42797</v>
      </c>
      <c r="N20" s="90"/>
      <c r="O20" s="18">
        <v>61.98</v>
      </c>
      <c r="P20" s="20" t="s">
        <v>28</v>
      </c>
    </row>
    <row r="21" spans="1:16" x14ac:dyDescent="0.2">
      <c r="B21" s="6"/>
      <c r="C21" s="6"/>
      <c r="D21" s="11" t="s">
        <v>47</v>
      </c>
      <c r="E21" s="4">
        <v>15</v>
      </c>
      <c r="F21" s="10">
        <v>15</v>
      </c>
      <c r="G21" s="10">
        <v>5.29</v>
      </c>
      <c r="H21" s="10">
        <f t="shared" si="0"/>
        <v>35.29</v>
      </c>
      <c r="I21" s="10"/>
      <c r="K21" s="20">
        <v>6</v>
      </c>
      <c r="L21" s="21" t="s">
        <v>7</v>
      </c>
      <c r="M21" s="90">
        <v>42858</v>
      </c>
      <c r="N21" s="90"/>
      <c r="O21" s="18">
        <v>141.19999999999999</v>
      </c>
      <c r="P21" s="20" t="s">
        <v>28</v>
      </c>
    </row>
    <row r="22" spans="1:16" x14ac:dyDescent="0.2">
      <c r="B22" s="6"/>
      <c r="C22" s="6"/>
      <c r="D22" s="11" t="s">
        <v>7</v>
      </c>
      <c r="E22" s="4">
        <v>15</v>
      </c>
      <c r="F22" s="10">
        <v>15</v>
      </c>
      <c r="G22" s="10">
        <v>5.51</v>
      </c>
      <c r="H22" s="10">
        <f t="shared" si="0"/>
        <v>35.51</v>
      </c>
      <c r="I22" s="10"/>
      <c r="K22" s="20">
        <v>7</v>
      </c>
      <c r="L22" s="21" t="s">
        <v>7</v>
      </c>
      <c r="M22" s="90">
        <v>42931</v>
      </c>
      <c r="N22" s="90"/>
      <c r="O22" s="18">
        <v>141.28</v>
      </c>
      <c r="P22" s="20" t="s">
        <v>28</v>
      </c>
    </row>
    <row r="23" spans="1:16" x14ac:dyDescent="0.2">
      <c r="D23" s="11" t="s">
        <v>48</v>
      </c>
      <c r="E23" s="4">
        <v>15</v>
      </c>
      <c r="F23" s="10">
        <v>15</v>
      </c>
      <c r="G23" s="10">
        <v>5.51</v>
      </c>
      <c r="H23" s="10">
        <f t="shared" si="0"/>
        <v>35.51</v>
      </c>
      <c r="I23" s="10"/>
      <c r="K23" s="20">
        <v>8</v>
      </c>
      <c r="L23" s="21" t="s">
        <v>7</v>
      </c>
      <c r="M23" s="90">
        <v>43001</v>
      </c>
      <c r="N23" s="90"/>
      <c r="O23" s="18">
        <v>150</v>
      </c>
      <c r="P23" s="20" t="s">
        <v>28</v>
      </c>
    </row>
    <row r="24" spans="1:16" x14ac:dyDescent="0.2">
      <c r="F24" s="6"/>
      <c r="G24" s="13" t="s">
        <v>13</v>
      </c>
      <c r="H24" s="14">
        <f>SUM(H19:I23)</f>
        <v>141.76999999999998</v>
      </c>
      <c r="K24" s="20">
        <v>9</v>
      </c>
      <c r="L24" s="21" t="s">
        <v>7</v>
      </c>
      <c r="M24" s="90">
        <v>43053</v>
      </c>
      <c r="N24" s="90"/>
      <c r="O24" s="18">
        <v>150</v>
      </c>
      <c r="P24" s="20" t="s">
        <v>28</v>
      </c>
    </row>
    <row r="25" spans="1:16" x14ac:dyDescent="0.2">
      <c r="F25" s="6"/>
      <c r="K25" s="20">
        <v>10</v>
      </c>
      <c r="L25" s="21" t="s">
        <v>7</v>
      </c>
      <c r="M25" s="90">
        <v>43128</v>
      </c>
      <c r="N25" s="90"/>
      <c r="O25" s="18">
        <v>150</v>
      </c>
      <c r="P25" s="20" t="s">
        <v>28</v>
      </c>
    </row>
    <row r="26" spans="1:16" x14ac:dyDescent="0.2">
      <c r="F26" s="6"/>
      <c r="K26" s="20">
        <v>10</v>
      </c>
      <c r="L26" s="21" t="s">
        <v>4</v>
      </c>
      <c r="M26" s="90"/>
      <c r="N26" s="90"/>
      <c r="O26" s="18">
        <v>100</v>
      </c>
      <c r="P26" s="20" t="s">
        <v>29</v>
      </c>
    </row>
    <row r="27" spans="1:16" x14ac:dyDescent="0.2">
      <c r="K27" s="20">
        <v>11</v>
      </c>
      <c r="L27" s="21"/>
      <c r="M27" s="90"/>
      <c r="N27" s="90"/>
      <c r="O27" s="18"/>
      <c r="P27" s="20"/>
    </row>
    <row r="28" spans="1:16" x14ac:dyDescent="0.2">
      <c r="K28" s="20">
        <v>11</v>
      </c>
      <c r="L28" s="21"/>
      <c r="M28" s="90"/>
      <c r="N28" s="90"/>
      <c r="O28" s="18"/>
      <c r="P28" s="20"/>
    </row>
    <row r="29" spans="1:16" x14ac:dyDescent="0.2">
      <c r="K29" s="20">
        <v>12</v>
      </c>
      <c r="L29" s="21"/>
      <c r="M29" s="90"/>
      <c r="N29" s="90"/>
      <c r="O29" s="18"/>
      <c r="P29" s="20"/>
    </row>
    <row r="30" spans="1:16" x14ac:dyDescent="0.2">
      <c r="K30" s="20">
        <v>13</v>
      </c>
      <c r="L30" s="21"/>
      <c r="M30" s="90"/>
      <c r="N30" s="90"/>
      <c r="O30" s="18"/>
      <c r="P30" s="20"/>
    </row>
    <row r="31" spans="1:16" x14ac:dyDescent="0.2">
      <c r="K31" s="20">
        <v>14</v>
      </c>
      <c r="L31" s="21"/>
      <c r="M31" s="90"/>
      <c r="N31" s="90"/>
      <c r="O31" s="18"/>
      <c r="P31" s="20"/>
    </row>
    <row r="32" spans="1:16" x14ac:dyDescent="0.2">
      <c r="K32" s="20">
        <v>15</v>
      </c>
      <c r="L32" s="21"/>
      <c r="M32" s="90"/>
      <c r="N32" s="90"/>
      <c r="O32" s="18"/>
      <c r="P32" s="20"/>
    </row>
    <row r="33" spans="11:16" x14ac:dyDescent="0.2">
      <c r="K33" s="20">
        <v>16</v>
      </c>
      <c r="L33" s="21"/>
      <c r="M33" s="90"/>
      <c r="N33" s="90"/>
      <c r="O33" s="18"/>
      <c r="P33" s="20"/>
    </row>
    <row r="34" spans="11:16" x14ac:dyDescent="0.2">
      <c r="K34" s="20">
        <v>17</v>
      </c>
      <c r="L34" s="21"/>
      <c r="M34" s="90"/>
      <c r="N34" s="90"/>
      <c r="O34" s="18"/>
      <c r="P34" s="20"/>
    </row>
    <row r="35" spans="11:16" x14ac:dyDescent="0.2">
      <c r="K35" s="20">
        <v>18</v>
      </c>
      <c r="L35" s="21"/>
      <c r="M35" s="90"/>
      <c r="N35" s="90"/>
      <c r="O35" s="18"/>
      <c r="P35" s="20"/>
    </row>
    <row r="36" spans="11:16" x14ac:dyDescent="0.2">
      <c r="K36" s="20">
        <v>19</v>
      </c>
      <c r="L36" s="21"/>
      <c r="M36" s="90"/>
      <c r="N36" s="90"/>
      <c r="O36" s="18"/>
      <c r="P36" s="20"/>
    </row>
    <row r="37" spans="11:16" x14ac:dyDescent="0.2">
      <c r="K37" s="20">
        <v>20</v>
      </c>
      <c r="L37" s="21"/>
      <c r="M37" s="90"/>
      <c r="N37" s="90"/>
      <c r="O37" s="18"/>
      <c r="P37" s="20"/>
    </row>
    <row r="38" spans="11:16" x14ac:dyDescent="0.2">
      <c r="K38" s="20">
        <v>21</v>
      </c>
      <c r="L38" s="21"/>
      <c r="M38" s="90"/>
      <c r="N38" s="90"/>
      <c r="O38" s="18"/>
      <c r="P38" s="20"/>
    </row>
  </sheetData>
  <mergeCells count="32">
    <mergeCell ref="A1:J1"/>
    <mergeCell ref="K14:P14"/>
    <mergeCell ref="M15:N15"/>
    <mergeCell ref="M16:N16"/>
    <mergeCell ref="D17:I17"/>
    <mergeCell ref="M17:N17"/>
    <mergeCell ref="P9:P10"/>
    <mergeCell ref="M24:N24"/>
    <mergeCell ref="M25:N25"/>
    <mergeCell ref="M26:N26"/>
    <mergeCell ref="M27:N27"/>
    <mergeCell ref="M18:N18"/>
    <mergeCell ref="M19:N19"/>
    <mergeCell ref="M20:N20"/>
    <mergeCell ref="M21:N21"/>
    <mergeCell ref="M22:N22"/>
    <mergeCell ref="M38:N38"/>
    <mergeCell ref="N6:N7"/>
    <mergeCell ref="N9:N10"/>
    <mergeCell ref="O6:O7"/>
    <mergeCell ref="O9:O10"/>
    <mergeCell ref="M33:N33"/>
    <mergeCell ref="M34:N34"/>
    <mergeCell ref="M35:N35"/>
    <mergeCell ref="M36:N36"/>
    <mergeCell ref="M37:N37"/>
    <mergeCell ref="M28:N28"/>
    <mergeCell ref="M29:N29"/>
    <mergeCell ref="M30:N30"/>
    <mergeCell ref="M31:N31"/>
    <mergeCell ref="M32:N32"/>
    <mergeCell ref="M23:N23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8"/>
  <sheetViews>
    <sheetView tabSelected="1" workbookViewId="0">
      <selection activeCell="J24" sqref="J24"/>
    </sheetView>
  </sheetViews>
  <sheetFormatPr baseColWidth="10" defaultColWidth="8.83203125" defaultRowHeight="15" x14ac:dyDescent="0.2"/>
  <cols>
    <col min="1" max="1" width="9.6640625" style="1" customWidth="1"/>
    <col min="2" max="2" width="12" style="1" customWidth="1"/>
    <col min="3" max="4" width="11.5" style="1" customWidth="1"/>
    <col min="5" max="5" width="12" style="1" customWidth="1"/>
    <col min="6" max="6" width="10.83203125" style="1" customWidth="1"/>
    <col min="7" max="9" width="13.1640625" style="1" customWidth="1"/>
    <col min="10" max="10" width="27.83203125" style="1" customWidth="1"/>
    <col min="11" max="11" width="17.6640625" style="1" customWidth="1"/>
    <col min="12" max="12" width="12.83203125" style="1" customWidth="1"/>
    <col min="13" max="13" width="15" style="1" customWidth="1"/>
    <col min="14" max="14" width="12.1640625" style="1" customWidth="1"/>
    <col min="15" max="15" width="13.1640625" style="1" customWidth="1"/>
    <col min="16" max="16" width="12.6640625" style="1" customWidth="1"/>
    <col min="17" max="17" width="19.5" style="1" customWidth="1"/>
    <col min="18" max="16384" width="8.83203125" style="1"/>
  </cols>
  <sheetData>
    <row r="1" spans="1:18" ht="15" customHeight="1" x14ac:dyDescent="0.2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L1" s="6"/>
      <c r="M1" s="6"/>
      <c r="N1" s="6"/>
      <c r="O1" s="6"/>
      <c r="P1" s="6"/>
      <c r="Q1" s="6"/>
    </row>
    <row r="2" spans="1:18" x14ac:dyDescent="0.2">
      <c r="A2" s="2" t="s">
        <v>1</v>
      </c>
      <c r="B2" s="2" t="s">
        <v>2</v>
      </c>
      <c r="C2" s="2" t="s">
        <v>4</v>
      </c>
      <c r="D2" s="2" t="s">
        <v>6</v>
      </c>
      <c r="E2" s="2" t="s">
        <v>7</v>
      </c>
      <c r="F2" s="2" t="s">
        <v>9</v>
      </c>
      <c r="G2" s="2" t="s">
        <v>8</v>
      </c>
      <c r="H2" s="2" t="s">
        <v>53</v>
      </c>
      <c r="I2" s="2" t="s">
        <v>54</v>
      </c>
      <c r="J2" s="2" t="s">
        <v>11</v>
      </c>
      <c r="L2" s="6"/>
      <c r="M2" s="6"/>
      <c r="N2" s="6"/>
      <c r="O2" s="6"/>
      <c r="P2" s="6"/>
      <c r="Q2" s="6"/>
      <c r="R2" s="6"/>
    </row>
    <row r="3" spans="1:18" x14ac:dyDescent="0.2">
      <c r="A3" s="3">
        <v>43115</v>
      </c>
      <c r="B3" s="4">
        <v>177.09</v>
      </c>
      <c r="C3" s="5">
        <v>35.46</v>
      </c>
      <c r="D3" s="5">
        <v>35.46</v>
      </c>
      <c r="E3" s="5">
        <v>35.46</v>
      </c>
      <c r="F3" s="4">
        <v>35.46</v>
      </c>
      <c r="G3" s="4">
        <v>35.25</v>
      </c>
      <c r="H3" s="4">
        <v>0</v>
      </c>
      <c r="I3" s="4">
        <v>0</v>
      </c>
      <c r="J3" s="11"/>
      <c r="L3" s="6"/>
      <c r="M3" s="17" t="s">
        <v>12</v>
      </c>
      <c r="N3" s="17" t="s">
        <v>13</v>
      </c>
      <c r="O3" s="17" t="s">
        <v>14</v>
      </c>
      <c r="P3" s="17" t="s">
        <v>15</v>
      </c>
      <c r="Q3" s="17" t="s">
        <v>55</v>
      </c>
      <c r="R3" s="6"/>
    </row>
    <row r="4" spans="1:18" x14ac:dyDescent="0.2">
      <c r="A4" s="3">
        <v>43146</v>
      </c>
      <c r="B4" s="4">
        <v>156.82</v>
      </c>
      <c r="C4" s="5">
        <v>0</v>
      </c>
      <c r="D4" s="4">
        <v>39.22</v>
      </c>
      <c r="E4" s="4">
        <v>39.270000000000003</v>
      </c>
      <c r="F4" s="4">
        <v>39.270000000000003</v>
      </c>
      <c r="G4" s="4">
        <v>39.049999999999997</v>
      </c>
      <c r="H4" s="4">
        <v>0</v>
      </c>
      <c r="I4" s="4">
        <v>0</v>
      </c>
      <c r="J4" s="11" t="s">
        <v>56</v>
      </c>
      <c r="L4" s="6"/>
      <c r="M4" s="11" t="s">
        <v>4</v>
      </c>
      <c r="N4" s="4">
        <f>SUM(C3:C14)</f>
        <v>224.69</v>
      </c>
      <c r="O4" s="4">
        <f>SUM(P16,P19,P22)</f>
        <v>305.74</v>
      </c>
      <c r="P4" s="114">
        <f>N4-O4+Q4</f>
        <v>19.559999999999945</v>
      </c>
      <c r="Q4" s="23">
        <f>'2017'!O4</f>
        <v>100.60999999999996</v>
      </c>
      <c r="R4" s="6"/>
    </row>
    <row r="5" spans="1:18" ht="30" x14ac:dyDescent="0.2">
      <c r="A5" s="3">
        <v>43174</v>
      </c>
      <c r="B5" s="5">
        <v>195.13</v>
      </c>
      <c r="C5" s="5">
        <v>53.31</v>
      </c>
      <c r="D5" s="5">
        <v>35.51</v>
      </c>
      <c r="E5" s="4">
        <v>35.51</v>
      </c>
      <c r="F5" s="4">
        <v>35.51</v>
      </c>
      <c r="G5" s="4">
        <v>35.29</v>
      </c>
      <c r="H5" s="4">
        <v>0</v>
      </c>
      <c r="I5" s="4">
        <v>0</v>
      </c>
      <c r="J5" s="11" t="s">
        <v>57</v>
      </c>
      <c r="L5" s="6"/>
      <c r="M5" s="11" t="s">
        <v>6</v>
      </c>
      <c r="N5" s="4">
        <f>SUM(D3:D14)</f>
        <v>246.10999999999999</v>
      </c>
      <c r="O5" s="4">
        <v>246.11</v>
      </c>
      <c r="P5" s="22">
        <f>N5-O5</f>
        <v>0</v>
      </c>
      <c r="Q5" s="24">
        <f>'2017'!O5</f>
        <v>0</v>
      </c>
      <c r="R5" s="6"/>
    </row>
    <row r="6" spans="1:18" x14ac:dyDescent="0.2">
      <c r="A6" s="3">
        <v>43205</v>
      </c>
      <c r="B6" s="5">
        <v>177.33</v>
      </c>
      <c r="C6" s="5">
        <v>35.51</v>
      </c>
      <c r="D6" s="5">
        <v>35.51</v>
      </c>
      <c r="E6" s="4">
        <v>35.51</v>
      </c>
      <c r="F6" s="4">
        <v>35.51</v>
      </c>
      <c r="G6" s="4">
        <v>35.29</v>
      </c>
      <c r="H6" s="4">
        <v>0</v>
      </c>
      <c r="I6" s="4">
        <v>0</v>
      </c>
      <c r="J6" s="11"/>
      <c r="L6" s="6"/>
      <c r="M6" s="11" t="s">
        <v>7</v>
      </c>
      <c r="N6" s="4">
        <f>SUM(E3:E14)</f>
        <v>246.16</v>
      </c>
      <c r="O6" s="107">
        <f>SUM(P17:P18)</f>
        <v>331</v>
      </c>
      <c r="P6" s="115">
        <f>N6+N7-O6+Q6</f>
        <v>64.95999999999998</v>
      </c>
      <c r="Q6" s="24">
        <f>'2017'!O6:O7</f>
        <v>-96.360000000000014</v>
      </c>
      <c r="R6" s="6"/>
    </row>
    <row r="7" spans="1:18" x14ac:dyDescent="0.2">
      <c r="A7" s="3">
        <v>43235</v>
      </c>
      <c r="B7" s="5">
        <v>179.85</v>
      </c>
      <c r="C7" s="5">
        <v>36.01</v>
      </c>
      <c r="D7" s="5">
        <v>36.01</v>
      </c>
      <c r="E7" s="4">
        <v>36.01</v>
      </c>
      <c r="F7" s="4">
        <v>36.01</v>
      </c>
      <c r="G7" s="4">
        <v>35.81</v>
      </c>
      <c r="H7" s="4">
        <v>0</v>
      </c>
      <c r="I7" s="4">
        <v>0</v>
      </c>
      <c r="J7" s="11"/>
      <c r="L7" s="6"/>
      <c r="M7" s="11" t="s">
        <v>9</v>
      </c>
      <c r="N7" s="4">
        <f>SUM(F3:F14)</f>
        <v>246.16</v>
      </c>
      <c r="O7" s="107"/>
      <c r="P7" s="115"/>
      <c r="Q7" s="24"/>
      <c r="R7" s="6"/>
    </row>
    <row r="8" spans="1:18" ht="60" x14ac:dyDescent="0.2">
      <c r="A8" s="3">
        <v>43266</v>
      </c>
      <c r="B8" s="5">
        <v>346.12</v>
      </c>
      <c r="C8" s="5">
        <v>31.84</v>
      </c>
      <c r="D8" s="5">
        <v>31.84</v>
      </c>
      <c r="E8" s="5">
        <v>31.84</v>
      </c>
      <c r="F8" s="5">
        <v>31.84</v>
      </c>
      <c r="G8" s="4">
        <v>31.64</v>
      </c>
      <c r="H8" s="4">
        <v>80.040000000000006</v>
      </c>
      <c r="I8" s="4">
        <v>67.760000000000005</v>
      </c>
      <c r="J8" s="11" t="s">
        <v>58</v>
      </c>
      <c r="L8" s="6"/>
      <c r="M8" s="11" t="s">
        <v>8</v>
      </c>
      <c r="N8" s="4">
        <f>SUM(G3:G14)</f>
        <v>244.67</v>
      </c>
      <c r="O8" s="4">
        <v>0</v>
      </c>
      <c r="P8" s="25">
        <f>N8-O8+Q8</f>
        <v>772.67</v>
      </c>
      <c r="Q8" s="26">
        <f>'2017'!O8</f>
        <v>528</v>
      </c>
      <c r="R8" s="6"/>
    </row>
    <row r="9" spans="1:18" x14ac:dyDescent="0.2">
      <c r="A9" s="3">
        <v>43296</v>
      </c>
      <c r="B9" s="5">
        <v>261.04000000000002</v>
      </c>
      <c r="C9" s="5">
        <v>32.56</v>
      </c>
      <c r="D9" s="5">
        <v>32.56</v>
      </c>
      <c r="E9" s="5">
        <v>32.56</v>
      </c>
      <c r="F9" s="5">
        <v>32.56</v>
      </c>
      <c r="G9" s="4">
        <v>32.340000000000003</v>
      </c>
      <c r="H9" s="4">
        <f>65.9-34.31+4.75</f>
        <v>36.340000000000003</v>
      </c>
      <c r="I9" s="4">
        <f>32.56-24.69</f>
        <v>7.870000000000001</v>
      </c>
      <c r="J9" s="11" t="s">
        <v>59</v>
      </c>
      <c r="L9" s="6"/>
      <c r="M9" s="11" t="s">
        <v>53</v>
      </c>
      <c r="N9" s="4">
        <f>SUM(H3:H14)</f>
        <v>116.38000000000001</v>
      </c>
      <c r="O9" s="4">
        <f>P21</f>
        <v>90</v>
      </c>
      <c r="P9" s="114">
        <f>N9-O9</f>
        <v>26.38000000000001</v>
      </c>
      <c r="Q9" s="26"/>
      <c r="R9" s="6"/>
    </row>
    <row r="10" spans="1:18" x14ac:dyDescent="0.2">
      <c r="A10" s="3">
        <v>43327</v>
      </c>
      <c r="B10" s="5"/>
      <c r="C10" s="5"/>
      <c r="D10" s="5"/>
      <c r="E10" s="4"/>
      <c r="F10" s="4"/>
      <c r="G10" s="4"/>
      <c r="H10" s="4"/>
      <c r="I10" s="4"/>
      <c r="J10" s="11"/>
      <c r="L10" s="6"/>
      <c r="M10" s="11" t="s">
        <v>54</v>
      </c>
      <c r="N10" s="4">
        <f>SUM(I3:I14)</f>
        <v>75.63000000000001</v>
      </c>
      <c r="O10" s="4">
        <f>SUM(P20)</f>
        <v>62.75</v>
      </c>
      <c r="P10" s="25">
        <f>N10+N11-O10</f>
        <v>12.88000000000001</v>
      </c>
      <c r="Q10" s="26"/>
      <c r="R10" s="6"/>
    </row>
    <row r="11" spans="1:18" x14ac:dyDescent="0.2">
      <c r="A11" s="3">
        <v>43358</v>
      </c>
      <c r="B11" s="5"/>
      <c r="C11" s="5"/>
      <c r="D11" s="5"/>
      <c r="E11" s="5"/>
      <c r="F11" s="4"/>
      <c r="G11" s="4"/>
      <c r="H11" s="4"/>
      <c r="I11" s="4"/>
      <c r="J11" s="11"/>
      <c r="L11" s="6"/>
      <c r="R11" s="6"/>
    </row>
    <row r="12" spans="1:18" x14ac:dyDescent="0.2">
      <c r="A12" s="3">
        <v>43388</v>
      </c>
      <c r="B12" s="5"/>
      <c r="C12" s="5"/>
      <c r="D12" s="5"/>
      <c r="E12" s="5"/>
      <c r="F12" s="4"/>
      <c r="G12" s="4"/>
      <c r="H12" s="4"/>
      <c r="I12" s="4"/>
      <c r="J12" s="11"/>
      <c r="L12" s="6"/>
      <c r="R12" s="6"/>
    </row>
    <row r="13" spans="1:18" ht="46.5" customHeight="1" x14ac:dyDescent="0.2">
      <c r="A13" s="3">
        <v>43419</v>
      </c>
      <c r="B13" s="4"/>
      <c r="C13" s="5"/>
      <c r="D13" s="5"/>
      <c r="E13" s="5"/>
      <c r="F13" s="4"/>
      <c r="G13" s="4"/>
      <c r="H13" s="4"/>
      <c r="I13" s="4"/>
      <c r="J13" s="11"/>
      <c r="L13" s="6"/>
      <c r="M13" s="6"/>
      <c r="N13" s="6"/>
      <c r="O13" s="6"/>
      <c r="P13" s="6"/>
      <c r="Q13" s="6"/>
      <c r="R13" s="12"/>
    </row>
    <row r="14" spans="1:18" ht="37" customHeight="1" x14ac:dyDescent="0.2">
      <c r="A14" s="3">
        <v>43449</v>
      </c>
      <c r="B14" s="4"/>
      <c r="C14" s="4"/>
      <c r="D14" s="4"/>
      <c r="E14" s="4"/>
      <c r="F14" s="4"/>
      <c r="G14" s="4"/>
      <c r="H14" s="4"/>
      <c r="I14" s="4"/>
      <c r="J14" s="11"/>
      <c r="L14" s="109" t="s">
        <v>22</v>
      </c>
      <c r="M14" s="110"/>
      <c r="N14" s="110"/>
      <c r="O14" s="110"/>
      <c r="P14" s="110"/>
      <c r="Q14" s="111"/>
    </row>
    <row r="15" spans="1:18" ht="1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L15" s="19" t="s">
        <v>23</v>
      </c>
      <c r="M15" s="19" t="s">
        <v>12</v>
      </c>
      <c r="N15" s="101" t="s">
        <v>24</v>
      </c>
      <c r="O15" s="101"/>
      <c r="P15" s="19" t="s">
        <v>25</v>
      </c>
      <c r="Q15" s="19" t="s">
        <v>26</v>
      </c>
    </row>
    <row r="16" spans="1:18" ht="15" customHeight="1" x14ac:dyDescent="0.2">
      <c r="A16" s="6"/>
      <c r="B16" s="6"/>
      <c r="C16" s="112" t="s">
        <v>40</v>
      </c>
      <c r="D16" s="113"/>
      <c r="E16" s="113"/>
      <c r="F16" s="113"/>
      <c r="G16" s="113"/>
      <c r="H16" s="113"/>
      <c r="L16" s="20">
        <v>1</v>
      </c>
      <c r="M16" s="21" t="s">
        <v>4</v>
      </c>
      <c r="N16" s="90">
        <v>43210</v>
      </c>
      <c r="O16" s="90"/>
      <c r="P16" s="18">
        <v>80</v>
      </c>
      <c r="Q16" s="20" t="s">
        <v>29</v>
      </c>
    </row>
    <row r="17" spans="1:17" ht="15" customHeight="1" x14ac:dyDescent="0.2">
      <c r="A17" s="6"/>
      <c r="B17" s="6"/>
      <c r="C17" s="7" t="s">
        <v>41</v>
      </c>
      <c r="D17" s="8" t="s">
        <v>42</v>
      </c>
      <c r="E17" s="7" t="s">
        <v>43</v>
      </c>
      <c r="F17" s="7" t="s">
        <v>44</v>
      </c>
      <c r="G17" s="8" t="s">
        <v>13</v>
      </c>
      <c r="H17" s="8" t="s">
        <v>45</v>
      </c>
      <c r="L17" s="20">
        <v>2</v>
      </c>
      <c r="M17" s="21" t="s">
        <v>7</v>
      </c>
      <c r="N17" s="90">
        <v>43188</v>
      </c>
      <c r="O17" s="90"/>
      <c r="P17" s="18">
        <v>150</v>
      </c>
      <c r="Q17" s="20" t="s">
        <v>28</v>
      </c>
    </row>
    <row r="18" spans="1:17" x14ac:dyDescent="0.2">
      <c r="A18" s="6"/>
      <c r="B18" s="6">
        <v>8913</v>
      </c>
      <c r="C18" s="9" t="s">
        <v>4</v>
      </c>
      <c r="D18" s="4">
        <v>10.71</v>
      </c>
      <c r="E18" s="10">
        <v>15</v>
      </c>
      <c r="F18" s="10">
        <v>6.85</v>
      </c>
      <c r="G18" s="10">
        <f t="shared" ref="G18:G22" si="0">SUM(D18:F18)</f>
        <v>32.56</v>
      </c>
      <c r="H18" s="10"/>
      <c r="I18" s="16"/>
      <c r="L18" s="20">
        <v>3</v>
      </c>
      <c r="M18" s="21" t="s">
        <v>7</v>
      </c>
      <c r="N18" s="90">
        <v>43252</v>
      </c>
      <c r="O18" s="90"/>
      <c r="P18" s="18">
        <v>181</v>
      </c>
      <c r="Q18" s="20" t="s">
        <v>28</v>
      </c>
    </row>
    <row r="19" spans="1:17" x14ac:dyDescent="0.2">
      <c r="A19" s="6"/>
      <c r="B19" s="6">
        <v>5094</v>
      </c>
      <c r="C19" s="11" t="s">
        <v>6</v>
      </c>
      <c r="D19" s="4">
        <v>10.71</v>
      </c>
      <c r="E19" s="10">
        <v>15</v>
      </c>
      <c r="F19" s="10">
        <v>6.85</v>
      </c>
      <c r="G19" s="10">
        <f t="shared" si="0"/>
        <v>32.56</v>
      </c>
      <c r="H19" s="10"/>
      <c r="L19" s="20">
        <v>4</v>
      </c>
      <c r="M19" s="21" t="s">
        <v>4</v>
      </c>
      <c r="N19" s="90">
        <v>43252</v>
      </c>
      <c r="O19" s="90"/>
      <c r="P19" s="18">
        <v>212.74</v>
      </c>
      <c r="Q19" s="20" t="s">
        <v>28</v>
      </c>
    </row>
    <row r="20" spans="1:17" x14ac:dyDescent="0.2">
      <c r="B20" s="6">
        <v>8915</v>
      </c>
      <c r="C20" s="11" t="s">
        <v>47</v>
      </c>
      <c r="D20" s="4">
        <v>10.71</v>
      </c>
      <c r="E20" s="10">
        <v>15</v>
      </c>
      <c r="F20" s="10">
        <v>6.63</v>
      </c>
      <c r="G20" s="10">
        <f t="shared" si="0"/>
        <v>32.340000000000003</v>
      </c>
      <c r="H20" s="10"/>
      <c r="L20" s="20">
        <v>5</v>
      </c>
      <c r="M20" s="21" t="s">
        <v>54</v>
      </c>
      <c r="N20" s="90">
        <v>43262</v>
      </c>
      <c r="O20" s="90"/>
      <c r="P20" s="18">
        <v>62.75</v>
      </c>
      <c r="Q20" s="20" t="s">
        <v>28</v>
      </c>
    </row>
    <row r="21" spans="1:17" x14ac:dyDescent="0.2">
      <c r="B21" s="6">
        <v>4085</v>
      </c>
      <c r="C21" s="11" t="s">
        <v>7</v>
      </c>
      <c r="D21" s="4">
        <v>10.71</v>
      </c>
      <c r="E21" s="10">
        <v>15</v>
      </c>
      <c r="F21" s="10">
        <v>6.85</v>
      </c>
      <c r="G21" s="10">
        <f t="shared" si="0"/>
        <v>32.56</v>
      </c>
      <c r="H21" s="10"/>
      <c r="L21" s="20">
        <v>6</v>
      </c>
      <c r="M21" s="21" t="s">
        <v>53</v>
      </c>
      <c r="N21" s="90">
        <v>43270</v>
      </c>
      <c r="O21" s="90"/>
      <c r="P21" s="18">
        <v>90</v>
      </c>
      <c r="Q21" s="20" t="s">
        <v>29</v>
      </c>
    </row>
    <row r="22" spans="1:17" x14ac:dyDescent="0.2">
      <c r="B22" s="6">
        <v>1711</v>
      </c>
      <c r="C22" s="11" t="s">
        <v>48</v>
      </c>
      <c r="D22" s="4">
        <v>10.71</v>
      </c>
      <c r="E22" s="10">
        <v>15</v>
      </c>
      <c r="F22" s="10">
        <v>6.85</v>
      </c>
      <c r="G22" s="10">
        <f t="shared" si="0"/>
        <v>32.56</v>
      </c>
      <c r="H22" s="10"/>
      <c r="L22" s="20">
        <v>7</v>
      </c>
      <c r="M22" s="21" t="s">
        <v>4</v>
      </c>
      <c r="N22" s="90">
        <v>43281</v>
      </c>
      <c r="O22" s="90"/>
      <c r="P22" s="18">
        <v>13</v>
      </c>
      <c r="Q22" s="20" t="s">
        <v>29</v>
      </c>
    </row>
    <row r="23" spans="1:17" x14ac:dyDescent="0.2">
      <c r="B23" s="1">
        <v>338</v>
      </c>
      <c r="C23" s="11" t="s">
        <v>53</v>
      </c>
      <c r="D23" s="4">
        <v>10.71</v>
      </c>
      <c r="E23" s="10">
        <v>48.34</v>
      </c>
      <c r="F23" s="10">
        <v>6.85</v>
      </c>
      <c r="G23" s="10">
        <f t="shared" ref="G23:G24" si="1">SUM(D23:F23)</f>
        <v>65.900000000000006</v>
      </c>
      <c r="H23" s="10">
        <v>-34.31</v>
      </c>
      <c r="L23" s="20">
        <v>8</v>
      </c>
      <c r="M23" s="21"/>
      <c r="N23" s="90"/>
      <c r="O23" s="90"/>
      <c r="P23" s="18"/>
      <c r="Q23" s="20"/>
    </row>
    <row r="24" spans="1:17" x14ac:dyDescent="0.2">
      <c r="B24" s="6">
        <v>5682</v>
      </c>
      <c r="C24" s="11" t="s">
        <v>54</v>
      </c>
      <c r="D24" s="4">
        <v>10.71</v>
      </c>
      <c r="E24" s="10">
        <v>15</v>
      </c>
      <c r="F24" s="10">
        <v>6.85</v>
      </c>
      <c r="G24" s="10">
        <f t="shared" si="1"/>
        <v>32.56</v>
      </c>
      <c r="H24" s="10">
        <v>-24.69</v>
      </c>
      <c r="L24" s="20">
        <v>9</v>
      </c>
      <c r="M24" s="21"/>
      <c r="N24" s="90"/>
      <c r="O24" s="90"/>
      <c r="P24" s="18"/>
      <c r="Q24" s="20"/>
    </row>
    <row r="25" spans="1:17" x14ac:dyDescent="0.2">
      <c r="D25" s="12">
        <v>75</v>
      </c>
      <c r="F25" s="13" t="s">
        <v>2</v>
      </c>
      <c r="G25" s="14">
        <f>SUM(G18:G24)</f>
        <v>261.04000000000002</v>
      </c>
      <c r="L25" s="20">
        <v>10</v>
      </c>
      <c r="M25" s="21"/>
      <c r="N25" s="90"/>
      <c r="O25" s="90"/>
      <c r="P25" s="18"/>
      <c r="Q25" s="20"/>
    </row>
    <row r="26" spans="1:17" x14ac:dyDescent="0.2">
      <c r="G26" s="15">
        <v>-59.18</v>
      </c>
      <c r="L26" s="20">
        <v>10</v>
      </c>
      <c r="M26" s="21"/>
      <c r="N26" s="90"/>
      <c r="O26" s="90"/>
      <c r="P26" s="18"/>
      <c r="Q26" s="20"/>
    </row>
    <row r="27" spans="1:17" x14ac:dyDescent="0.2">
      <c r="D27" s="16"/>
      <c r="G27" s="15">
        <f>SUM(G25:G26)</f>
        <v>201.86</v>
      </c>
      <c r="L27" s="20">
        <v>11</v>
      </c>
      <c r="M27" s="21"/>
      <c r="N27" s="90"/>
      <c r="O27" s="90"/>
      <c r="P27" s="18"/>
      <c r="Q27" s="20"/>
    </row>
    <row r="28" spans="1:17" x14ac:dyDescent="0.2">
      <c r="D28" s="16">
        <f>D25/7</f>
        <v>10.714285714285714</v>
      </c>
      <c r="L28" s="20">
        <v>11</v>
      </c>
      <c r="M28" s="21"/>
      <c r="N28" s="90"/>
      <c r="O28" s="90"/>
      <c r="P28" s="18"/>
      <c r="Q28" s="20"/>
    </row>
    <row r="29" spans="1:17" x14ac:dyDescent="0.2">
      <c r="L29" s="20">
        <v>12</v>
      </c>
      <c r="M29" s="21"/>
      <c r="N29" s="90"/>
      <c r="O29" s="90"/>
      <c r="P29" s="18"/>
      <c r="Q29" s="20"/>
    </row>
    <row r="30" spans="1:17" x14ac:dyDescent="0.2">
      <c r="L30" s="20">
        <v>13</v>
      </c>
      <c r="M30" s="21"/>
      <c r="N30" s="90"/>
      <c r="O30" s="90"/>
      <c r="P30" s="18"/>
      <c r="Q30" s="20"/>
    </row>
    <row r="31" spans="1:17" x14ac:dyDescent="0.2">
      <c r="L31" s="20">
        <v>14</v>
      </c>
      <c r="M31" s="21"/>
      <c r="N31" s="90"/>
      <c r="O31" s="90"/>
      <c r="P31" s="18"/>
      <c r="Q31" s="20"/>
    </row>
    <row r="32" spans="1:17" x14ac:dyDescent="0.2">
      <c r="L32" s="20">
        <v>15</v>
      </c>
      <c r="M32" s="21"/>
      <c r="N32" s="90"/>
      <c r="O32" s="90"/>
      <c r="P32" s="18"/>
      <c r="Q32" s="20"/>
    </row>
    <row r="33" spans="12:17" x14ac:dyDescent="0.2">
      <c r="L33" s="20">
        <v>16</v>
      </c>
      <c r="M33" s="21"/>
      <c r="N33" s="90"/>
      <c r="O33" s="90"/>
      <c r="P33" s="18"/>
      <c r="Q33" s="20"/>
    </row>
    <row r="34" spans="12:17" x14ac:dyDescent="0.2">
      <c r="L34" s="20">
        <v>17</v>
      </c>
      <c r="M34" s="21"/>
      <c r="N34" s="90"/>
      <c r="O34" s="90"/>
      <c r="P34" s="18"/>
      <c r="Q34" s="20"/>
    </row>
    <row r="35" spans="12:17" x14ac:dyDescent="0.2">
      <c r="L35" s="20">
        <v>18</v>
      </c>
      <c r="M35" s="21"/>
      <c r="N35" s="90"/>
      <c r="O35" s="90"/>
      <c r="P35" s="18"/>
      <c r="Q35" s="20"/>
    </row>
    <row r="36" spans="12:17" x14ac:dyDescent="0.2">
      <c r="L36" s="20">
        <v>19</v>
      </c>
      <c r="M36" s="21"/>
      <c r="N36" s="90"/>
      <c r="O36" s="90"/>
      <c r="P36" s="18"/>
      <c r="Q36" s="20"/>
    </row>
    <row r="37" spans="12:17" x14ac:dyDescent="0.2">
      <c r="L37" s="20">
        <v>20</v>
      </c>
      <c r="M37" s="21"/>
      <c r="N37" s="90"/>
      <c r="O37" s="90"/>
      <c r="P37" s="18"/>
      <c r="Q37" s="20"/>
    </row>
    <row r="38" spans="12:17" x14ac:dyDescent="0.2">
      <c r="L38" s="20">
        <v>21</v>
      </c>
      <c r="M38" s="21"/>
      <c r="N38" s="90"/>
      <c r="O38" s="90"/>
      <c r="P38" s="18"/>
      <c r="Q38" s="20"/>
    </row>
  </sheetData>
  <mergeCells count="29">
    <mergeCell ref="A1:J1"/>
    <mergeCell ref="L14:Q14"/>
    <mergeCell ref="N15:O15"/>
    <mergeCell ref="C16:H16"/>
    <mergeCell ref="N16:O16"/>
    <mergeCell ref="N24:O24"/>
    <mergeCell ref="N25:O25"/>
    <mergeCell ref="N26:O26"/>
    <mergeCell ref="N17:O17"/>
    <mergeCell ref="N18:O18"/>
    <mergeCell ref="N19:O19"/>
    <mergeCell ref="N20:O20"/>
    <mergeCell ref="N21:O21"/>
    <mergeCell ref="N37:O37"/>
    <mergeCell ref="N38:O38"/>
    <mergeCell ref="O6:O7"/>
    <mergeCell ref="P6:P7"/>
    <mergeCell ref="N32:O32"/>
    <mergeCell ref="N33:O33"/>
    <mergeCell ref="N34:O34"/>
    <mergeCell ref="N35:O35"/>
    <mergeCell ref="N36:O36"/>
    <mergeCell ref="N27:O27"/>
    <mergeCell ref="N28:O28"/>
    <mergeCell ref="N29:O29"/>
    <mergeCell ref="N30:O30"/>
    <mergeCell ref="N31:O31"/>
    <mergeCell ref="N22:O22"/>
    <mergeCell ref="N23:O23"/>
  </mergeCell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AlkondanSubbiah</dc:creator>
  <cp:lastModifiedBy>Giri AlkondanSubbiah</cp:lastModifiedBy>
  <dcterms:created xsi:type="dcterms:W3CDTF">2015-12-07T00:46:00Z</dcterms:created>
  <dcterms:modified xsi:type="dcterms:W3CDTF">2018-07-04T15:02:58Z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